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checkCompatibility="1" defaultThemeVersion="124226"/>
  <bookViews>
    <workbookView xWindow="75" yWindow="1695" windowWidth="13935" windowHeight="5850" firstSheet="8" activeTab="13"/>
  </bookViews>
  <sheets>
    <sheet name="def tax - main split" sheetId="26" r:id="rId1"/>
    <sheet name="def tax - bonus codes" sheetId="32" r:id="rId2"/>
    <sheet name="Summary info (bonus split)" sheetId="33" r:id="rId3"/>
    <sheet name="customers -15" sheetId="24" r:id="rId4"/>
    <sheet name="Cites" sheetId="51" r:id="rId5"/>
    <sheet name="Pipeline Safety" sheetId="48" r:id="rId6"/>
    <sheet name="ISRS" sheetId="49" r:id="rId7"/>
    <sheet name="Summary info" sheetId="1" r:id="rId8"/>
    <sheet name="2016 Prop Pymts" sheetId="52" r:id="rId9"/>
    <sheet name="Additions" sheetId="16" r:id="rId10"/>
    <sheet name="Retirements" sheetId="17" r:id="rId11"/>
    <sheet name="Additions for prop tax" sheetId="41" r:id="rId12"/>
    <sheet name="Retirements for prop tax" sheetId="42" r:id="rId13"/>
    <sheet name="Revenue Requirement" sheetId="2" r:id="rId14"/>
    <sheet name="Depreciation Exp" sheetId="3" r:id="rId15"/>
    <sheet name="Prop Tax" sheetId="36" r:id="rId16"/>
    <sheet name="Incremental Prop Tax 2015" sheetId="54" r:id="rId17"/>
    <sheet name="Incremental Prop Tax 2014" sheetId="53" r:id="rId18"/>
    <sheet name="Incremental Prop Tax 2013" sheetId="47" r:id="rId19"/>
    <sheet name="Incremental Depr and Taxes" sheetId="43" r:id="rId20"/>
    <sheet name="Def. Tax - Main Repl" sheetId="12" r:id="rId21"/>
    <sheet name="Def. Tax - Services" sheetId="11" r:id="rId22"/>
    <sheet name="Def. Tax - Reg" sheetId="14" r:id="rId23"/>
    <sheet name="Def. Tax - Main Relo" sheetId="13" r:id="rId24"/>
    <sheet name="Def. Tax - Main Reinf" sheetId="15" state="hidden" r:id="rId25"/>
    <sheet name="ROR" sheetId="4" r:id="rId26"/>
    <sheet name="Rate Design - Sept 2016" sheetId="44" r:id="rId27"/>
    <sheet name="Cumulative Rate Design" sheetId="6" r:id="rId28"/>
  </sheets>
  <externalReferences>
    <externalReference r:id="rId29"/>
    <externalReference r:id="rId30"/>
    <externalReference r:id="rId31"/>
  </externalReferences>
  <definedNames>
    <definedName name="_xlnm._FilterDatabase" localSheetId="9" hidden="1">Additions!$A$4:$J$1090</definedName>
    <definedName name="_xlnm._FilterDatabase" localSheetId="11" hidden="1">'Additions for prop tax'!$A$4:$J$4821</definedName>
    <definedName name="_xlnm._FilterDatabase" localSheetId="4" hidden="1">Cites!$A$4:$I$1058</definedName>
    <definedName name="_xlnm._FilterDatabase" localSheetId="1" hidden="1">'def tax - bonus codes'!$B$24:$V$574</definedName>
    <definedName name="_xlnm._FilterDatabase" localSheetId="0" hidden="1">'def tax - main split'!$B$6:$U$569</definedName>
    <definedName name="COUNTYINV" localSheetId="4">#REF!</definedName>
    <definedName name="COUNTYINV" localSheetId="0">#REF!</definedName>
    <definedName name="COUNTYINV" localSheetId="19">#REF!</definedName>
    <definedName name="COUNTYINV" localSheetId="18">#REF!</definedName>
    <definedName name="COUNTYINV" localSheetId="17">#REF!</definedName>
    <definedName name="COUNTYINV" localSheetId="26">#REF!</definedName>
    <definedName name="COUNTYINV">#REF!</definedName>
    <definedName name="EV__LASTREFTIME__" localSheetId="19" hidden="1">41011.6034490741</definedName>
    <definedName name="EV__LASTREFTIME__" localSheetId="18" hidden="1">41011.5490046296</definedName>
    <definedName name="EV__LASTREFTIME__" localSheetId="17" hidden="1">41011.5490046296</definedName>
    <definedName name="EV__LASTREFTIME__" localSheetId="16" hidden="1">41011.5490046296</definedName>
    <definedName name="EV__LASTREFTIME__" localSheetId="15" hidden="1">41011.5490046296</definedName>
    <definedName name="EV__LASTREFTIME__" hidden="1">41082.3619791667</definedName>
    <definedName name="_xlnm.Print_Area" localSheetId="8">'2016 Prop Pymts'!$A$1:$H$94</definedName>
    <definedName name="_xlnm.Print_Area" localSheetId="9">Additions!$A$1:$J$1108</definedName>
    <definedName name="_xlnm.Print_Area" localSheetId="11">'Additions for prop tax'!$A$1:$J$4839</definedName>
    <definedName name="_xlnm.Print_Area" localSheetId="4">Cites!$A$1:$H$1058</definedName>
    <definedName name="_xlnm.Print_Area" localSheetId="27">'Cumulative Rate Design'!$A$1:$H$37</definedName>
    <definedName name="_xlnm.Print_Area" localSheetId="1">'def tax - bonus codes'!$B$9:$H$19</definedName>
    <definedName name="_xlnm.Print_Area" localSheetId="0">'def tax - main split'!$O$8:$V$36</definedName>
    <definedName name="_xlnm.Print_Area" localSheetId="24">'Def. Tax - Main Reinf'!$A$2:$Y$45</definedName>
    <definedName name="_xlnm.Print_Area" localSheetId="23">'Def. Tax - Main Relo'!$A$2:$Y$46</definedName>
    <definedName name="_xlnm.Print_Area" localSheetId="20">'Def. Tax - Main Repl'!$A$2:$AA$46</definedName>
    <definedName name="_xlnm.Print_Area" localSheetId="22">'Def. Tax - Reg'!$A$2:$Y$48</definedName>
    <definedName name="_xlnm.Print_Area" localSheetId="21">'Def. Tax - Services'!$A$2:$Y$46</definedName>
    <definedName name="_xlnm.Print_Area" localSheetId="14">'Depreciation Exp'!$A$1:$G$52</definedName>
    <definedName name="_xlnm.Print_Area" localSheetId="19">'Incremental Depr and Taxes'!$A$1:$H$45</definedName>
    <definedName name="_xlnm.Print_Area" localSheetId="18">'Incremental Prop Tax 2013'!$A$1:$C$48</definedName>
    <definedName name="_xlnm.Print_Area" localSheetId="17">'Incremental Prop Tax 2014'!$A$1:$C$48</definedName>
    <definedName name="_xlnm.Print_Area" localSheetId="16">'Incremental Prop Tax 2015'!$A$1:$C$48</definedName>
    <definedName name="_xlnm.Print_Area" localSheetId="6">ISRS!$A$2:$B$7</definedName>
    <definedName name="_xlnm.Print_Area" localSheetId="5">'Pipeline Safety'!$A$1:$D$17</definedName>
    <definedName name="_xlnm.Print_Area" localSheetId="15">'Prop Tax'!$A$1:$C$44</definedName>
    <definedName name="_xlnm.Print_Area" localSheetId="26">'Rate Design - Sept 2016'!$A$1:$H$37</definedName>
    <definedName name="_xlnm.Print_Area" localSheetId="10">Retirements!$A$1:$K$232</definedName>
    <definedName name="_xlnm.Print_Area" localSheetId="12">'Retirements for prop tax'!$A$1:$K$780</definedName>
    <definedName name="_xlnm.Print_Area" localSheetId="13">'Revenue Requirement'!$A$1:$J$84</definedName>
    <definedName name="_xlnm.Print_Area" localSheetId="25">ROR!$A$1:$D$33</definedName>
    <definedName name="_xlnm.Print_Area" localSheetId="7">'Summary info'!$A$1:$M$27</definedName>
    <definedName name="_xlnm.Print_Area" localSheetId="2">'Summary info (bonus split)'!$A$1:$T$16</definedName>
    <definedName name="_xlnm.Print_Titles" localSheetId="0">'def tax - main split'!$1:$6</definedName>
    <definedName name="Prop_tax" hidden="1">39919.3899884259</definedName>
    <definedName name="SAFETYADJMT" localSheetId="4">#REF!</definedName>
    <definedName name="SAFETYADJMT" localSheetId="0">#REF!</definedName>
    <definedName name="SAFETYADJMT" localSheetId="19">#REF!</definedName>
    <definedName name="SAFETYADJMT" localSheetId="18">#REF!</definedName>
    <definedName name="SAFETYADJMT" localSheetId="17">#REF!</definedName>
    <definedName name="SAFETYADJMT" localSheetId="26">#REF!</definedName>
    <definedName name="SAFETYADJMT">#REF!</definedName>
    <definedName name="SAFETYCALC" localSheetId="4">#REF!</definedName>
    <definedName name="SAFETYCALC" localSheetId="0">#REF!</definedName>
    <definedName name="SAFETYCALC" localSheetId="19">#REF!</definedName>
    <definedName name="SAFETYCALC" localSheetId="18">#REF!</definedName>
    <definedName name="SAFETYCALC" localSheetId="17">#REF!</definedName>
    <definedName name="SAFETYCALC" localSheetId="26">#REF!</definedName>
    <definedName name="SAFETYCALC">#REF!</definedName>
    <definedName name="SPLIT" localSheetId="4">#REF!</definedName>
    <definedName name="SPLIT" localSheetId="0">#REF!</definedName>
    <definedName name="SPLIT" localSheetId="19">#REF!</definedName>
    <definedName name="SPLIT" localSheetId="18">#REF!</definedName>
    <definedName name="SPLIT" localSheetId="17">#REF!</definedName>
    <definedName name="SPLIT" localSheetId="26">#REF!</definedName>
    <definedName name="SPLIT">#REF!</definedName>
    <definedName name="SUMMARY" localSheetId="4">#REF!</definedName>
    <definedName name="SUMMARY" localSheetId="0">#REF!</definedName>
    <definedName name="SUMMARY" localSheetId="19">#REF!</definedName>
    <definedName name="SUMMARY" localSheetId="18">#REF!</definedName>
    <definedName name="SUMMARY" localSheetId="17">#REF!</definedName>
    <definedName name="SUMMARY" localSheetId="26">#REF!</definedName>
    <definedName name="SUMMARY">#REF!</definedName>
  </definedNames>
  <calcPr calcId="145621"/>
</workbook>
</file>

<file path=xl/calcChain.xml><?xml version="1.0" encoding="utf-8"?>
<calcChain xmlns="http://schemas.openxmlformats.org/spreadsheetml/2006/main">
  <c r="C4" i="44" l="1"/>
  <c r="M509" i="32"/>
  <c r="J509" i="32"/>
  <c r="I509" i="32"/>
  <c r="M508" i="32"/>
  <c r="J508" i="32"/>
  <c r="I508" i="32"/>
  <c r="M507" i="32"/>
  <c r="J507" i="32"/>
  <c r="I507" i="32"/>
  <c r="M506" i="32"/>
  <c r="J506" i="32"/>
  <c r="I506" i="32"/>
  <c r="M505" i="32"/>
  <c r="J505" i="32"/>
  <c r="I505" i="32"/>
  <c r="M504" i="32"/>
  <c r="J504" i="32"/>
  <c r="I504" i="32"/>
  <c r="M503" i="32"/>
  <c r="J503" i="32"/>
  <c r="I503" i="32"/>
  <c r="M502" i="32"/>
  <c r="J502" i="32"/>
  <c r="I502" i="32"/>
  <c r="M501" i="32"/>
  <c r="J501" i="32"/>
  <c r="I501" i="32"/>
  <c r="M500" i="32"/>
  <c r="J500" i="32"/>
  <c r="I500" i="32"/>
  <c r="M499" i="32"/>
  <c r="J499" i="32"/>
  <c r="I499" i="32"/>
  <c r="M498" i="32"/>
  <c r="J498" i="32"/>
  <c r="I498" i="32"/>
  <c r="M497" i="32"/>
  <c r="J497" i="32"/>
  <c r="I497" i="32"/>
  <c r="M496" i="32"/>
  <c r="J496" i="32"/>
  <c r="I496" i="32"/>
  <c r="M495" i="32"/>
  <c r="J495" i="32"/>
  <c r="I495" i="32"/>
  <c r="M494" i="32"/>
  <c r="J494" i="32"/>
  <c r="I494" i="32"/>
  <c r="M493" i="32"/>
  <c r="J493" i="32"/>
  <c r="I493" i="32"/>
  <c r="M492" i="32"/>
  <c r="J492" i="32"/>
  <c r="I492" i="32"/>
  <c r="M491" i="32"/>
  <c r="J491" i="32"/>
  <c r="I491" i="32"/>
  <c r="M490" i="32"/>
  <c r="J490" i="32"/>
  <c r="I490" i="32"/>
  <c r="M489" i="32"/>
  <c r="J489" i="32"/>
  <c r="I489" i="32"/>
  <c r="M488" i="32"/>
  <c r="J488" i="32"/>
  <c r="I488" i="32"/>
  <c r="M487" i="32"/>
  <c r="J487" i="32"/>
  <c r="I487" i="32"/>
  <c r="M486" i="32"/>
  <c r="J486" i="32"/>
  <c r="I486" i="32"/>
  <c r="M485" i="32"/>
  <c r="J485" i="32"/>
  <c r="I485" i="32"/>
  <c r="M484" i="32"/>
  <c r="J484" i="32"/>
  <c r="I484" i="32"/>
  <c r="M483" i="32"/>
  <c r="J483" i="32"/>
  <c r="I483" i="32"/>
  <c r="M482" i="32"/>
  <c r="J482" i="32"/>
  <c r="I482" i="32"/>
  <c r="M481" i="32"/>
  <c r="J481" i="32"/>
  <c r="I481" i="32"/>
  <c r="M480" i="32"/>
  <c r="J480" i="32"/>
  <c r="I480" i="32"/>
  <c r="M479" i="32"/>
  <c r="J479" i="32"/>
  <c r="I479" i="32"/>
  <c r="M478" i="32"/>
  <c r="J478" i="32"/>
  <c r="I478" i="32"/>
  <c r="M477" i="32"/>
  <c r="J477" i="32"/>
  <c r="I477" i="32"/>
  <c r="M476" i="32"/>
  <c r="J476" i="32"/>
  <c r="I476" i="32"/>
  <c r="M475" i="32"/>
  <c r="J475" i="32"/>
  <c r="I475" i="32"/>
  <c r="M474" i="32"/>
  <c r="J474" i="32"/>
  <c r="I474" i="32"/>
  <c r="M473" i="32"/>
  <c r="J473" i="32"/>
  <c r="I473" i="32"/>
  <c r="M472" i="32"/>
  <c r="J472" i="32"/>
  <c r="I472" i="32"/>
  <c r="M471" i="32"/>
  <c r="J471" i="32"/>
  <c r="I471" i="32"/>
  <c r="M470" i="32"/>
  <c r="J470" i="32"/>
  <c r="I470" i="32"/>
  <c r="M469" i="32"/>
  <c r="J469" i="32"/>
  <c r="I469" i="32"/>
  <c r="M468" i="32"/>
  <c r="J468" i="32"/>
  <c r="I468" i="32"/>
  <c r="M467" i="32"/>
  <c r="J467" i="32"/>
  <c r="I467" i="32"/>
  <c r="M466" i="32"/>
  <c r="J466" i="32"/>
  <c r="I466" i="32"/>
  <c r="M465" i="32"/>
  <c r="J465" i="32"/>
  <c r="I465" i="32"/>
  <c r="M464" i="32"/>
  <c r="J464" i="32"/>
  <c r="I464" i="32"/>
  <c r="M463" i="32"/>
  <c r="J463" i="32"/>
  <c r="I463" i="32"/>
  <c r="M462" i="32"/>
  <c r="J462" i="32"/>
  <c r="I462" i="32"/>
  <c r="M461" i="32"/>
  <c r="J461" i="32"/>
  <c r="I461" i="32"/>
  <c r="M460" i="32"/>
  <c r="J460" i="32"/>
  <c r="I460" i="32"/>
  <c r="M459" i="32"/>
  <c r="J459" i="32"/>
  <c r="I459" i="32"/>
  <c r="M458" i="32"/>
  <c r="J458" i="32"/>
  <c r="I458" i="32"/>
  <c r="M457" i="32"/>
  <c r="J457" i="32"/>
  <c r="I457" i="32"/>
  <c r="M456" i="32"/>
  <c r="J456" i="32"/>
  <c r="I456" i="32"/>
  <c r="M455" i="32"/>
  <c r="J455" i="32"/>
  <c r="I455" i="32"/>
  <c r="M454" i="32"/>
  <c r="J454" i="32"/>
  <c r="I454" i="32"/>
  <c r="M453" i="32"/>
  <c r="J453" i="32"/>
  <c r="I453" i="32"/>
  <c r="M452" i="32"/>
  <c r="J452" i="32"/>
  <c r="I452" i="32"/>
  <c r="M451" i="32"/>
  <c r="J451" i="32"/>
  <c r="I451" i="32"/>
  <c r="M450" i="32"/>
  <c r="J450" i="32"/>
  <c r="I450" i="32"/>
  <c r="M449" i="32"/>
  <c r="J449" i="32"/>
  <c r="I449" i="32"/>
  <c r="M448" i="32"/>
  <c r="J448" i="32"/>
  <c r="I448" i="32"/>
  <c r="M447" i="32"/>
  <c r="J447" i="32"/>
  <c r="I447" i="32"/>
  <c r="M446" i="32"/>
  <c r="J446" i="32"/>
  <c r="I446" i="32"/>
  <c r="M445" i="32"/>
  <c r="J445" i="32"/>
  <c r="I445" i="32"/>
  <c r="M444" i="32"/>
  <c r="J444" i="32"/>
  <c r="I444" i="32"/>
  <c r="M443" i="32"/>
  <c r="J443" i="32"/>
  <c r="I443" i="32"/>
  <c r="M442" i="32"/>
  <c r="J442" i="32"/>
  <c r="I442" i="32"/>
  <c r="M441" i="32"/>
  <c r="J441" i="32"/>
  <c r="I441" i="32"/>
  <c r="M440" i="32"/>
  <c r="J440" i="32"/>
  <c r="I440" i="32"/>
  <c r="M439" i="32"/>
  <c r="J439" i="32"/>
  <c r="I439" i="32"/>
  <c r="M438" i="32"/>
  <c r="J438" i="32"/>
  <c r="I438" i="32"/>
  <c r="M437" i="32"/>
  <c r="J437" i="32"/>
  <c r="I437" i="32"/>
  <c r="M436" i="32"/>
  <c r="J436" i="32"/>
  <c r="I436" i="32"/>
  <c r="M435" i="32"/>
  <c r="J435" i="32"/>
  <c r="I435" i="32"/>
  <c r="M434" i="32"/>
  <c r="J434" i="32"/>
  <c r="I434" i="32"/>
  <c r="M433" i="32"/>
  <c r="J433" i="32"/>
  <c r="I433" i="32"/>
  <c r="M432" i="32"/>
  <c r="J432" i="32"/>
  <c r="I432" i="32"/>
  <c r="M431" i="32"/>
  <c r="J431" i="32"/>
  <c r="I431" i="32"/>
  <c r="M430" i="32"/>
  <c r="J430" i="32"/>
  <c r="I430" i="32"/>
  <c r="M429" i="32"/>
  <c r="J429" i="32"/>
  <c r="I429" i="32"/>
  <c r="M428" i="32"/>
  <c r="J428" i="32"/>
  <c r="I428" i="32"/>
  <c r="M248" i="32"/>
  <c r="J248" i="32"/>
  <c r="I248" i="32"/>
  <c r="M247" i="32"/>
  <c r="J247" i="32"/>
  <c r="I247" i="32"/>
  <c r="M246" i="32"/>
  <c r="J246" i="32"/>
  <c r="I246" i="32"/>
  <c r="M245" i="32"/>
  <c r="J245" i="32"/>
  <c r="I245" i="32"/>
  <c r="M244" i="32"/>
  <c r="J244" i="32"/>
  <c r="I244" i="32"/>
  <c r="M243" i="32"/>
  <c r="J243" i="32"/>
  <c r="I243" i="32"/>
  <c r="M242" i="32"/>
  <c r="J242" i="32"/>
  <c r="I242" i="32"/>
  <c r="M189" i="32"/>
  <c r="J189" i="32"/>
  <c r="I189" i="32"/>
  <c r="M188" i="32"/>
  <c r="J188" i="32"/>
  <c r="I188" i="32"/>
  <c r="M187" i="32"/>
  <c r="J187" i="32"/>
  <c r="I187" i="32"/>
  <c r="M186" i="32"/>
  <c r="J186" i="32"/>
  <c r="I186" i="32"/>
  <c r="M185" i="32"/>
  <c r="J185" i="32"/>
  <c r="I185" i="32"/>
  <c r="M184" i="32"/>
  <c r="J184" i="32"/>
  <c r="I184" i="32"/>
  <c r="M183" i="32"/>
  <c r="J183" i="32"/>
  <c r="I183" i="32"/>
  <c r="M182" i="32"/>
  <c r="J182" i="32"/>
  <c r="I182" i="32"/>
  <c r="M181" i="32"/>
  <c r="J181" i="32"/>
  <c r="I181" i="32"/>
  <c r="M180" i="32"/>
  <c r="J180" i="32"/>
  <c r="I180" i="32"/>
  <c r="M179" i="32"/>
  <c r="J179" i="32"/>
  <c r="I179" i="32"/>
  <c r="M178" i="32"/>
  <c r="J178" i="32"/>
  <c r="I178" i="32"/>
  <c r="M177" i="32"/>
  <c r="J177" i="32"/>
  <c r="I177" i="32"/>
  <c r="M176" i="32"/>
  <c r="J176" i="32"/>
  <c r="I176" i="32"/>
  <c r="M175" i="32"/>
  <c r="J175" i="32"/>
  <c r="I175" i="32"/>
  <c r="M174" i="32"/>
  <c r="J174" i="32"/>
  <c r="I174" i="32"/>
  <c r="M173" i="32"/>
  <c r="J173" i="32"/>
  <c r="I173" i="32"/>
  <c r="M172" i="32"/>
  <c r="J172" i="32"/>
  <c r="I172" i="32"/>
  <c r="M171" i="32"/>
  <c r="J171" i="32"/>
  <c r="I171" i="32"/>
  <c r="M170" i="32"/>
  <c r="J170" i="32"/>
  <c r="I170" i="32"/>
  <c r="M169" i="32"/>
  <c r="J169" i="32"/>
  <c r="I169" i="32"/>
  <c r="M168" i="32"/>
  <c r="J168" i="32"/>
  <c r="I168" i="32"/>
  <c r="M167" i="32"/>
  <c r="J167" i="32"/>
  <c r="I167" i="32"/>
  <c r="M166" i="32"/>
  <c r="J166" i="32"/>
  <c r="I166" i="32"/>
  <c r="M165" i="32"/>
  <c r="J165" i="32"/>
  <c r="I165" i="32"/>
  <c r="M164" i="32"/>
  <c r="J164" i="32"/>
  <c r="I164" i="32"/>
  <c r="M163" i="32"/>
  <c r="J163" i="32"/>
  <c r="I163" i="32"/>
  <c r="M162" i="32"/>
  <c r="J162" i="32"/>
  <c r="I162" i="32"/>
  <c r="M161" i="32"/>
  <c r="J161" i="32"/>
  <c r="I161" i="32"/>
  <c r="M160" i="32"/>
  <c r="J160" i="32"/>
  <c r="I160" i="32"/>
  <c r="M159" i="32"/>
  <c r="J159" i="32"/>
  <c r="I159" i="32"/>
  <c r="M158" i="32"/>
  <c r="J158" i="32"/>
  <c r="I158" i="32"/>
  <c r="M157" i="32"/>
  <c r="J157" i="32"/>
  <c r="I157" i="32"/>
  <c r="M156" i="32"/>
  <c r="J156" i="32"/>
  <c r="I156" i="32"/>
  <c r="M155" i="32"/>
  <c r="J155" i="32"/>
  <c r="I155" i="32"/>
  <c r="M154" i="32"/>
  <c r="J154" i="32"/>
  <c r="I154" i="32"/>
  <c r="M153" i="32"/>
  <c r="J153" i="32"/>
  <c r="I153" i="32"/>
  <c r="M152" i="32"/>
  <c r="J152" i="32"/>
  <c r="I152" i="32"/>
  <c r="M151" i="32"/>
  <c r="J151" i="32"/>
  <c r="I151" i="32"/>
  <c r="M150" i="32"/>
  <c r="J150" i="32"/>
  <c r="I150" i="32"/>
  <c r="M149" i="32"/>
  <c r="J149" i="32"/>
  <c r="I149" i="32"/>
  <c r="M148" i="32"/>
  <c r="J148" i="32"/>
  <c r="I148" i="32"/>
  <c r="M147" i="32"/>
  <c r="J147" i="32"/>
  <c r="I147" i="32"/>
  <c r="M146" i="32"/>
  <c r="J146" i="32"/>
  <c r="I146" i="32"/>
  <c r="M145" i="32"/>
  <c r="J145" i="32"/>
  <c r="I145" i="32"/>
  <c r="M144" i="32"/>
  <c r="J144" i="32"/>
  <c r="I144" i="32"/>
  <c r="M143" i="32"/>
  <c r="J143" i="32"/>
  <c r="I143" i="32"/>
  <c r="M142" i="32"/>
  <c r="J142" i="32"/>
  <c r="I142" i="32"/>
  <c r="M141" i="32"/>
  <c r="J141" i="32"/>
  <c r="I141" i="32"/>
  <c r="M140" i="32"/>
  <c r="J140" i="32"/>
  <c r="I140" i="32"/>
  <c r="M139" i="32"/>
  <c r="J139" i="32"/>
  <c r="I139" i="32"/>
  <c r="M138" i="32"/>
  <c r="J138" i="32"/>
  <c r="I138" i="32"/>
  <c r="M137" i="32"/>
  <c r="J137" i="32"/>
  <c r="I137" i="32"/>
  <c r="M136" i="32"/>
  <c r="J136" i="32"/>
  <c r="I136" i="32"/>
  <c r="M135" i="32"/>
  <c r="J135" i="32"/>
  <c r="I135" i="32"/>
  <c r="M535" i="26"/>
  <c r="H535" i="26"/>
  <c r="M534" i="26"/>
  <c r="H534" i="26"/>
  <c r="M533" i="26"/>
  <c r="H533" i="26"/>
  <c r="M532" i="26"/>
  <c r="H532" i="26"/>
  <c r="M531" i="26"/>
  <c r="H531" i="26"/>
  <c r="M530" i="26"/>
  <c r="H530" i="26"/>
  <c r="M529" i="26"/>
  <c r="H529" i="26"/>
  <c r="M528" i="26"/>
  <c r="H528" i="26"/>
  <c r="M527" i="26"/>
  <c r="H527" i="26"/>
  <c r="M526" i="26"/>
  <c r="H526" i="26"/>
  <c r="M525" i="26"/>
  <c r="H525" i="26"/>
  <c r="M524" i="26"/>
  <c r="H524" i="26"/>
  <c r="M523" i="26"/>
  <c r="H523" i="26"/>
  <c r="M522" i="26"/>
  <c r="H522" i="26"/>
  <c r="M521" i="26"/>
  <c r="H521" i="26"/>
  <c r="M520" i="26"/>
  <c r="H520" i="26"/>
  <c r="M519" i="26"/>
  <c r="H519" i="26"/>
  <c r="M518" i="26"/>
  <c r="H518" i="26"/>
  <c r="M517" i="26"/>
  <c r="H517" i="26"/>
  <c r="M516" i="26"/>
  <c r="H516" i="26"/>
  <c r="M515" i="26"/>
  <c r="H515" i="26"/>
  <c r="M514" i="26"/>
  <c r="H514" i="26"/>
  <c r="M513" i="26"/>
  <c r="H513" i="26"/>
  <c r="M512" i="26"/>
  <c r="H512" i="26"/>
  <c r="M511" i="26"/>
  <c r="H511" i="26"/>
  <c r="M510" i="26"/>
  <c r="H510" i="26"/>
  <c r="M509" i="26"/>
  <c r="H509" i="26"/>
  <c r="M508" i="26"/>
  <c r="H508" i="26"/>
  <c r="M461" i="26" l="1"/>
  <c r="H461" i="26"/>
  <c r="M460" i="26"/>
  <c r="H460" i="26"/>
  <c r="M459" i="26"/>
  <c r="H459" i="26"/>
  <c r="M458" i="26"/>
  <c r="H458" i="26"/>
  <c r="M457" i="26"/>
  <c r="H457" i="26"/>
  <c r="M456" i="26"/>
  <c r="H456" i="26"/>
  <c r="M455" i="26"/>
  <c r="H455" i="26"/>
  <c r="M454" i="26"/>
  <c r="H454" i="26"/>
  <c r="M453" i="26"/>
  <c r="H453" i="26"/>
  <c r="M452" i="26"/>
  <c r="H452" i="26"/>
  <c r="M451" i="26"/>
  <c r="H451" i="26"/>
  <c r="M450" i="26"/>
  <c r="H450" i="26"/>
  <c r="M449" i="26"/>
  <c r="H449" i="26"/>
  <c r="M448" i="26"/>
  <c r="H448" i="26"/>
  <c r="M447" i="26"/>
  <c r="H447" i="26"/>
  <c r="M446" i="26"/>
  <c r="H446" i="26"/>
  <c r="M445" i="26"/>
  <c r="H445" i="26"/>
  <c r="M444" i="26"/>
  <c r="H444" i="26"/>
  <c r="M443" i="26"/>
  <c r="H443" i="26"/>
  <c r="M442" i="26"/>
  <c r="H442" i="26"/>
  <c r="M441" i="26"/>
  <c r="H441" i="26"/>
  <c r="M440" i="26"/>
  <c r="H440" i="26"/>
  <c r="M439" i="26"/>
  <c r="H439" i="26"/>
  <c r="M438" i="26"/>
  <c r="H438" i="26"/>
  <c r="M437" i="26"/>
  <c r="H437" i="26"/>
  <c r="M436" i="26"/>
  <c r="H436" i="26"/>
  <c r="M435" i="26"/>
  <c r="H435" i="26"/>
  <c r="M434" i="26"/>
  <c r="H434" i="26"/>
  <c r="M433" i="26"/>
  <c r="H433" i="26"/>
  <c r="M432" i="26"/>
  <c r="H432" i="26"/>
  <c r="M431" i="26"/>
  <c r="H431" i="26"/>
  <c r="M430" i="26"/>
  <c r="H430" i="26"/>
  <c r="M429" i="26"/>
  <c r="H429" i="26"/>
  <c r="M428" i="26"/>
  <c r="H428" i="26"/>
  <c r="M427" i="26"/>
  <c r="H427" i="26"/>
  <c r="M426" i="26"/>
  <c r="H426" i="26"/>
  <c r="M425" i="26"/>
  <c r="H425" i="26"/>
  <c r="M424" i="26"/>
  <c r="H424" i="26"/>
  <c r="M423" i="26"/>
  <c r="H423" i="26"/>
  <c r="M422" i="26"/>
  <c r="H422" i="26"/>
  <c r="M421" i="26"/>
  <c r="H421" i="26"/>
  <c r="M420" i="26"/>
  <c r="H420" i="26"/>
  <c r="M419" i="26"/>
  <c r="H419" i="26"/>
  <c r="M418" i="26"/>
  <c r="H418" i="26"/>
  <c r="M417" i="26"/>
  <c r="H417" i="26"/>
  <c r="M416" i="26"/>
  <c r="H416" i="26"/>
  <c r="M415" i="26"/>
  <c r="H415" i="26"/>
  <c r="M414" i="26"/>
  <c r="H414" i="26"/>
  <c r="M413" i="26"/>
  <c r="H413" i="26"/>
  <c r="M412" i="26"/>
  <c r="H412" i="26"/>
  <c r="M411" i="26"/>
  <c r="H411" i="26"/>
  <c r="M410" i="26"/>
  <c r="H410" i="26"/>
  <c r="M409" i="26"/>
  <c r="H409" i="26"/>
  <c r="M408" i="26"/>
  <c r="H408" i="26"/>
  <c r="M407" i="26"/>
  <c r="H407" i="26"/>
  <c r="M406" i="26"/>
  <c r="H406" i="26"/>
  <c r="M405" i="26"/>
  <c r="H405" i="26"/>
  <c r="M404" i="26"/>
  <c r="H404" i="26"/>
  <c r="M403" i="26"/>
  <c r="H403" i="26"/>
  <c r="M402" i="26"/>
  <c r="H402" i="26"/>
  <c r="M401" i="26"/>
  <c r="H401" i="26"/>
  <c r="M400" i="26"/>
  <c r="H400" i="26"/>
  <c r="M399" i="26"/>
  <c r="H399" i="26"/>
  <c r="M398" i="26"/>
  <c r="H398" i="26"/>
  <c r="M397" i="26"/>
  <c r="H397" i="26"/>
  <c r="M396" i="26"/>
  <c r="H396" i="26"/>
  <c r="M395" i="26"/>
  <c r="H395" i="26"/>
  <c r="M394" i="26"/>
  <c r="H394" i="26"/>
  <c r="M393" i="26"/>
  <c r="H393" i="26"/>
  <c r="M392" i="26"/>
  <c r="H392" i="26"/>
  <c r="M391" i="26"/>
  <c r="H391" i="26"/>
  <c r="M390" i="26"/>
  <c r="H390" i="26"/>
  <c r="M389" i="26"/>
  <c r="H389" i="26"/>
  <c r="M388" i="26"/>
  <c r="H388" i="26"/>
  <c r="M387" i="26"/>
  <c r="H387" i="26"/>
  <c r="M386" i="26"/>
  <c r="H386" i="26"/>
  <c r="M385" i="26"/>
  <c r="H385" i="26"/>
  <c r="M384" i="26"/>
  <c r="H384" i="26"/>
  <c r="M383" i="26"/>
  <c r="H383" i="26"/>
  <c r="M382" i="26"/>
  <c r="H382" i="26"/>
  <c r="M381" i="26"/>
  <c r="H381" i="26"/>
  <c r="M380" i="26"/>
  <c r="H380" i="26"/>
  <c r="M379" i="26"/>
  <c r="H379" i="26"/>
  <c r="M378" i="26"/>
  <c r="H378" i="26"/>
  <c r="M377" i="26"/>
  <c r="H377" i="26"/>
  <c r="M376" i="26"/>
  <c r="H376" i="26"/>
  <c r="M375" i="26"/>
  <c r="H375" i="26"/>
  <c r="M374" i="26"/>
  <c r="H374" i="26"/>
  <c r="M373" i="26"/>
  <c r="H373" i="26"/>
  <c r="M372" i="26"/>
  <c r="H372" i="26"/>
  <c r="M371" i="26"/>
  <c r="H371" i="26"/>
  <c r="M370" i="26"/>
  <c r="H370" i="26"/>
  <c r="M369" i="26"/>
  <c r="H369" i="26"/>
  <c r="M368" i="26"/>
  <c r="H368" i="26"/>
  <c r="M367" i="26"/>
  <c r="H367" i="26"/>
  <c r="M366" i="26"/>
  <c r="H366" i="26"/>
  <c r="M365" i="26"/>
  <c r="H365" i="26"/>
  <c r="M364" i="26"/>
  <c r="H364" i="26"/>
  <c r="M363" i="26"/>
  <c r="H363" i="26"/>
  <c r="M362" i="26"/>
  <c r="H362" i="26"/>
  <c r="M361" i="26"/>
  <c r="H361" i="26"/>
  <c r="M360" i="26"/>
  <c r="H360" i="26"/>
  <c r="M359" i="26"/>
  <c r="H359" i="26"/>
  <c r="M358" i="26"/>
  <c r="H358" i="26"/>
  <c r="M357" i="26"/>
  <c r="H357" i="26"/>
  <c r="M356" i="26"/>
  <c r="H356" i="26"/>
  <c r="M355" i="26"/>
  <c r="H355" i="26"/>
  <c r="M354" i="26"/>
  <c r="H354" i="26"/>
  <c r="M353" i="26"/>
  <c r="H353" i="26"/>
  <c r="M352" i="26"/>
  <c r="H352" i="26"/>
  <c r="M351" i="26"/>
  <c r="H351" i="26"/>
  <c r="M350" i="26"/>
  <c r="H350" i="26"/>
  <c r="M349" i="26"/>
  <c r="H349" i="26"/>
  <c r="M348" i="26"/>
  <c r="H348" i="26"/>
  <c r="M347" i="26"/>
  <c r="H347" i="26"/>
  <c r="M346" i="26"/>
  <c r="H346" i="26"/>
  <c r="M345" i="26"/>
  <c r="H345" i="26"/>
  <c r="M344" i="26"/>
  <c r="H344" i="26"/>
  <c r="M343" i="26"/>
  <c r="H343" i="26"/>
  <c r="M342" i="26"/>
  <c r="H342" i="26"/>
  <c r="M341" i="26"/>
  <c r="H341" i="26"/>
  <c r="M340" i="26"/>
  <c r="H340" i="26"/>
  <c r="M339" i="26"/>
  <c r="H339" i="26"/>
  <c r="M338" i="26"/>
  <c r="H338" i="26"/>
  <c r="M337" i="26"/>
  <c r="H337" i="26"/>
  <c r="M336" i="26"/>
  <c r="H336" i="26"/>
  <c r="M335" i="26"/>
  <c r="H335" i="26"/>
  <c r="M334" i="26"/>
  <c r="H334" i="26"/>
  <c r="M333" i="26"/>
  <c r="H333" i="26"/>
  <c r="M332" i="26"/>
  <c r="H332" i="26"/>
  <c r="M331" i="26"/>
  <c r="H331" i="26"/>
  <c r="M330" i="26"/>
  <c r="H330" i="26"/>
  <c r="M329" i="26"/>
  <c r="H329" i="26"/>
  <c r="M328" i="26"/>
  <c r="H328" i="26"/>
  <c r="M327" i="26"/>
  <c r="H327" i="26"/>
  <c r="M326" i="26"/>
  <c r="H326" i="26"/>
  <c r="M325" i="26"/>
  <c r="H325" i="26"/>
  <c r="M324" i="26"/>
  <c r="H324" i="26"/>
  <c r="M323" i="26"/>
  <c r="H323" i="26"/>
  <c r="M322" i="26"/>
  <c r="H322" i="26"/>
  <c r="M321" i="26"/>
  <c r="H321" i="26"/>
  <c r="M320" i="26"/>
  <c r="H320" i="26"/>
  <c r="M319" i="26"/>
  <c r="H319" i="26"/>
  <c r="M318" i="26"/>
  <c r="H318" i="26"/>
  <c r="M317" i="26"/>
  <c r="H317" i="26"/>
  <c r="M316" i="26"/>
  <c r="H316" i="26"/>
  <c r="M315" i="26"/>
  <c r="H315" i="26"/>
  <c r="M314" i="26"/>
  <c r="H314" i="26"/>
  <c r="M313" i="26"/>
  <c r="H313" i="26"/>
  <c r="M312" i="26"/>
  <c r="H312" i="26"/>
  <c r="M311" i="26"/>
  <c r="H311" i="26"/>
  <c r="M310" i="26"/>
  <c r="H310" i="26"/>
  <c r="M309" i="26"/>
  <c r="H309" i="26"/>
  <c r="M308" i="26"/>
  <c r="H308" i="26"/>
  <c r="M307" i="26"/>
  <c r="H307" i="26"/>
  <c r="G463" i="26"/>
  <c r="G464" i="26"/>
  <c r="G539" i="26"/>
  <c r="G540" i="26"/>
  <c r="H462" i="26"/>
  <c r="H463" i="26"/>
  <c r="M463" i="26"/>
  <c r="H464" i="26"/>
  <c r="M464" i="26"/>
  <c r="H465" i="26"/>
  <c r="H466" i="26"/>
  <c r="M466" i="26"/>
  <c r="H467" i="26"/>
  <c r="M467" i="26"/>
  <c r="H468" i="26"/>
  <c r="M468" i="26"/>
  <c r="H469" i="26"/>
  <c r="M469" i="26"/>
  <c r="S120" i="17"/>
  <c r="S121" i="17"/>
  <c r="S122" i="17"/>
  <c r="S123" i="17"/>
  <c r="S124" i="17"/>
  <c r="S125" i="17"/>
  <c r="S126" i="17"/>
  <c r="S127" i="17"/>
  <c r="S128" i="17"/>
  <c r="K120" i="17"/>
  <c r="J121" i="17"/>
  <c r="K121" i="17"/>
  <c r="K122" i="17"/>
  <c r="J123" i="17"/>
  <c r="K123" i="17"/>
  <c r="K124" i="17"/>
  <c r="J125" i="17"/>
  <c r="K125" i="17"/>
  <c r="K126" i="17"/>
  <c r="J127" i="17"/>
  <c r="K127" i="17"/>
  <c r="K128" i="17"/>
  <c r="H120" i="17"/>
  <c r="J120" i="17" s="1"/>
  <c r="H121" i="17"/>
  <c r="H122" i="17"/>
  <c r="J122" i="17" s="1"/>
  <c r="H123" i="17"/>
  <c r="H124" i="17"/>
  <c r="J124" i="17" s="1"/>
  <c r="H125" i="17"/>
  <c r="H126" i="17"/>
  <c r="J126" i="17" s="1"/>
  <c r="H127" i="17"/>
  <c r="H128" i="17"/>
  <c r="J128" i="17" s="1"/>
  <c r="S80" i="17"/>
  <c r="S81" i="17"/>
  <c r="S82" i="17"/>
  <c r="S83" i="17"/>
  <c r="S84" i="17"/>
  <c r="S85" i="17"/>
  <c r="K80" i="17"/>
  <c r="K81" i="17"/>
  <c r="K82" i="17"/>
  <c r="K83" i="17"/>
  <c r="K84" i="17"/>
  <c r="K85" i="17"/>
  <c r="H80" i="17"/>
  <c r="J80" i="17" s="1"/>
  <c r="H81" i="17"/>
  <c r="J81" i="17" s="1"/>
  <c r="H82" i="17"/>
  <c r="J82" i="17" s="1"/>
  <c r="H83" i="17"/>
  <c r="J83" i="17" s="1"/>
  <c r="H84" i="17"/>
  <c r="J84" i="17" s="1"/>
  <c r="H85" i="17"/>
  <c r="J85" i="17" s="1"/>
  <c r="G542" i="26" l="1"/>
  <c r="K36" i="17"/>
  <c r="K37" i="17"/>
  <c r="K38" i="17"/>
  <c r="H36" i="17"/>
  <c r="J36" i="17" s="1"/>
  <c r="H37" i="17"/>
  <c r="J37" i="17" s="1"/>
  <c r="H38" i="17"/>
  <c r="J38" i="17" s="1"/>
  <c r="S24" i="17"/>
  <c r="S25" i="17"/>
  <c r="K24" i="17"/>
  <c r="K25" i="17"/>
  <c r="H24" i="17"/>
  <c r="J24" i="17" s="1"/>
  <c r="H25" i="17"/>
  <c r="J25" i="17" s="1"/>
  <c r="K9" i="17"/>
  <c r="K10" i="17"/>
  <c r="H9" i="17"/>
  <c r="J9" i="17" s="1"/>
  <c r="H10" i="17"/>
  <c r="J10" i="17" s="1"/>
  <c r="Q882" i="16" l="1"/>
  <c r="Q883" i="16"/>
  <c r="Q884" i="16"/>
  <c r="Q885" i="16"/>
  <c r="Q886" i="16"/>
  <c r="Q887" i="16"/>
  <c r="Q888" i="16"/>
  <c r="Q889" i="16"/>
  <c r="Q890" i="16"/>
  <c r="Q891" i="16"/>
  <c r="Q892" i="16"/>
  <c r="Q893" i="16"/>
  <c r="Q894" i="16"/>
  <c r="Q895" i="16"/>
  <c r="Q896" i="16"/>
  <c r="Q897" i="16"/>
  <c r="Q898" i="16"/>
  <c r="Q899" i="16"/>
  <c r="Q900" i="16"/>
  <c r="Q901" i="16"/>
  <c r="Q902" i="16"/>
  <c r="Q903" i="16"/>
  <c r="Q904" i="16"/>
  <c r="Q905" i="16"/>
  <c r="Q906" i="16"/>
  <c r="Q907" i="16"/>
  <c r="Q908" i="16"/>
  <c r="Q909" i="16"/>
  <c r="Q910" i="16"/>
  <c r="Q911" i="16"/>
  <c r="Q912" i="16"/>
  <c r="Q913" i="16"/>
  <c r="Q914" i="16"/>
  <c r="Q915" i="16"/>
  <c r="Q916" i="16"/>
  <c r="Q917" i="16"/>
  <c r="Q918" i="16"/>
  <c r="Q919" i="16"/>
  <c r="Q920" i="16"/>
  <c r="Q921" i="16"/>
  <c r="Q922" i="16"/>
  <c r="Q923" i="16"/>
  <c r="Q924" i="16"/>
  <c r="Q925" i="16"/>
  <c r="Q926" i="16"/>
  <c r="Q927" i="16"/>
  <c r="Q928" i="16"/>
  <c r="Q929" i="16"/>
  <c r="Q930" i="16"/>
  <c r="Q931" i="16"/>
  <c r="Q932" i="16"/>
  <c r="Q933" i="16"/>
  <c r="Q934" i="16"/>
  <c r="Q935" i="16"/>
  <c r="Q936" i="16"/>
  <c r="Q937" i="16"/>
  <c r="Q938" i="16"/>
  <c r="Q939" i="16"/>
  <c r="Q940" i="16"/>
  <c r="Q941" i="16"/>
  <c r="Q942" i="16"/>
  <c r="Q943" i="16"/>
  <c r="Q944" i="16"/>
  <c r="Q945" i="16"/>
  <c r="Q946" i="16"/>
  <c r="Q947" i="16"/>
  <c r="Q948" i="16"/>
  <c r="Q949" i="16"/>
  <c r="Q950" i="16"/>
  <c r="Q951" i="16"/>
  <c r="Q952" i="16"/>
  <c r="Q953" i="16"/>
  <c r="Q954" i="16"/>
  <c r="Q955" i="16"/>
  <c r="Q956" i="16"/>
  <c r="Q957" i="16"/>
  <c r="Q958" i="16"/>
  <c r="Q959" i="16"/>
  <c r="Q960" i="16"/>
  <c r="Q961" i="16"/>
  <c r="Q962" i="16"/>
  <c r="J882" i="16"/>
  <c r="J883" i="16"/>
  <c r="J884" i="16"/>
  <c r="J885" i="16"/>
  <c r="J886" i="16"/>
  <c r="J887" i="16"/>
  <c r="J888" i="16"/>
  <c r="J889" i="16"/>
  <c r="J890" i="16"/>
  <c r="J891" i="16"/>
  <c r="J892" i="16"/>
  <c r="J893" i="16"/>
  <c r="J894" i="16"/>
  <c r="J895" i="16"/>
  <c r="J896" i="16"/>
  <c r="J897" i="16"/>
  <c r="J898" i="16"/>
  <c r="J899" i="16"/>
  <c r="J900" i="16"/>
  <c r="J901" i="16"/>
  <c r="J902" i="16"/>
  <c r="J903" i="16"/>
  <c r="J904" i="16"/>
  <c r="J905" i="16"/>
  <c r="J906" i="16"/>
  <c r="J907" i="16"/>
  <c r="J908" i="16"/>
  <c r="J909" i="16"/>
  <c r="J910" i="16"/>
  <c r="J911" i="16"/>
  <c r="J912" i="16"/>
  <c r="J913" i="16"/>
  <c r="J914" i="16"/>
  <c r="J915" i="16"/>
  <c r="J916" i="16"/>
  <c r="J917" i="16"/>
  <c r="J918" i="16"/>
  <c r="J919" i="16"/>
  <c r="J920" i="16"/>
  <c r="J921" i="16"/>
  <c r="J922" i="16"/>
  <c r="J923" i="16"/>
  <c r="J924" i="16"/>
  <c r="J925" i="16"/>
  <c r="J926" i="16"/>
  <c r="J927" i="16"/>
  <c r="J928" i="16"/>
  <c r="J929" i="16"/>
  <c r="J930" i="16"/>
  <c r="J931" i="16"/>
  <c r="J932" i="16"/>
  <c r="J933" i="16"/>
  <c r="J934" i="16"/>
  <c r="J935" i="16"/>
  <c r="J936" i="16"/>
  <c r="J937" i="16"/>
  <c r="J938" i="16"/>
  <c r="J939" i="16"/>
  <c r="J940" i="16"/>
  <c r="J941" i="16"/>
  <c r="J942" i="16"/>
  <c r="J943" i="16"/>
  <c r="J944" i="16"/>
  <c r="J945" i="16"/>
  <c r="J946" i="16"/>
  <c r="J947" i="16"/>
  <c r="J948" i="16"/>
  <c r="J949" i="16"/>
  <c r="J950" i="16"/>
  <c r="J951" i="16"/>
  <c r="J952" i="16"/>
  <c r="J953" i="16"/>
  <c r="J954" i="16"/>
  <c r="J955" i="16"/>
  <c r="J956" i="16"/>
  <c r="J957" i="16"/>
  <c r="J958" i="16"/>
  <c r="J959" i="16"/>
  <c r="J960" i="16"/>
  <c r="J961" i="16"/>
  <c r="J962" i="16"/>
  <c r="Q687" i="16"/>
  <c r="Q688" i="16"/>
  <c r="Q689" i="16"/>
  <c r="Q690" i="16"/>
  <c r="Q691" i="16"/>
  <c r="Q692" i="16"/>
  <c r="Q693" i="16"/>
  <c r="J687" i="16"/>
  <c r="J688" i="16"/>
  <c r="J689" i="16"/>
  <c r="J690" i="16"/>
  <c r="J691" i="16"/>
  <c r="J692" i="16"/>
  <c r="J693" i="16"/>
  <c r="Q1060" i="16" l="1"/>
  <c r="Q1061" i="16"/>
  <c r="Q1062" i="16"/>
  <c r="Q1063" i="16"/>
  <c r="Q1064" i="16"/>
  <c r="Q1065" i="16"/>
  <c r="Q1066" i="16"/>
  <c r="Q1067" i="16"/>
  <c r="Q1068" i="16"/>
  <c r="Q1069" i="16"/>
  <c r="Q1070" i="16"/>
  <c r="Q1071" i="16"/>
  <c r="Q1072" i="16"/>
  <c r="Q1073" i="16"/>
  <c r="Q1074" i="16"/>
  <c r="Q1075" i="16"/>
  <c r="Q1076" i="16"/>
  <c r="Q1077" i="16"/>
  <c r="Q1078" i="16"/>
  <c r="Q1079" i="16"/>
  <c r="Q1080" i="16"/>
  <c r="Q1081" i="16"/>
  <c r="Q1082" i="16"/>
  <c r="Q1083" i="16"/>
  <c r="Q1084" i="16"/>
  <c r="Q1085" i="16"/>
  <c r="Q1086" i="16"/>
  <c r="Q1087" i="16"/>
  <c r="J1085" i="16"/>
  <c r="J1086" i="16"/>
  <c r="J1087" i="16"/>
  <c r="J1060" i="16"/>
  <c r="J1061" i="16"/>
  <c r="J1062" i="16"/>
  <c r="J1063" i="16"/>
  <c r="J1064" i="16"/>
  <c r="J1065" i="16"/>
  <c r="J1066" i="16"/>
  <c r="J1067" i="16"/>
  <c r="J1068" i="16"/>
  <c r="J1069" i="16"/>
  <c r="J1070" i="16"/>
  <c r="J1071" i="16"/>
  <c r="J1072" i="16"/>
  <c r="J1073" i="16"/>
  <c r="J1074" i="16"/>
  <c r="J1075" i="16"/>
  <c r="J1076" i="16"/>
  <c r="J1077" i="16"/>
  <c r="J1078" i="16"/>
  <c r="J1079" i="16"/>
  <c r="J1080" i="16"/>
  <c r="J1081" i="16"/>
  <c r="J1082" i="16"/>
  <c r="J1083" i="16"/>
  <c r="J1084" i="16"/>
  <c r="J660" i="16"/>
  <c r="Q648" i="16"/>
  <c r="J648" i="16"/>
  <c r="Q580" i="16"/>
  <c r="Q581" i="16"/>
  <c r="Q582" i="16"/>
  <c r="Q583" i="16"/>
  <c r="Q584" i="16"/>
  <c r="Q585" i="16"/>
  <c r="Q586" i="16"/>
  <c r="Q587" i="16"/>
  <c r="Q588" i="16"/>
  <c r="Q589" i="16"/>
  <c r="Q590" i="16"/>
  <c r="Q591" i="16"/>
  <c r="Q592" i="16"/>
  <c r="Q593" i="16"/>
  <c r="Q594" i="16"/>
  <c r="Q595" i="16"/>
  <c r="Q596" i="16"/>
  <c r="Q597" i="16"/>
  <c r="Q598" i="16"/>
  <c r="Q599" i="16"/>
  <c r="Q600" i="16"/>
  <c r="Q601" i="16"/>
  <c r="Q602" i="16"/>
  <c r="Q603" i="16"/>
  <c r="Q604" i="16"/>
  <c r="Q605" i="16"/>
  <c r="Q606" i="16"/>
  <c r="Q607" i="16"/>
  <c r="Q608" i="16"/>
  <c r="Q609" i="16"/>
  <c r="Q610" i="16"/>
  <c r="Q611" i="16"/>
  <c r="Q612" i="16"/>
  <c r="Q613" i="16"/>
  <c r="Q614" i="16"/>
  <c r="Q615" i="16"/>
  <c r="Q616" i="16"/>
  <c r="Q617" i="16"/>
  <c r="Q618" i="16"/>
  <c r="Q619" i="16"/>
  <c r="Q620" i="16"/>
  <c r="Q621" i="16"/>
  <c r="Q622" i="16"/>
  <c r="Q623" i="16"/>
  <c r="Q624" i="16"/>
  <c r="Q625" i="16"/>
  <c r="Q626" i="16"/>
  <c r="Q627" i="16"/>
  <c r="Q628" i="16"/>
  <c r="Q629" i="16"/>
  <c r="Q630" i="16"/>
  <c r="Q631" i="16"/>
  <c r="Q632" i="16"/>
  <c r="Q633" i="16"/>
  <c r="Q634" i="16"/>
  <c r="J579" i="16"/>
  <c r="J580" i="16"/>
  <c r="J581" i="16"/>
  <c r="J582" i="16"/>
  <c r="J583" i="16"/>
  <c r="J584" i="16"/>
  <c r="J585" i="16"/>
  <c r="J586" i="16"/>
  <c r="J587" i="16"/>
  <c r="J588" i="16"/>
  <c r="J589" i="16"/>
  <c r="J590" i="16"/>
  <c r="J591" i="16"/>
  <c r="J592" i="16"/>
  <c r="J593" i="16"/>
  <c r="J594" i="16"/>
  <c r="J595" i="16"/>
  <c r="J596" i="16"/>
  <c r="J597" i="16"/>
  <c r="J598" i="16"/>
  <c r="J599" i="16"/>
  <c r="J600" i="16"/>
  <c r="J601" i="16"/>
  <c r="J602" i="16"/>
  <c r="J603" i="16"/>
  <c r="J604" i="16"/>
  <c r="J605" i="16"/>
  <c r="J606" i="16"/>
  <c r="J607" i="16"/>
  <c r="J608" i="16"/>
  <c r="J609" i="16"/>
  <c r="J610" i="16"/>
  <c r="J611" i="16"/>
  <c r="J612" i="16"/>
  <c r="J613" i="16"/>
  <c r="J614" i="16"/>
  <c r="J615" i="16"/>
  <c r="J616" i="16"/>
  <c r="J617" i="16"/>
  <c r="J618" i="16"/>
  <c r="J619" i="16"/>
  <c r="J620" i="16"/>
  <c r="J621" i="16"/>
  <c r="J622" i="16"/>
  <c r="J623" i="16"/>
  <c r="J624" i="16"/>
  <c r="J625" i="16"/>
  <c r="J626" i="16"/>
  <c r="J627" i="16"/>
  <c r="J628" i="16"/>
  <c r="J629" i="16"/>
  <c r="J630" i="16"/>
  <c r="J631" i="16"/>
  <c r="J632" i="16"/>
  <c r="J633" i="16"/>
  <c r="J634" i="16"/>
  <c r="Q333" i="16"/>
  <c r="Q334" i="16"/>
  <c r="Q335" i="16"/>
  <c r="Q336" i="16"/>
  <c r="Q337" i="16"/>
  <c r="Q338" i="16"/>
  <c r="Q339" i="16"/>
  <c r="Q340" i="16"/>
  <c r="Q341" i="16"/>
  <c r="Q342" i="16"/>
  <c r="Q343" i="16"/>
  <c r="Q344" i="16"/>
  <c r="Q345" i="16"/>
  <c r="Q346" i="16"/>
  <c r="Q347" i="16"/>
  <c r="Q348" i="16"/>
  <c r="Q349" i="16"/>
  <c r="Q350" i="16"/>
  <c r="Q351" i="16"/>
  <c r="Q352" i="16"/>
  <c r="Q353" i="16"/>
  <c r="Q354" i="16"/>
  <c r="Q355" i="16"/>
  <c r="Q356" i="16"/>
  <c r="Q357" i="16"/>
  <c r="Q358" i="16"/>
  <c r="Q359" i="16"/>
  <c r="Q360" i="16"/>
  <c r="Q361" i="16"/>
  <c r="Q362" i="16"/>
  <c r="Q363" i="16"/>
  <c r="Q364" i="16"/>
  <c r="Q365" i="16"/>
  <c r="Q366" i="16"/>
  <c r="Q367" i="16"/>
  <c r="Q368" i="16"/>
  <c r="Q369" i="16"/>
  <c r="Q370" i="16"/>
  <c r="Q371" i="16"/>
  <c r="Q372" i="16"/>
  <c r="Q373" i="16"/>
  <c r="Q374" i="16"/>
  <c r="Q375" i="16"/>
  <c r="Q376" i="16"/>
  <c r="Q377" i="16"/>
  <c r="Q378" i="16"/>
  <c r="Q379" i="16"/>
  <c r="Q380" i="16"/>
  <c r="Q381" i="16"/>
  <c r="Q382" i="16"/>
  <c r="Q383" i="16"/>
  <c r="Q384" i="16"/>
  <c r="Q385" i="16"/>
  <c r="Q386" i="16"/>
  <c r="Q387" i="16"/>
  <c r="Q388" i="16"/>
  <c r="Q389" i="16"/>
  <c r="Q390" i="16"/>
  <c r="Q391" i="16"/>
  <c r="Q392" i="16"/>
  <c r="Q393" i="16"/>
  <c r="Q394" i="16"/>
  <c r="Q395" i="16"/>
  <c r="Q396" i="16"/>
  <c r="Q397" i="16"/>
  <c r="Q398" i="16"/>
  <c r="Q399" i="16"/>
  <c r="Q400" i="16"/>
  <c r="Q401" i="16"/>
  <c r="Q402" i="16"/>
  <c r="Q403" i="16"/>
  <c r="Q404" i="16"/>
  <c r="Q405" i="16"/>
  <c r="Q406" i="16"/>
  <c r="Q407" i="16"/>
  <c r="Q408" i="16"/>
  <c r="Q409" i="16"/>
  <c r="Q410" i="16"/>
  <c r="Q411" i="16"/>
  <c r="Q412" i="16"/>
  <c r="Q413" i="16"/>
  <c r="Q414" i="16"/>
  <c r="Q415" i="16"/>
  <c r="Q416" i="16"/>
  <c r="Q417" i="16"/>
  <c r="Q418" i="16"/>
  <c r="Q419" i="16"/>
  <c r="Q420" i="16"/>
  <c r="Q421" i="16"/>
  <c r="Q422" i="16"/>
  <c r="Q423" i="16"/>
  <c r="Q424" i="16"/>
  <c r="Q425" i="16"/>
  <c r="Q426" i="16"/>
  <c r="Q427" i="16"/>
  <c r="Q428" i="16"/>
  <c r="Q429" i="16"/>
  <c r="Q430" i="16"/>
  <c r="Q431" i="16"/>
  <c r="Q432" i="16"/>
  <c r="Q433" i="16"/>
  <c r="Q434" i="16"/>
  <c r="Q435" i="16"/>
  <c r="Q436" i="16"/>
  <c r="Q437" i="16"/>
  <c r="Q438" i="16"/>
  <c r="Q439" i="16"/>
  <c r="Q440" i="16"/>
  <c r="Q441" i="16"/>
  <c r="Q442" i="16"/>
  <c r="Q443" i="16"/>
  <c r="Q444" i="16"/>
  <c r="Q445" i="16"/>
  <c r="Q446" i="16"/>
  <c r="Q447" i="16"/>
  <c r="Q448" i="16"/>
  <c r="Q449" i="16"/>
  <c r="Q450" i="16"/>
  <c r="Q451" i="16"/>
  <c r="Q452" i="16"/>
  <c r="Q453" i="16"/>
  <c r="Q454" i="16"/>
  <c r="Q455" i="16"/>
  <c r="Q456" i="16"/>
  <c r="Q457" i="16"/>
  <c r="Q458" i="16"/>
  <c r="Q459" i="16"/>
  <c r="Q325" i="16"/>
  <c r="Q326" i="16"/>
  <c r="Q327" i="16"/>
  <c r="Q328" i="16"/>
  <c r="Q329" i="16"/>
  <c r="Q330" i="16"/>
  <c r="Q331" i="16"/>
  <c r="Q332" i="16"/>
  <c r="Q306" i="16"/>
  <c r="Q307" i="16"/>
  <c r="Q308" i="16"/>
  <c r="Q309" i="16"/>
  <c r="Q310" i="16"/>
  <c r="Q311" i="16"/>
  <c r="Q312" i="16"/>
  <c r="Q313" i="16"/>
  <c r="Q314" i="16"/>
  <c r="Q315" i="16"/>
  <c r="Q316" i="16"/>
  <c r="Q317" i="16"/>
  <c r="Q318" i="16"/>
  <c r="Q319" i="16"/>
  <c r="Q320" i="16"/>
  <c r="Q321" i="16"/>
  <c r="Q322" i="16"/>
  <c r="Q323" i="16"/>
  <c r="Q324" i="16"/>
  <c r="J306" i="16"/>
  <c r="J307" i="16"/>
  <c r="J308" i="16"/>
  <c r="J309" i="16"/>
  <c r="J310" i="16"/>
  <c r="J311" i="16"/>
  <c r="J312" i="16"/>
  <c r="J313" i="16"/>
  <c r="J314" i="16"/>
  <c r="J315" i="16"/>
  <c r="J316" i="16"/>
  <c r="J317" i="16"/>
  <c r="J318" i="16"/>
  <c r="J319" i="16"/>
  <c r="J320" i="16"/>
  <c r="J321" i="16"/>
  <c r="J322" i="16"/>
  <c r="J323" i="16"/>
  <c r="J324" i="16"/>
  <c r="J325" i="16"/>
  <c r="J326" i="16"/>
  <c r="J327" i="16"/>
  <c r="J328" i="16"/>
  <c r="J329" i="16"/>
  <c r="J330" i="16"/>
  <c r="J331" i="16"/>
  <c r="J332" i="16"/>
  <c r="J333" i="16"/>
  <c r="J334" i="16"/>
  <c r="J335" i="16"/>
  <c r="J336" i="16"/>
  <c r="J337" i="16"/>
  <c r="J338" i="16"/>
  <c r="J339" i="16"/>
  <c r="J340" i="16"/>
  <c r="J341" i="16"/>
  <c r="J342" i="16"/>
  <c r="J343" i="16"/>
  <c r="J344" i="16"/>
  <c r="J345" i="16"/>
  <c r="J346" i="16"/>
  <c r="J347" i="16"/>
  <c r="J348" i="16"/>
  <c r="J349" i="16"/>
  <c r="J350" i="16"/>
  <c r="J351" i="16"/>
  <c r="J352" i="16"/>
  <c r="J353" i="16"/>
  <c r="J354" i="16"/>
  <c r="J355" i="16"/>
  <c r="J356" i="16"/>
  <c r="J357" i="16"/>
  <c r="J358" i="16"/>
  <c r="J359" i="16"/>
  <c r="J360" i="16"/>
  <c r="J361" i="16"/>
  <c r="J362" i="16"/>
  <c r="J363" i="16"/>
  <c r="J364" i="16"/>
  <c r="J365" i="16"/>
  <c r="J366" i="16"/>
  <c r="J367" i="16"/>
  <c r="J368" i="16"/>
  <c r="J369" i="16"/>
  <c r="J370" i="16"/>
  <c r="J371" i="16"/>
  <c r="J372" i="16"/>
  <c r="J373" i="16"/>
  <c r="J374" i="16"/>
  <c r="J375" i="16"/>
  <c r="J376" i="16"/>
  <c r="J377" i="16"/>
  <c r="J378" i="16"/>
  <c r="J379" i="16"/>
  <c r="J380" i="16"/>
  <c r="J381" i="16"/>
  <c r="J382" i="16"/>
  <c r="J383" i="16"/>
  <c r="J384" i="16"/>
  <c r="J385" i="16"/>
  <c r="J386" i="16"/>
  <c r="J387" i="16"/>
  <c r="J388" i="16"/>
  <c r="J389" i="16"/>
  <c r="J390" i="16"/>
  <c r="J391" i="16"/>
  <c r="J392" i="16"/>
  <c r="J393" i="16"/>
  <c r="J394" i="16"/>
  <c r="J395" i="16"/>
  <c r="J396" i="16"/>
  <c r="J397" i="16"/>
  <c r="J398" i="16"/>
  <c r="J399" i="16"/>
  <c r="J400" i="16"/>
  <c r="J401" i="16"/>
  <c r="J402" i="16"/>
  <c r="J403" i="16"/>
  <c r="J404" i="16"/>
  <c r="J405" i="16"/>
  <c r="J406" i="16"/>
  <c r="J407" i="16"/>
  <c r="J408" i="16"/>
  <c r="J409" i="16"/>
  <c r="J410" i="16"/>
  <c r="J411" i="16"/>
  <c r="J412" i="16"/>
  <c r="J413" i="16"/>
  <c r="J414" i="16"/>
  <c r="J415" i="16"/>
  <c r="J416" i="16"/>
  <c r="J417" i="16"/>
  <c r="J418" i="16"/>
  <c r="J419" i="16"/>
  <c r="J420" i="16"/>
  <c r="J421" i="16"/>
  <c r="J422" i="16"/>
  <c r="J423" i="16"/>
  <c r="J424" i="16"/>
  <c r="J425" i="16"/>
  <c r="J426" i="16"/>
  <c r="J427" i="16"/>
  <c r="J428" i="16"/>
  <c r="J429" i="16"/>
  <c r="J430" i="16"/>
  <c r="J431" i="16"/>
  <c r="J432" i="16"/>
  <c r="J433" i="16"/>
  <c r="J434" i="16"/>
  <c r="J435" i="16"/>
  <c r="J436" i="16"/>
  <c r="J437" i="16"/>
  <c r="J438" i="16"/>
  <c r="J439" i="16"/>
  <c r="J440" i="16"/>
  <c r="J441" i="16"/>
  <c r="J442" i="16"/>
  <c r="J443" i="16"/>
  <c r="J444" i="16"/>
  <c r="J445" i="16"/>
  <c r="J446" i="16"/>
  <c r="J447" i="16"/>
  <c r="J448" i="16"/>
  <c r="J449" i="16"/>
  <c r="J450" i="16"/>
  <c r="J451" i="16"/>
  <c r="J452" i="16"/>
  <c r="J453" i="16"/>
  <c r="J454" i="16"/>
  <c r="J455" i="16"/>
  <c r="J456" i="16"/>
  <c r="J457" i="16"/>
  <c r="J458" i="16"/>
  <c r="J459" i="16"/>
  <c r="J81" i="2" l="1"/>
  <c r="J80" i="2"/>
  <c r="H37" i="6" l="1"/>
  <c r="H37" i="44"/>
  <c r="D33" i="4"/>
  <c r="Y46" i="13"/>
  <c r="Y48" i="14"/>
  <c r="Y46" i="11"/>
  <c r="AA46" i="12"/>
  <c r="J79" i="2" l="1"/>
  <c r="F967" i="16" l="1"/>
  <c r="G965" i="16" l="1"/>
  <c r="K119" i="17"/>
  <c r="K118" i="17"/>
  <c r="K117" i="17"/>
  <c r="K116" i="17"/>
  <c r="K115" i="17"/>
  <c r="K114" i="17"/>
  <c r="K113" i="17"/>
  <c r="K112" i="17"/>
  <c r="K111" i="17"/>
  <c r="K110" i="17"/>
  <c r="K109" i="17"/>
  <c r="K108" i="17"/>
  <c r="K107" i="17"/>
  <c r="K106" i="17"/>
  <c r="K105" i="17"/>
  <c r="K104" i="17"/>
  <c r="K103" i="17"/>
  <c r="K102" i="17"/>
  <c r="K101" i="17"/>
  <c r="K100" i="17"/>
  <c r="K99" i="17"/>
  <c r="K98" i="17"/>
  <c r="K97" i="17"/>
  <c r="K96" i="17"/>
  <c r="K95" i="17"/>
  <c r="K79" i="17"/>
  <c r="K78" i="17"/>
  <c r="K77" i="17"/>
  <c r="K76" i="17"/>
  <c r="K75" i="17"/>
  <c r="K74" i="17"/>
  <c r="K73" i="17"/>
  <c r="K72" i="17"/>
  <c r="K71" i="17"/>
  <c r="K70" i="17"/>
  <c r="K69" i="17"/>
  <c r="K68" i="17"/>
  <c r="K67" i="17"/>
  <c r="K66" i="17"/>
  <c r="K65" i="17"/>
  <c r="K64" i="17"/>
  <c r="K63" i="17"/>
  <c r="K62" i="17"/>
  <c r="K61" i="17"/>
  <c r="K35" i="17"/>
  <c r="S39" i="17"/>
  <c r="J881" i="16" l="1"/>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686" i="16"/>
  <c r="J685" i="16"/>
  <c r="J684" i="16"/>
  <c r="J683" i="16"/>
  <c r="J682" i="16"/>
  <c r="J681" i="16"/>
  <c r="J680" i="16"/>
  <c r="J679" i="16"/>
  <c r="J678" i="16"/>
  <c r="J677" i="16"/>
  <c r="J676" i="16"/>
  <c r="K185" i="17" l="1"/>
  <c r="K23" i="17"/>
  <c r="K22" i="17"/>
  <c r="K21" i="17"/>
  <c r="K20" i="17"/>
  <c r="K8" i="17"/>
  <c r="Q1088" i="16" l="1"/>
  <c r="Q1089" i="16"/>
  <c r="Q1090" i="16"/>
  <c r="J1059" i="16"/>
  <c r="J1058" i="16"/>
  <c r="J1057" i="16"/>
  <c r="J1056" i="16"/>
  <c r="J1055" i="16"/>
  <c r="J1054" i="16"/>
  <c r="J1053" i="16"/>
  <c r="J1052" i="16"/>
  <c r="J1051" i="16"/>
  <c r="J1050" i="16"/>
  <c r="J1049" i="16"/>
  <c r="J1048" i="16"/>
  <c r="J1047" i="16"/>
  <c r="J1046" i="16"/>
  <c r="J1045" i="16"/>
  <c r="J1044" i="16"/>
  <c r="J1043" i="16"/>
  <c r="J1042" i="16"/>
  <c r="J1041" i="16"/>
  <c r="J1040" i="16"/>
  <c r="J1039" i="16"/>
  <c r="J1038" i="16"/>
  <c r="J1037" i="16"/>
  <c r="J1036" i="16"/>
  <c r="J1035" i="16"/>
  <c r="J1034" i="16"/>
  <c r="J1033" i="16"/>
  <c r="J1032" i="16"/>
  <c r="J1031" i="16"/>
  <c r="J1030" i="16"/>
  <c r="J1029" i="16"/>
  <c r="J1028" i="16"/>
  <c r="J1027" i="16"/>
  <c r="J1026" i="16"/>
  <c r="J1025" i="16"/>
  <c r="J1024" i="16"/>
  <c r="J1023" i="16"/>
  <c r="J1022" i="16"/>
  <c r="J1021" i="16"/>
  <c r="J1020" i="16"/>
  <c r="J1019" i="16"/>
  <c r="J1018" i="16"/>
  <c r="G651" i="16"/>
  <c r="J647" i="16"/>
  <c r="J646" i="16"/>
  <c r="J645" i="16"/>
  <c r="G637" i="16"/>
  <c r="Q635"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6" i="16"/>
  <c r="J7" i="16"/>
  <c r="J8" i="16"/>
  <c r="J9" i="16"/>
  <c r="J10" i="16"/>
  <c r="J11" i="16"/>
  <c r="J12" i="16"/>
  <c r="J13" i="16"/>
  <c r="J14" i="16"/>
  <c r="J15" i="16"/>
  <c r="J16" i="16"/>
  <c r="J17" i="16"/>
  <c r="J18" i="16"/>
  <c r="J19" i="16"/>
  <c r="J20" i="16"/>
  <c r="J21" i="16"/>
  <c r="J22" i="16"/>
  <c r="J23" i="16"/>
  <c r="J24" i="16"/>
  <c r="J25" i="16"/>
  <c r="J26" i="16"/>
  <c r="J27" i="16"/>
  <c r="J28" i="16"/>
  <c r="J29" i="16"/>
  <c r="J30" i="16"/>
  <c r="J31" i="16"/>
  <c r="J32" i="16"/>
  <c r="J33" i="16"/>
  <c r="J34" i="16"/>
  <c r="J35" i="16"/>
  <c r="J36" i="16"/>
  <c r="J37" i="16"/>
  <c r="J38" i="16"/>
  <c r="J39" i="16"/>
  <c r="J40" i="16"/>
  <c r="J41" i="16"/>
  <c r="J42" i="16"/>
  <c r="J43" i="16"/>
  <c r="J44" i="16"/>
  <c r="J45" i="16"/>
  <c r="J46" i="16"/>
  <c r="J47" i="16"/>
  <c r="J48" i="16"/>
  <c r="J49" i="16"/>
  <c r="J50" i="16"/>
  <c r="J51" i="16"/>
  <c r="J52" i="16"/>
  <c r="J53" i="16"/>
  <c r="J54" i="16"/>
  <c r="J55" i="16"/>
  <c r="J56" i="16"/>
  <c r="J57" i="16"/>
  <c r="J58" i="16"/>
  <c r="J59" i="16"/>
  <c r="J60" i="16"/>
  <c r="J61" i="16"/>
  <c r="J62" i="16"/>
  <c r="J63" i="16"/>
  <c r="J64" i="16"/>
  <c r="J65" i="16"/>
  <c r="J66" i="16"/>
  <c r="J67" i="16"/>
  <c r="J68" i="16"/>
  <c r="J69" i="16"/>
  <c r="J70" i="16"/>
  <c r="J71" i="16"/>
  <c r="J72" i="16"/>
  <c r="J73" i="16"/>
  <c r="J74" i="16"/>
  <c r="J75" i="16"/>
  <c r="J76" i="16"/>
  <c r="J77" i="16"/>
  <c r="J78" i="16"/>
  <c r="J79" i="16"/>
  <c r="J80" i="16"/>
  <c r="J81" i="16"/>
  <c r="J82" i="16"/>
  <c r="J83" i="16"/>
  <c r="J84" i="16"/>
  <c r="J85" i="16"/>
  <c r="J86" i="16"/>
  <c r="J87" i="16"/>
  <c r="J88" i="16"/>
  <c r="J89" i="16"/>
  <c r="J90" i="16"/>
  <c r="J91" i="16"/>
  <c r="J92" i="16"/>
  <c r="J93" i="16"/>
  <c r="J94" i="16"/>
  <c r="J95" i="16"/>
  <c r="J96" i="16"/>
  <c r="J97" i="16"/>
  <c r="J98" i="16"/>
  <c r="J99" i="16"/>
  <c r="J100" i="16"/>
  <c r="J101" i="16"/>
  <c r="J102" i="16"/>
  <c r="J103" i="16"/>
  <c r="J104" i="16"/>
  <c r="J105" i="16"/>
  <c r="J106" i="16"/>
  <c r="J107" i="16"/>
  <c r="J108" i="16"/>
  <c r="J109" i="16"/>
  <c r="J110" i="16"/>
  <c r="J111" i="16"/>
  <c r="J112" i="16"/>
  <c r="J113" i="16"/>
  <c r="J114" i="16"/>
  <c r="J115" i="16"/>
  <c r="J116" i="16"/>
  <c r="J117" i="16"/>
  <c r="J118" i="16"/>
  <c r="J119" i="16"/>
  <c r="J120" i="16"/>
  <c r="J121" i="16"/>
  <c r="J122" i="16"/>
  <c r="J123" i="16"/>
  <c r="J124" i="16"/>
  <c r="J125" i="16"/>
  <c r="J126" i="16"/>
  <c r="J127" i="16"/>
  <c r="J128" i="16"/>
  <c r="J129" i="16"/>
  <c r="J130" i="16"/>
  <c r="J131" i="16"/>
  <c r="J132" i="16"/>
  <c r="J133" i="16"/>
  <c r="J134" i="16"/>
  <c r="J135" i="16"/>
  <c r="J136" i="16"/>
  <c r="J137" i="16"/>
  <c r="J138" i="16"/>
  <c r="J139" i="16"/>
  <c r="J140" i="16"/>
  <c r="J141" i="16"/>
  <c r="J142" i="16"/>
  <c r="J143" i="16"/>
  <c r="J144" i="16"/>
  <c r="J145" i="16"/>
  <c r="J146" i="16"/>
  <c r="J147" i="16"/>
  <c r="J148" i="16"/>
  <c r="J149" i="16"/>
  <c r="J150" i="16"/>
  <c r="J151" i="16"/>
  <c r="J152" i="16"/>
  <c r="J153" i="16"/>
  <c r="J154" i="16"/>
  <c r="J155" i="16"/>
  <c r="J156" i="16"/>
  <c r="J157" i="16"/>
  <c r="J158" i="16"/>
  <c r="J159" i="16"/>
  <c r="J160" i="16"/>
  <c r="J161" i="16"/>
  <c r="J162" i="16"/>
  <c r="J163" i="16"/>
  <c r="J164" i="16"/>
  <c r="J165" i="16"/>
  <c r="J166" i="16"/>
  <c r="J167" i="16"/>
  <c r="J168" i="16"/>
  <c r="J169" i="16"/>
  <c r="J170" i="16"/>
  <c r="J171" i="16"/>
  <c r="J172" i="16"/>
  <c r="J173" i="16"/>
  <c r="J174" i="16"/>
  <c r="J175" i="16"/>
  <c r="J176" i="16"/>
  <c r="J177" i="16"/>
  <c r="J178" i="16"/>
  <c r="J179" i="16"/>
  <c r="J180" i="16"/>
  <c r="J181" i="16"/>
  <c r="J182" i="16"/>
  <c r="J183" i="16"/>
  <c r="J184" i="16"/>
  <c r="J185" i="16"/>
  <c r="J186" i="16"/>
  <c r="J187" i="16"/>
  <c r="J188" i="16"/>
  <c r="J189" i="16"/>
  <c r="J190" i="16"/>
  <c r="J191" i="16"/>
  <c r="J192" i="16"/>
  <c r="J193" i="16"/>
  <c r="J194" i="16"/>
  <c r="J195" i="16"/>
  <c r="J196" i="16"/>
  <c r="J197" i="16"/>
  <c r="J198" i="16"/>
  <c r="J199" i="16"/>
  <c r="J200" i="16"/>
  <c r="J201" i="16"/>
  <c r="J202" i="16"/>
  <c r="J203" i="16"/>
  <c r="J204" i="16"/>
  <c r="J205" i="16"/>
  <c r="J206" i="16"/>
  <c r="J207" i="16"/>
  <c r="J208" i="16"/>
  <c r="J209" i="16"/>
  <c r="J210" i="16"/>
  <c r="J211" i="16"/>
  <c r="J212" i="16"/>
  <c r="J213" i="16"/>
  <c r="J214" i="16"/>
  <c r="J215" i="16"/>
  <c r="J216" i="16"/>
  <c r="J217" i="16"/>
  <c r="J218" i="16"/>
  <c r="J219" i="16"/>
  <c r="J220" i="16"/>
  <c r="J221" i="16"/>
  <c r="J222" i="16"/>
  <c r="J223" i="16"/>
  <c r="J224" i="16"/>
  <c r="J225" i="16"/>
  <c r="J226" i="16"/>
  <c r="J227" i="16"/>
  <c r="J228" i="16"/>
  <c r="J229" i="16"/>
  <c r="J230" i="16"/>
  <c r="J231" i="16"/>
  <c r="J232" i="16"/>
  <c r="J233" i="16"/>
  <c r="J234" i="16"/>
  <c r="J235" i="16"/>
  <c r="J236" i="16"/>
  <c r="J237" i="16"/>
  <c r="J238" i="16"/>
  <c r="J239" i="16"/>
  <c r="J240" i="16"/>
  <c r="J241" i="16"/>
  <c r="J242" i="16"/>
  <c r="J243" i="16"/>
  <c r="J244" i="16"/>
  <c r="J245" i="16"/>
  <c r="J246" i="16"/>
  <c r="J247" i="16"/>
  <c r="J248" i="16"/>
  <c r="J249" i="16"/>
  <c r="J250" i="16"/>
  <c r="J251" i="16"/>
  <c r="J252" i="16"/>
  <c r="J253" i="16"/>
  <c r="J254" i="16"/>
  <c r="J255" i="16"/>
  <c r="J256" i="16"/>
  <c r="J257" i="16"/>
  <c r="J258" i="16"/>
  <c r="J259" i="16"/>
  <c r="J260" i="16"/>
  <c r="J261" i="16"/>
  <c r="J262" i="16"/>
  <c r="J263" i="16"/>
  <c r="J264" i="16"/>
  <c r="J265" i="16"/>
  <c r="J266" i="16"/>
  <c r="J267" i="16"/>
  <c r="J268" i="16"/>
  <c r="J269" i="16"/>
  <c r="J270" i="16"/>
  <c r="J271" i="16"/>
  <c r="J272" i="16"/>
  <c r="J273" i="16"/>
  <c r="J274" i="16"/>
  <c r="J275" i="16"/>
  <c r="J276" i="16"/>
  <c r="J277" i="16"/>
  <c r="J278" i="16"/>
  <c r="J279" i="16"/>
  <c r="J280" i="16"/>
  <c r="J281" i="16"/>
  <c r="J282" i="16"/>
  <c r="J283" i="16"/>
  <c r="J284" i="16"/>
  <c r="J285" i="16"/>
  <c r="J286" i="16"/>
  <c r="J287" i="16"/>
  <c r="J288" i="16"/>
  <c r="J289" i="16"/>
  <c r="J290" i="16"/>
  <c r="J291" i="16"/>
  <c r="J292" i="16"/>
  <c r="J293" i="16"/>
  <c r="J294" i="16"/>
  <c r="J295" i="16"/>
  <c r="J296" i="16"/>
  <c r="J297" i="16"/>
  <c r="J298" i="16"/>
  <c r="J299" i="16"/>
  <c r="J300" i="16"/>
  <c r="J301" i="16"/>
  <c r="J302" i="16"/>
  <c r="J303" i="16"/>
  <c r="J304" i="16"/>
  <c r="J305" i="16"/>
  <c r="O11" i="17"/>
  <c r="P11" i="17"/>
  <c r="O12" i="17"/>
  <c r="P12" i="17"/>
  <c r="O46" i="16"/>
  <c r="J5" i="16"/>
  <c r="G883" i="16" l="1"/>
  <c r="I883" i="16" s="1"/>
  <c r="G887" i="16"/>
  <c r="I887" i="16" s="1"/>
  <c r="G891" i="16"/>
  <c r="I891" i="16" s="1"/>
  <c r="G895" i="16"/>
  <c r="I895" i="16" s="1"/>
  <c r="G899" i="16"/>
  <c r="I899" i="16" s="1"/>
  <c r="G903" i="16"/>
  <c r="I903" i="16" s="1"/>
  <c r="G907" i="16"/>
  <c r="I907" i="16" s="1"/>
  <c r="G911" i="16"/>
  <c r="I911" i="16" s="1"/>
  <c r="G915" i="16"/>
  <c r="I915" i="16" s="1"/>
  <c r="G919" i="16"/>
  <c r="I919" i="16" s="1"/>
  <c r="G923" i="16"/>
  <c r="I923" i="16" s="1"/>
  <c r="G927" i="16"/>
  <c r="I927" i="16" s="1"/>
  <c r="G931" i="16"/>
  <c r="I931" i="16" s="1"/>
  <c r="G935" i="16"/>
  <c r="I935" i="16" s="1"/>
  <c r="G939" i="16"/>
  <c r="I939" i="16" s="1"/>
  <c r="G943" i="16"/>
  <c r="I943" i="16" s="1"/>
  <c r="G947" i="16"/>
  <c r="I947" i="16" s="1"/>
  <c r="G951" i="16"/>
  <c r="I951" i="16" s="1"/>
  <c r="G955" i="16"/>
  <c r="I955" i="16" s="1"/>
  <c r="G959" i="16"/>
  <c r="I959" i="16" s="1"/>
  <c r="G921" i="16"/>
  <c r="I921" i="16" s="1"/>
  <c r="G925" i="16"/>
  <c r="I925" i="16" s="1"/>
  <c r="G937" i="16"/>
  <c r="I937" i="16" s="1"/>
  <c r="G941" i="16"/>
  <c r="I941" i="16" s="1"/>
  <c r="G953" i="16"/>
  <c r="I953" i="16" s="1"/>
  <c r="G957" i="16"/>
  <c r="I957" i="16" s="1"/>
  <c r="G890" i="16"/>
  <c r="I890" i="16" s="1"/>
  <c r="G894" i="16"/>
  <c r="I894" i="16" s="1"/>
  <c r="G906" i="16"/>
  <c r="I906" i="16" s="1"/>
  <c r="G910" i="16"/>
  <c r="I910" i="16" s="1"/>
  <c r="G922" i="16"/>
  <c r="I922" i="16" s="1"/>
  <c r="G926" i="16"/>
  <c r="I926" i="16" s="1"/>
  <c r="G938" i="16"/>
  <c r="I938" i="16" s="1"/>
  <c r="G942" i="16"/>
  <c r="I942" i="16" s="1"/>
  <c r="G954" i="16"/>
  <c r="I954" i="16" s="1"/>
  <c r="G962" i="16"/>
  <c r="I962" i="16" s="1"/>
  <c r="G884" i="16"/>
  <c r="I884" i="16" s="1"/>
  <c r="G888" i="16"/>
  <c r="I888" i="16" s="1"/>
  <c r="G892" i="16"/>
  <c r="I892" i="16" s="1"/>
  <c r="G896" i="16"/>
  <c r="I896" i="16" s="1"/>
  <c r="G900" i="16"/>
  <c r="I900" i="16" s="1"/>
  <c r="G904" i="16"/>
  <c r="I904" i="16" s="1"/>
  <c r="G908" i="16"/>
  <c r="I908" i="16" s="1"/>
  <c r="G912" i="16"/>
  <c r="I912" i="16" s="1"/>
  <c r="G916" i="16"/>
  <c r="I916" i="16" s="1"/>
  <c r="G920" i="16"/>
  <c r="I920" i="16" s="1"/>
  <c r="G924" i="16"/>
  <c r="I924" i="16" s="1"/>
  <c r="G928" i="16"/>
  <c r="I928" i="16" s="1"/>
  <c r="G932" i="16"/>
  <c r="I932" i="16" s="1"/>
  <c r="G936" i="16"/>
  <c r="I936" i="16" s="1"/>
  <c r="G940" i="16"/>
  <c r="I940" i="16" s="1"/>
  <c r="G944" i="16"/>
  <c r="I944" i="16" s="1"/>
  <c r="G948" i="16"/>
  <c r="I948" i="16" s="1"/>
  <c r="G952" i="16"/>
  <c r="I952" i="16" s="1"/>
  <c r="G956" i="16"/>
  <c r="I956" i="16" s="1"/>
  <c r="G960" i="16"/>
  <c r="I960" i="16" s="1"/>
  <c r="G917" i="16"/>
  <c r="I917" i="16" s="1"/>
  <c r="G933" i="16"/>
  <c r="I933" i="16" s="1"/>
  <c r="G949" i="16"/>
  <c r="I949" i="16" s="1"/>
  <c r="G961" i="16"/>
  <c r="I961" i="16" s="1"/>
  <c r="G882" i="16"/>
  <c r="I882" i="16" s="1"/>
  <c r="G898" i="16"/>
  <c r="I898" i="16" s="1"/>
  <c r="G914" i="16"/>
  <c r="I914" i="16" s="1"/>
  <c r="G930" i="16"/>
  <c r="I930" i="16" s="1"/>
  <c r="G946" i="16"/>
  <c r="I946" i="16" s="1"/>
  <c r="G958" i="16"/>
  <c r="I958" i="16" s="1"/>
  <c r="G885" i="16"/>
  <c r="I885" i="16" s="1"/>
  <c r="G889" i="16"/>
  <c r="I889" i="16" s="1"/>
  <c r="G893" i="16"/>
  <c r="I893" i="16" s="1"/>
  <c r="G897" i="16"/>
  <c r="I897" i="16" s="1"/>
  <c r="G901" i="16"/>
  <c r="I901" i="16" s="1"/>
  <c r="G905" i="16"/>
  <c r="I905" i="16" s="1"/>
  <c r="G909" i="16"/>
  <c r="I909" i="16" s="1"/>
  <c r="G913" i="16"/>
  <c r="I913" i="16" s="1"/>
  <c r="G929" i="16"/>
  <c r="I929" i="16" s="1"/>
  <c r="G945" i="16"/>
  <c r="I945" i="16" s="1"/>
  <c r="G886" i="16"/>
  <c r="I886" i="16" s="1"/>
  <c r="G902" i="16"/>
  <c r="I902" i="16" s="1"/>
  <c r="G918" i="16"/>
  <c r="I918" i="16" s="1"/>
  <c r="G934" i="16"/>
  <c r="I934" i="16" s="1"/>
  <c r="G950" i="16"/>
  <c r="I950" i="16" s="1"/>
  <c r="G690" i="16"/>
  <c r="I690" i="16" s="1"/>
  <c r="G693" i="16"/>
  <c r="I693" i="16" s="1"/>
  <c r="G687" i="16"/>
  <c r="I687" i="16" s="1"/>
  <c r="G691" i="16"/>
  <c r="I691" i="16" s="1"/>
  <c r="G688" i="16"/>
  <c r="I688" i="16" s="1"/>
  <c r="G692" i="16"/>
  <c r="I692" i="16" s="1"/>
  <c r="G689" i="16"/>
  <c r="I689" i="16" s="1"/>
  <c r="G1060" i="16"/>
  <c r="I1060" i="16" s="1"/>
  <c r="G1064" i="16"/>
  <c r="I1064" i="16" s="1"/>
  <c r="G1068" i="16"/>
  <c r="I1068" i="16" s="1"/>
  <c r="G1072" i="16"/>
  <c r="I1072" i="16" s="1"/>
  <c r="G1076" i="16"/>
  <c r="I1076" i="16" s="1"/>
  <c r="G1080" i="16"/>
  <c r="I1080" i="16" s="1"/>
  <c r="G1084" i="16"/>
  <c r="I1084" i="16" s="1"/>
  <c r="G1061" i="16"/>
  <c r="I1061" i="16" s="1"/>
  <c r="G1065" i="16"/>
  <c r="I1065" i="16" s="1"/>
  <c r="G1069" i="16"/>
  <c r="I1069" i="16" s="1"/>
  <c r="G1073" i="16"/>
  <c r="I1073" i="16" s="1"/>
  <c r="G1077" i="16"/>
  <c r="I1077" i="16" s="1"/>
  <c r="G1081" i="16"/>
  <c r="I1081" i="16" s="1"/>
  <c r="G1085" i="16"/>
  <c r="I1085" i="16" s="1"/>
  <c r="G1062" i="16"/>
  <c r="I1062" i="16" s="1"/>
  <c r="G1066" i="16"/>
  <c r="I1066" i="16" s="1"/>
  <c r="G1070" i="16"/>
  <c r="I1070" i="16" s="1"/>
  <c r="G1074" i="16"/>
  <c r="I1074" i="16" s="1"/>
  <c r="G1078" i="16"/>
  <c r="I1078" i="16" s="1"/>
  <c r="G1082" i="16"/>
  <c r="I1082" i="16" s="1"/>
  <c r="G1086" i="16"/>
  <c r="I1086" i="16" s="1"/>
  <c r="G1063" i="16"/>
  <c r="I1063" i="16" s="1"/>
  <c r="G1067" i="16"/>
  <c r="I1067" i="16" s="1"/>
  <c r="G1071" i="16"/>
  <c r="I1071" i="16" s="1"/>
  <c r="G1075" i="16"/>
  <c r="I1075" i="16" s="1"/>
  <c r="G1079" i="16"/>
  <c r="I1079" i="16" s="1"/>
  <c r="G1083" i="16"/>
  <c r="I1083" i="16" s="1"/>
  <c r="G1087" i="16"/>
  <c r="I1087" i="16" s="1"/>
  <c r="G648" i="16"/>
  <c r="I648" i="16" s="1"/>
  <c r="G660" i="16"/>
  <c r="I660" i="16" s="1"/>
  <c r="G581" i="16"/>
  <c r="I581" i="16" s="1"/>
  <c r="G585" i="16"/>
  <c r="I585" i="16" s="1"/>
  <c r="G589" i="16"/>
  <c r="I589" i="16" s="1"/>
  <c r="G593" i="16"/>
  <c r="I593" i="16" s="1"/>
  <c r="G597" i="16"/>
  <c r="I597" i="16" s="1"/>
  <c r="G601" i="16"/>
  <c r="I601" i="16" s="1"/>
  <c r="G605" i="16"/>
  <c r="I605" i="16" s="1"/>
  <c r="G609" i="16"/>
  <c r="I609" i="16" s="1"/>
  <c r="G613" i="16"/>
  <c r="I613" i="16" s="1"/>
  <c r="G617" i="16"/>
  <c r="I617" i="16" s="1"/>
  <c r="G621" i="16"/>
  <c r="I621" i="16" s="1"/>
  <c r="G625" i="16"/>
  <c r="I625" i="16" s="1"/>
  <c r="G629" i="16"/>
  <c r="I629" i="16" s="1"/>
  <c r="G633" i="16"/>
  <c r="I633" i="16" s="1"/>
  <c r="G582" i="16"/>
  <c r="I582" i="16" s="1"/>
  <c r="G586" i="16"/>
  <c r="I586" i="16" s="1"/>
  <c r="G590" i="16"/>
  <c r="I590" i="16" s="1"/>
  <c r="G594" i="16"/>
  <c r="I594" i="16" s="1"/>
  <c r="G598" i="16"/>
  <c r="I598" i="16" s="1"/>
  <c r="G602" i="16"/>
  <c r="I602" i="16" s="1"/>
  <c r="G606" i="16"/>
  <c r="I606" i="16" s="1"/>
  <c r="G610" i="16"/>
  <c r="I610" i="16" s="1"/>
  <c r="G614" i="16"/>
  <c r="I614" i="16" s="1"/>
  <c r="G618" i="16"/>
  <c r="I618" i="16" s="1"/>
  <c r="G622" i="16"/>
  <c r="I622" i="16" s="1"/>
  <c r="G626" i="16"/>
  <c r="I626" i="16" s="1"/>
  <c r="G630" i="16"/>
  <c r="I630" i="16" s="1"/>
  <c r="G634" i="16"/>
  <c r="I634" i="16" s="1"/>
  <c r="G583" i="16"/>
  <c r="I583" i="16" s="1"/>
  <c r="G587" i="16"/>
  <c r="I587" i="16" s="1"/>
  <c r="G591" i="16"/>
  <c r="I591" i="16" s="1"/>
  <c r="G595" i="16"/>
  <c r="I595" i="16" s="1"/>
  <c r="G599" i="16"/>
  <c r="I599" i="16" s="1"/>
  <c r="G603" i="16"/>
  <c r="I603" i="16" s="1"/>
  <c r="G607" i="16"/>
  <c r="I607" i="16" s="1"/>
  <c r="G611" i="16"/>
  <c r="I611" i="16" s="1"/>
  <c r="G615" i="16"/>
  <c r="I615" i="16" s="1"/>
  <c r="G619" i="16"/>
  <c r="I619" i="16" s="1"/>
  <c r="G623" i="16"/>
  <c r="I623" i="16" s="1"/>
  <c r="G627" i="16"/>
  <c r="I627" i="16" s="1"/>
  <c r="G631" i="16"/>
  <c r="I631" i="16" s="1"/>
  <c r="G580" i="16"/>
  <c r="I580" i="16" s="1"/>
  <c r="G584" i="16"/>
  <c r="I584" i="16" s="1"/>
  <c r="G588" i="16"/>
  <c r="I588" i="16" s="1"/>
  <c r="G592" i="16"/>
  <c r="I592" i="16" s="1"/>
  <c r="G596" i="16"/>
  <c r="I596" i="16" s="1"/>
  <c r="G600" i="16"/>
  <c r="I600" i="16" s="1"/>
  <c r="G604" i="16"/>
  <c r="I604" i="16" s="1"/>
  <c r="G608" i="16"/>
  <c r="I608" i="16" s="1"/>
  <c r="G612" i="16"/>
  <c r="I612" i="16" s="1"/>
  <c r="G616" i="16"/>
  <c r="I616" i="16" s="1"/>
  <c r="G620" i="16"/>
  <c r="I620" i="16" s="1"/>
  <c r="G624" i="16"/>
  <c r="I624" i="16" s="1"/>
  <c r="G628" i="16"/>
  <c r="I628" i="16" s="1"/>
  <c r="G632" i="16"/>
  <c r="I632" i="16" s="1"/>
  <c r="G306" i="16"/>
  <c r="I306" i="16" s="1"/>
  <c r="G310" i="16"/>
  <c r="I310" i="16" s="1"/>
  <c r="G314" i="16"/>
  <c r="I314" i="16" s="1"/>
  <c r="G318" i="16"/>
  <c r="I318" i="16" s="1"/>
  <c r="G322" i="16"/>
  <c r="I322" i="16" s="1"/>
  <c r="G326" i="16"/>
  <c r="I326" i="16" s="1"/>
  <c r="G330" i="16"/>
  <c r="I330" i="16" s="1"/>
  <c r="G334" i="16"/>
  <c r="I334" i="16" s="1"/>
  <c r="G308" i="16"/>
  <c r="I308" i="16" s="1"/>
  <c r="G312" i="16"/>
  <c r="I312" i="16" s="1"/>
  <c r="G316" i="16"/>
  <c r="I316" i="16" s="1"/>
  <c r="G320" i="16"/>
  <c r="I320" i="16" s="1"/>
  <c r="G311" i="16"/>
  <c r="I311" i="16" s="1"/>
  <c r="G319" i="16"/>
  <c r="I319" i="16" s="1"/>
  <c r="G325" i="16"/>
  <c r="I325" i="16" s="1"/>
  <c r="G331" i="16"/>
  <c r="I331" i="16" s="1"/>
  <c r="G336" i="16"/>
  <c r="I336" i="16" s="1"/>
  <c r="G340" i="16"/>
  <c r="I340" i="16" s="1"/>
  <c r="G344" i="16"/>
  <c r="I344" i="16" s="1"/>
  <c r="G348" i="16"/>
  <c r="I348" i="16" s="1"/>
  <c r="G352" i="16"/>
  <c r="I352" i="16" s="1"/>
  <c r="G356" i="16"/>
  <c r="I356" i="16" s="1"/>
  <c r="G360" i="16"/>
  <c r="I360" i="16" s="1"/>
  <c r="G364" i="16"/>
  <c r="I364" i="16" s="1"/>
  <c r="G368" i="16"/>
  <c r="I368" i="16" s="1"/>
  <c r="G372" i="16"/>
  <c r="I372" i="16" s="1"/>
  <c r="G376" i="16"/>
  <c r="I376" i="16" s="1"/>
  <c r="G380" i="16"/>
  <c r="I380" i="16" s="1"/>
  <c r="G384" i="16"/>
  <c r="I384" i="16" s="1"/>
  <c r="G388" i="16"/>
  <c r="I388" i="16" s="1"/>
  <c r="G392" i="16"/>
  <c r="I392" i="16" s="1"/>
  <c r="G396" i="16"/>
  <c r="I396" i="16" s="1"/>
  <c r="G400" i="16"/>
  <c r="I400" i="16" s="1"/>
  <c r="G404" i="16"/>
  <c r="I404" i="16" s="1"/>
  <c r="G408" i="16"/>
  <c r="I408" i="16" s="1"/>
  <c r="G412" i="16"/>
  <c r="I412" i="16" s="1"/>
  <c r="G416" i="16"/>
  <c r="I416" i="16" s="1"/>
  <c r="G420" i="16"/>
  <c r="I420" i="16" s="1"/>
  <c r="G424" i="16"/>
  <c r="I424" i="16" s="1"/>
  <c r="G428" i="16"/>
  <c r="I428" i="16" s="1"/>
  <c r="G432" i="16"/>
  <c r="I432" i="16" s="1"/>
  <c r="G436" i="16"/>
  <c r="I436" i="16" s="1"/>
  <c r="G440" i="16"/>
  <c r="I440" i="16" s="1"/>
  <c r="G444" i="16"/>
  <c r="I444" i="16" s="1"/>
  <c r="G448" i="16"/>
  <c r="I448" i="16" s="1"/>
  <c r="G452" i="16"/>
  <c r="I452" i="16" s="1"/>
  <c r="G456" i="16"/>
  <c r="I456" i="16" s="1"/>
  <c r="G405" i="16"/>
  <c r="I405" i="16" s="1"/>
  <c r="G413" i="16"/>
  <c r="I413" i="16" s="1"/>
  <c r="G421" i="16"/>
  <c r="I421" i="16" s="1"/>
  <c r="G429" i="16"/>
  <c r="I429" i="16" s="1"/>
  <c r="G437" i="16"/>
  <c r="I437" i="16" s="1"/>
  <c r="G445" i="16"/>
  <c r="I445" i="16" s="1"/>
  <c r="G453" i="16"/>
  <c r="I453" i="16" s="1"/>
  <c r="G351" i="16"/>
  <c r="I351" i="16" s="1"/>
  <c r="G367" i="16"/>
  <c r="I367" i="16" s="1"/>
  <c r="G379" i="16"/>
  <c r="I379" i="16" s="1"/>
  <c r="G395" i="16"/>
  <c r="I395" i="16" s="1"/>
  <c r="G407" i="16"/>
  <c r="I407" i="16" s="1"/>
  <c r="G423" i="16"/>
  <c r="I423" i="16" s="1"/>
  <c r="G435" i="16"/>
  <c r="I435" i="16" s="1"/>
  <c r="G451" i="16"/>
  <c r="I451" i="16" s="1"/>
  <c r="G313" i="16"/>
  <c r="I313" i="16" s="1"/>
  <c r="G321" i="16"/>
  <c r="I321" i="16" s="1"/>
  <c r="G327" i="16"/>
  <c r="I327" i="16" s="1"/>
  <c r="G332" i="16"/>
  <c r="I332" i="16" s="1"/>
  <c r="G337" i="16"/>
  <c r="I337" i="16" s="1"/>
  <c r="G341" i="16"/>
  <c r="I341" i="16" s="1"/>
  <c r="G345" i="16"/>
  <c r="I345" i="16" s="1"/>
  <c r="G349" i="16"/>
  <c r="I349" i="16" s="1"/>
  <c r="G353" i="16"/>
  <c r="I353" i="16" s="1"/>
  <c r="G357" i="16"/>
  <c r="I357" i="16" s="1"/>
  <c r="G361" i="16"/>
  <c r="I361" i="16" s="1"/>
  <c r="G365" i="16"/>
  <c r="I365" i="16" s="1"/>
  <c r="G369" i="16"/>
  <c r="I369" i="16" s="1"/>
  <c r="G373" i="16"/>
  <c r="I373" i="16" s="1"/>
  <c r="G377" i="16"/>
  <c r="I377" i="16" s="1"/>
  <c r="G381" i="16"/>
  <c r="I381" i="16" s="1"/>
  <c r="G385" i="16"/>
  <c r="I385" i="16" s="1"/>
  <c r="G389" i="16"/>
  <c r="I389" i="16" s="1"/>
  <c r="G393" i="16"/>
  <c r="I393" i="16" s="1"/>
  <c r="G397" i="16"/>
  <c r="I397" i="16" s="1"/>
  <c r="G401" i="16"/>
  <c r="I401" i="16" s="1"/>
  <c r="G409" i="16"/>
  <c r="I409" i="16" s="1"/>
  <c r="G417" i="16"/>
  <c r="I417" i="16" s="1"/>
  <c r="G425" i="16"/>
  <c r="I425" i="16" s="1"/>
  <c r="G433" i="16"/>
  <c r="I433" i="16" s="1"/>
  <c r="G441" i="16"/>
  <c r="I441" i="16" s="1"/>
  <c r="G449" i="16"/>
  <c r="I449" i="16" s="1"/>
  <c r="G457" i="16"/>
  <c r="I457" i="16" s="1"/>
  <c r="G363" i="16"/>
  <c r="I363" i="16" s="1"/>
  <c r="G375" i="16"/>
  <c r="I375" i="16" s="1"/>
  <c r="G391" i="16"/>
  <c r="I391" i="16" s="1"/>
  <c r="G411" i="16"/>
  <c r="I411" i="16" s="1"/>
  <c r="G427" i="16"/>
  <c r="I427" i="16" s="1"/>
  <c r="G439" i="16"/>
  <c r="I439" i="16" s="1"/>
  <c r="G455" i="16"/>
  <c r="I455" i="16" s="1"/>
  <c r="G307" i="16"/>
  <c r="I307" i="16" s="1"/>
  <c r="G315" i="16"/>
  <c r="I315" i="16" s="1"/>
  <c r="G323" i="16"/>
  <c r="I323" i="16" s="1"/>
  <c r="G328" i="16"/>
  <c r="I328" i="16" s="1"/>
  <c r="G333" i="16"/>
  <c r="I333" i="16" s="1"/>
  <c r="G338" i="16"/>
  <c r="I338" i="16" s="1"/>
  <c r="G342" i="16"/>
  <c r="I342" i="16" s="1"/>
  <c r="G346" i="16"/>
  <c r="I346" i="16" s="1"/>
  <c r="G350" i="16"/>
  <c r="I350" i="16" s="1"/>
  <c r="G354" i="16"/>
  <c r="I354" i="16" s="1"/>
  <c r="G358" i="16"/>
  <c r="I358" i="16" s="1"/>
  <c r="G362" i="16"/>
  <c r="I362" i="16" s="1"/>
  <c r="G366" i="16"/>
  <c r="I366" i="16" s="1"/>
  <c r="G370" i="16"/>
  <c r="I370" i="16" s="1"/>
  <c r="G374" i="16"/>
  <c r="I374" i="16" s="1"/>
  <c r="G378" i="16"/>
  <c r="I378" i="16" s="1"/>
  <c r="G382" i="16"/>
  <c r="I382" i="16" s="1"/>
  <c r="G386" i="16"/>
  <c r="I386" i="16" s="1"/>
  <c r="G390" i="16"/>
  <c r="I390" i="16" s="1"/>
  <c r="G394" i="16"/>
  <c r="I394" i="16" s="1"/>
  <c r="G398" i="16"/>
  <c r="I398" i="16" s="1"/>
  <c r="G402" i="16"/>
  <c r="I402" i="16" s="1"/>
  <c r="G406" i="16"/>
  <c r="I406" i="16" s="1"/>
  <c r="G410" i="16"/>
  <c r="I410" i="16" s="1"/>
  <c r="G414" i="16"/>
  <c r="I414" i="16" s="1"/>
  <c r="G418" i="16"/>
  <c r="I418" i="16" s="1"/>
  <c r="G422" i="16"/>
  <c r="I422" i="16" s="1"/>
  <c r="G426" i="16"/>
  <c r="I426" i="16" s="1"/>
  <c r="G430" i="16"/>
  <c r="I430" i="16" s="1"/>
  <c r="G434" i="16"/>
  <c r="I434" i="16" s="1"/>
  <c r="G438" i="16"/>
  <c r="I438" i="16" s="1"/>
  <c r="G442" i="16"/>
  <c r="I442" i="16" s="1"/>
  <c r="G446" i="16"/>
  <c r="I446" i="16" s="1"/>
  <c r="G450" i="16"/>
  <c r="I450" i="16" s="1"/>
  <c r="G454" i="16"/>
  <c r="I454" i="16" s="1"/>
  <c r="G458" i="16"/>
  <c r="I458" i="16" s="1"/>
  <c r="G309" i="16"/>
  <c r="I309" i="16" s="1"/>
  <c r="G317" i="16"/>
  <c r="I317" i="16" s="1"/>
  <c r="G324" i="16"/>
  <c r="I324" i="16" s="1"/>
  <c r="G329" i="16"/>
  <c r="I329" i="16" s="1"/>
  <c r="G335" i="16"/>
  <c r="I335" i="16" s="1"/>
  <c r="G339" i="16"/>
  <c r="I339" i="16" s="1"/>
  <c r="G343" i="16"/>
  <c r="I343" i="16" s="1"/>
  <c r="G347" i="16"/>
  <c r="I347" i="16" s="1"/>
  <c r="G355" i="16"/>
  <c r="I355" i="16" s="1"/>
  <c r="G359" i="16"/>
  <c r="I359" i="16" s="1"/>
  <c r="G371" i="16"/>
  <c r="I371" i="16" s="1"/>
  <c r="G383" i="16"/>
  <c r="I383" i="16" s="1"/>
  <c r="G387" i="16"/>
  <c r="I387" i="16" s="1"/>
  <c r="G399" i="16"/>
  <c r="I399" i="16" s="1"/>
  <c r="G403" i="16"/>
  <c r="I403" i="16" s="1"/>
  <c r="G415" i="16"/>
  <c r="I415" i="16" s="1"/>
  <c r="G419" i="16"/>
  <c r="I419" i="16" s="1"/>
  <c r="G431" i="16"/>
  <c r="I431" i="16" s="1"/>
  <c r="G443" i="16"/>
  <c r="I443" i="16" s="1"/>
  <c r="G447" i="16"/>
  <c r="I447" i="16" s="1"/>
  <c r="G459" i="16"/>
  <c r="I459" i="16" s="1"/>
  <c r="G1090" i="16"/>
  <c r="G964" i="16"/>
  <c r="G1089" i="16"/>
  <c r="G650" i="16"/>
  <c r="G636" i="16"/>
  <c r="O45" i="16"/>
  <c r="G263" i="16" l="1"/>
  <c r="I263" i="16" s="1"/>
  <c r="G251" i="16"/>
  <c r="I251" i="16" s="1"/>
  <c r="G181" i="16"/>
  <c r="I181" i="16" s="1"/>
  <c r="H116" i="17"/>
  <c r="J116" i="17" s="1"/>
  <c r="H112" i="17"/>
  <c r="J112" i="17" s="1"/>
  <c r="H108" i="17"/>
  <c r="J108" i="17" s="1"/>
  <c r="H78" i="17"/>
  <c r="J78" i="17" s="1"/>
  <c r="H74" i="17"/>
  <c r="J74" i="17" s="1"/>
  <c r="H119" i="17"/>
  <c r="J119" i="17" s="1"/>
  <c r="H115" i="17"/>
  <c r="J115" i="17" s="1"/>
  <c r="H111" i="17"/>
  <c r="J111" i="17" s="1"/>
  <c r="H107" i="17"/>
  <c r="J107" i="17" s="1"/>
  <c r="H77" i="17"/>
  <c r="J77" i="17" s="1"/>
  <c r="H73" i="17"/>
  <c r="J73" i="17" s="1"/>
  <c r="H79" i="17"/>
  <c r="J79" i="17" s="1"/>
  <c r="H118" i="17"/>
  <c r="J118" i="17" s="1"/>
  <c r="H114" i="17"/>
  <c r="J114" i="17" s="1"/>
  <c r="H110" i="17"/>
  <c r="J110" i="17" s="1"/>
  <c r="H106" i="17"/>
  <c r="J106" i="17" s="1"/>
  <c r="H76" i="17"/>
  <c r="J76" i="17" s="1"/>
  <c r="H72" i="17"/>
  <c r="J72" i="17" s="1"/>
  <c r="H117" i="17"/>
  <c r="J117" i="17" s="1"/>
  <c r="H113" i="17"/>
  <c r="J113" i="17" s="1"/>
  <c r="H109" i="17"/>
  <c r="J109" i="17" s="1"/>
  <c r="H105" i="17"/>
  <c r="J105" i="17" s="1"/>
  <c r="H75" i="17"/>
  <c r="J75" i="17" s="1"/>
  <c r="G143" i="16"/>
  <c r="I143" i="16" s="1"/>
  <c r="G567" i="16"/>
  <c r="I567" i="16" s="1"/>
  <c r="G878" i="16"/>
  <c r="I878" i="16" s="1"/>
  <c r="G874" i="16"/>
  <c r="I874" i="16" s="1"/>
  <c r="G870" i="16"/>
  <c r="I870" i="16" s="1"/>
  <c r="G866" i="16"/>
  <c r="I866" i="16" s="1"/>
  <c r="G862" i="16"/>
  <c r="I862" i="16" s="1"/>
  <c r="G858" i="16"/>
  <c r="I858" i="16" s="1"/>
  <c r="G854" i="16"/>
  <c r="I854" i="16" s="1"/>
  <c r="G879" i="16"/>
  <c r="I879" i="16" s="1"/>
  <c r="G873" i="16"/>
  <c r="I873" i="16" s="1"/>
  <c r="G868" i="16"/>
  <c r="I868" i="16" s="1"/>
  <c r="G863" i="16"/>
  <c r="I863" i="16" s="1"/>
  <c r="G857" i="16"/>
  <c r="I857" i="16" s="1"/>
  <c r="G852" i="16"/>
  <c r="I852" i="16" s="1"/>
  <c r="G848" i="16"/>
  <c r="I848" i="16" s="1"/>
  <c r="G841" i="16"/>
  <c r="I841" i="16" s="1"/>
  <c r="G837" i="16"/>
  <c r="I837" i="16" s="1"/>
  <c r="G833" i="16"/>
  <c r="I833" i="16" s="1"/>
  <c r="G829" i="16"/>
  <c r="I829" i="16" s="1"/>
  <c r="G825" i="16"/>
  <c r="I825" i="16" s="1"/>
  <c r="G821" i="16"/>
  <c r="I821" i="16" s="1"/>
  <c r="G817" i="16"/>
  <c r="I817" i="16" s="1"/>
  <c r="G813" i="16"/>
  <c r="I813" i="16" s="1"/>
  <c r="G809" i="16"/>
  <c r="I809" i="16" s="1"/>
  <c r="G806" i="16"/>
  <c r="I806" i="16" s="1"/>
  <c r="G802" i="16"/>
  <c r="I802" i="16" s="1"/>
  <c r="G798" i="16"/>
  <c r="I798" i="16" s="1"/>
  <c r="G794" i="16"/>
  <c r="I794" i="16" s="1"/>
  <c r="G790" i="16"/>
  <c r="I790" i="16" s="1"/>
  <c r="G786" i="16"/>
  <c r="I786" i="16" s="1"/>
  <c r="G782" i="16"/>
  <c r="I782" i="16" s="1"/>
  <c r="G684" i="16"/>
  <c r="I684" i="16" s="1"/>
  <c r="G881" i="16"/>
  <c r="I881" i="16" s="1"/>
  <c r="G876" i="16"/>
  <c r="I876" i="16" s="1"/>
  <c r="G871" i="16"/>
  <c r="I871" i="16" s="1"/>
  <c r="G865" i="16"/>
  <c r="I865" i="16" s="1"/>
  <c r="G860" i="16"/>
  <c r="I860" i="16" s="1"/>
  <c r="G855" i="16"/>
  <c r="I855" i="16" s="1"/>
  <c r="G850" i="16"/>
  <c r="I850" i="16" s="1"/>
  <c r="G846" i="16"/>
  <c r="I846" i="16" s="1"/>
  <c r="G843" i="16"/>
  <c r="I843" i="16" s="1"/>
  <c r="G839" i="16"/>
  <c r="I839" i="16" s="1"/>
  <c r="G835" i="16"/>
  <c r="I835" i="16" s="1"/>
  <c r="G831" i="16"/>
  <c r="I831" i="16" s="1"/>
  <c r="G827" i="16"/>
  <c r="I827" i="16" s="1"/>
  <c r="G823" i="16"/>
  <c r="I823" i="16" s="1"/>
  <c r="G819" i="16"/>
  <c r="I819" i="16" s="1"/>
  <c r="G815" i="16"/>
  <c r="I815" i="16" s="1"/>
  <c r="G811" i="16"/>
  <c r="I811" i="16" s="1"/>
  <c r="G804" i="16"/>
  <c r="I804" i="16" s="1"/>
  <c r="G800" i="16"/>
  <c r="I800" i="16" s="1"/>
  <c r="G796" i="16"/>
  <c r="I796" i="16" s="1"/>
  <c r="G792" i="16"/>
  <c r="I792" i="16" s="1"/>
  <c r="G788" i="16"/>
  <c r="I788" i="16" s="1"/>
  <c r="G784" i="16"/>
  <c r="I784" i="16" s="1"/>
  <c r="G780" i="16"/>
  <c r="I780" i="16" s="1"/>
  <c r="G686" i="16"/>
  <c r="I686" i="16" s="1"/>
  <c r="G682" i="16"/>
  <c r="I682" i="16" s="1"/>
  <c r="G872" i="16"/>
  <c r="I872" i="16" s="1"/>
  <c r="G861" i="16"/>
  <c r="I861" i="16" s="1"/>
  <c r="G851" i="16"/>
  <c r="I851" i="16" s="1"/>
  <c r="G844" i="16"/>
  <c r="I844" i="16" s="1"/>
  <c r="G836" i="16"/>
  <c r="I836" i="16" s="1"/>
  <c r="G828" i="16"/>
  <c r="I828" i="16" s="1"/>
  <c r="G820" i="16"/>
  <c r="I820" i="16" s="1"/>
  <c r="G812" i="16"/>
  <c r="I812" i="16" s="1"/>
  <c r="G805" i="16"/>
  <c r="I805" i="16" s="1"/>
  <c r="G797" i="16"/>
  <c r="I797" i="16" s="1"/>
  <c r="G789" i="16"/>
  <c r="I789" i="16" s="1"/>
  <c r="G781" i="16"/>
  <c r="I781" i="16" s="1"/>
  <c r="G681" i="16"/>
  <c r="I681" i="16" s="1"/>
  <c r="G880" i="16"/>
  <c r="I880" i="16" s="1"/>
  <c r="G849" i="16"/>
  <c r="I849" i="16" s="1"/>
  <c r="G834" i="16"/>
  <c r="I834" i="16" s="1"/>
  <c r="G818" i="16"/>
  <c r="I818" i="16" s="1"/>
  <c r="G803" i="16"/>
  <c r="I803" i="16" s="1"/>
  <c r="G787" i="16"/>
  <c r="I787" i="16" s="1"/>
  <c r="G877" i="16"/>
  <c r="I877" i="16" s="1"/>
  <c r="G867" i="16"/>
  <c r="I867" i="16" s="1"/>
  <c r="G856" i="16"/>
  <c r="I856" i="16" s="1"/>
  <c r="G847" i="16"/>
  <c r="I847" i="16" s="1"/>
  <c r="G840" i="16"/>
  <c r="I840" i="16" s="1"/>
  <c r="G832" i="16"/>
  <c r="I832" i="16" s="1"/>
  <c r="G824" i="16"/>
  <c r="I824" i="16" s="1"/>
  <c r="G816" i="16"/>
  <c r="I816" i="16" s="1"/>
  <c r="G808" i="16"/>
  <c r="I808" i="16" s="1"/>
  <c r="G801" i="16"/>
  <c r="I801" i="16" s="1"/>
  <c r="G793" i="16"/>
  <c r="I793" i="16" s="1"/>
  <c r="G785" i="16"/>
  <c r="I785" i="16" s="1"/>
  <c r="G685" i="16"/>
  <c r="I685" i="16" s="1"/>
  <c r="G875" i="16"/>
  <c r="I875" i="16" s="1"/>
  <c r="G864" i="16"/>
  <c r="I864" i="16" s="1"/>
  <c r="G853" i="16"/>
  <c r="I853" i="16" s="1"/>
  <c r="G845" i="16"/>
  <c r="I845" i="16" s="1"/>
  <c r="G838" i="16"/>
  <c r="I838" i="16" s="1"/>
  <c r="G830" i="16"/>
  <c r="I830" i="16" s="1"/>
  <c r="G822" i="16"/>
  <c r="I822" i="16" s="1"/>
  <c r="G814" i="16"/>
  <c r="I814" i="16" s="1"/>
  <c r="G807" i="16"/>
  <c r="I807" i="16" s="1"/>
  <c r="G799" i="16"/>
  <c r="I799" i="16" s="1"/>
  <c r="G791" i="16"/>
  <c r="I791" i="16" s="1"/>
  <c r="G783" i="16"/>
  <c r="I783" i="16" s="1"/>
  <c r="G683" i="16"/>
  <c r="I683" i="16" s="1"/>
  <c r="G869" i="16"/>
  <c r="I869" i="16" s="1"/>
  <c r="G859" i="16"/>
  <c r="I859" i="16" s="1"/>
  <c r="G842" i="16"/>
  <c r="I842" i="16" s="1"/>
  <c r="G826" i="16"/>
  <c r="I826" i="16" s="1"/>
  <c r="G810" i="16"/>
  <c r="I810" i="16" s="1"/>
  <c r="G795" i="16"/>
  <c r="I795" i="16" s="1"/>
  <c r="H8" i="17"/>
  <c r="J8" i="17" s="1"/>
  <c r="H23" i="17"/>
  <c r="J23" i="17" s="1"/>
  <c r="H22" i="17"/>
  <c r="J22" i="17" s="1"/>
  <c r="H21" i="17"/>
  <c r="J21" i="17" s="1"/>
  <c r="G300" i="16"/>
  <c r="I300" i="16" s="1"/>
  <c r="G273" i="16"/>
  <c r="I273" i="16" s="1"/>
  <c r="G149" i="16"/>
  <c r="I149" i="16" s="1"/>
  <c r="G166" i="16"/>
  <c r="I166" i="16" s="1"/>
  <c r="G267" i="16"/>
  <c r="I267" i="16" s="1"/>
  <c r="G182" i="16"/>
  <c r="I182" i="16" s="1"/>
  <c r="G285" i="16"/>
  <c r="I285" i="16" s="1"/>
  <c r="G241" i="16"/>
  <c r="I241" i="16" s="1"/>
  <c r="G160" i="16"/>
  <c r="I160" i="16" s="1"/>
  <c r="G229" i="16"/>
  <c r="I229" i="16" s="1"/>
  <c r="G514" i="16"/>
  <c r="I514" i="16" s="1"/>
  <c r="G222" i="16"/>
  <c r="I222" i="16" s="1"/>
  <c r="G142" i="16"/>
  <c r="I142" i="16" s="1"/>
  <c r="G211" i="16"/>
  <c r="I211" i="16" s="1"/>
  <c r="G128" i="16"/>
  <c r="I128" i="16" s="1"/>
  <c r="G299" i="16"/>
  <c r="I299" i="16" s="1"/>
  <c r="G576" i="16"/>
  <c r="I576" i="16" s="1"/>
  <c r="G187" i="16"/>
  <c r="I187" i="16" s="1"/>
  <c r="G228" i="16"/>
  <c r="I228" i="16" s="1"/>
  <c r="G304" i="16"/>
  <c r="I304" i="16" s="1"/>
  <c r="G289" i="16"/>
  <c r="I289" i="16" s="1"/>
  <c r="G175" i="16"/>
  <c r="I175" i="16" s="1"/>
  <c r="G256" i="16"/>
  <c r="I256" i="16" s="1"/>
  <c r="G269" i="16"/>
  <c r="I269" i="16" s="1"/>
  <c r="G237" i="16"/>
  <c r="I237" i="16" s="1"/>
  <c r="G207" i="16"/>
  <c r="I207" i="16" s="1"/>
  <c r="G177" i="16"/>
  <c r="I177" i="16" s="1"/>
  <c r="G145" i="16"/>
  <c r="I145" i="16" s="1"/>
  <c r="G156" i="16"/>
  <c r="I156" i="16" s="1"/>
  <c r="G124" i="16"/>
  <c r="I124" i="16" s="1"/>
  <c r="G139" i="16"/>
  <c r="I139" i="16" s="1"/>
  <c r="G172" i="16"/>
  <c r="I172" i="16" s="1"/>
  <c r="G280" i="16"/>
  <c r="I280" i="16" s="1"/>
  <c r="G168" i="16"/>
  <c r="I168" i="16" s="1"/>
  <c r="G250" i="16"/>
  <c r="I250" i="16" s="1"/>
  <c r="G569" i="16"/>
  <c r="I569" i="16" s="1"/>
  <c r="G1059" i="16"/>
  <c r="I1059" i="16" s="1"/>
  <c r="G1055" i="16"/>
  <c r="I1055" i="16" s="1"/>
  <c r="G1051" i="16"/>
  <c r="I1051" i="16" s="1"/>
  <c r="G1047" i="16"/>
  <c r="I1047" i="16" s="1"/>
  <c r="G1043" i="16"/>
  <c r="I1043" i="16" s="1"/>
  <c r="G1039" i="16"/>
  <c r="I1039" i="16" s="1"/>
  <c r="G1035" i="16"/>
  <c r="I1035" i="16" s="1"/>
  <c r="G1058" i="16"/>
  <c r="I1058" i="16" s="1"/>
  <c r="G1054" i="16"/>
  <c r="I1054" i="16" s="1"/>
  <c r="G1050" i="16"/>
  <c r="I1050" i="16" s="1"/>
  <c r="G1046" i="16"/>
  <c r="I1046" i="16" s="1"/>
  <c r="G1042" i="16"/>
  <c r="I1042" i="16" s="1"/>
  <c r="G1038" i="16"/>
  <c r="I1038" i="16" s="1"/>
  <c r="G1034" i="16"/>
  <c r="I1034" i="16" s="1"/>
  <c r="G1057" i="16"/>
  <c r="I1057" i="16" s="1"/>
  <c r="G1053" i="16"/>
  <c r="I1053" i="16" s="1"/>
  <c r="G1049" i="16"/>
  <c r="I1049" i="16" s="1"/>
  <c r="G1045" i="16"/>
  <c r="I1045" i="16" s="1"/>
  <c r="G1041" i="16"/>
  <c r="I1041" i="16" s="1"/>
  <c r="G1037" i="16"/>
  <c r="I1037" i="16" s="1"/>
  <c r="G1033" i="16"/>
  <c r="I1033" i="16" s="1"/>
  <c r="G1056" i="16"/>
  <c r="I1056" i="16" s="1"/>
  <c r="G1052" i="16"/>
  <c r="I1052" i="16" s="1"/>
  <c r="G1048" i="16"/>
  <c r="I1048" i="16" s="1"/>
  <c r="G1044" i="16"/>
  <c r="I1044" i="16" s="1"/>
  <c r="G1040" i="16"/>
  <c r="I1040" i="16" s="1"/>
  <c r="G1036" i="16"/>
  <c r="I1036" i="16" s="1"/>
  <c r="G511" i="16"/>
  <c r="I511" i="16" s="1"/>
  <c r="G531" i="16"/>
  <c r="I531" i="16" s="1"/>
  <c r="G551" i="16"/>
  <c r="I551" i="16" s="1"/>
  <c r="G573" i="16"/>
  <c r="I573" i="16" s="1"/>
  <c r="G572" i="16"/>
  <c r="I572" i="16" s="1"/>
  <c r="G556" i="16"/>
  <c r="I556" i="16" s="1"/>
  <c r="G541" i="16"/>
  <c r="I541" i="16" s="1"/>
  <c r="G526" i="16"/>
  <c r="I526" i="16" s="1"/>
  <c r="G512" i="16"/>
  <c r="I512" i="16" s="1"/>
  <c r="G532" i="16"/>
  <c r="I532" i="16" s="1"/>
  <c r="G553" i="16"/>
  <c r="I553" i="16" s="1"/>
  <c r="G574" i="16"/>
  <c r="I574" i="16" s="1"/>
  <c r="G246" i="16"/>
  <c r="I246" i="16" s="1"/>
  <c r="G158" i="16"/>
  <c r="I158" i="16" s="1"/>
  <c r="G266" i="16"/>
  <c r="I266" i="16" s="1"/>
  <c r="G244" i="16"/>
  <c r="I244" i="16" s="1"/>
  <c r="G225" i="16"/>
  <c r="I225" i="16" s="1"/>
  <c r="G204" i="16"/>
  <c r="I204" i="16" s="1"/>
  <c r="G184" i="16"/>
  <c r="I184" i="16" s="1"/>
  <c r="G154" i="16"/>
  <c r="I154" i="16" s="1"/>
  <c r="G287" i="16"/>
  <c r="I287" i="16" s="1"/>
  <c r="G200" i="16"/>
  <c r="I200" i="16" s="1"/>
  <c r="G276" i="16"/>
  <c r="I276" i="16" s="1"/>
  <c r="G264" i="16"/>
  <c r="I264" i="16" s="1"/>
  <c r="G224" i="16"/>
  <c r="I224" i="16" s="1"/>
  <c r="G202" i="16"/>
  <c r="I202" i="16" s="1"/>
  <c r="G183" i="16"/>
  <c r="I183" i="16" s="1"/>
  <c r="G150" i="16"/>
  <c r="I150" i="16" s="1"/>
  <c r="G131" i="16"/>
  <c r="I131" i="16" s="1"/>
  <c r="G147" i="16"/>
  <c r="I147" i="16" s="1"/>
  <c r="G163" i="16"/>
  <c r="I163" i="16" s="1"/>
  <c r="G132" i="16"/>
  <c r="I132" i="16" s="1"/>
  <c r="G148" i="16"/>
  <c r="I148" i="16" s="1"/>
  <c r="G164" i="16"/>
  <c r="I164" i="16" s="1"/>
  <c r="G137" i="16"/>
  <c r="I137" i="16" s="1"/>
  <c r="G153" i="16"/>
  <c r="I153" i="16" s="1"/>
  <c r="G169" i="16"/>
  <c r="I169" i="16" s="1"/>
  <c r="G185" i="16"/>
  <c r="I185" i="16" s="1"/>
  <c r="G199" i="16"/>
  <c r="I199" i="16" s="1"/>
  <c r="G215" i="16"/>
  <c r="I215" i="16" s="1"/>
  <c r="G245" i="16"/>
  <c r="I245" i="16" s="1"/>
  <c r="G261" i="16"/>
  <c r="I261" i="16" s="1"/>
  <c r="G277" i="16"/>
  <c r="I277" i="16" s="1"/>
  <c r="G278" i="16"/>
  <c r="I278" i="16" s="1"/>
  <c r="G235" i="16"/>
  <c r="I235" i="16" s="1"/>
  <c r="G194" i="16"/>
  <c r="I194" i="16" s="1"/>
  <c r="G126" i="16"/>
  <c r="I126" i="16" s="1"/>
  <c r="G301" i="16"/>
  <c r="I301" i="16" s="1"/>
  <c r="G275" i="16"/>
  <c r="I275" i="16" s="1"/>
  <c r="G243" i="16"/>
  <c r="I243" i="16" s="1"/>
  <c r="G296" i="16"/>
  <c r="I296" i="16" s="1"/>
  <c r="G279" i="16"/>
  <c r="I279" i="16" s="1"/>
  <c r="G258" i="16"/>
  <c r="I258" i="16" s="1"/>
  <c r="G236" i="16"/>
  <c r="I236" i="16" s="1"/>
  <c r="G217" i="16"/>
  <c r="I217" i="16" s="1"/>
  <c r="G196" i="16"/>
  <c r="I196" i="16" s="1"/>
  <c r="G176" i="16"/>
  <c r="I176" i="16" s="1"/>
  <c r="G130" i="16"/>
  <c r="I130" i="16" s="1"/>
  <c r="G516" i="16"/>
  <c r="I516" i="16" s="1"/>
  <c r="G536" i="16"/>
  <c r="I536" i="16" s="1"/>
  <c r="G557" i="16"/>
  <c r="I557" i="16" s="1"/>
  <c r="G134" i="16"/>
  <c r="I134" i="16" s="1"/>
  <c r="G568" i="16"/>
  <c r="I568" i="16" s="1"/>
  <c r="G552" i="16"/>
  <c r="I552" i="16" s="1"/>
  <c r="G537" i="16"/>
  <c r="I537" i="16" s="1"/>
  <c r="G522" i="16"/>
  <c r="I522" i="16" s="1"/>
  <c r="G517" i="16"/>
  <c r="I517" i="16" s="1"/>
  <c r="G538" i="16"/>
  <c r="I538" i="16" s="1"/>
  <c r="G558" i="16"/>
  <c r="I558" i="16" s="1"/>
  <c r="G295" i="16"/>
  <c r="I295" i="16" s="1"/>
  <c r="G226" i="16"/>
  <c r="I226" i="16" s="1"/>
  <c r="G302" i="16"/>
  <c r="I302" i="16" s="1"/>
  <c r="G260" i="16"/>
  <c r="I260" i="16" s="1"/>
  <c r="G239" i="16"/>
  <c r="I239" i="16" s="1"/>
  <c r="G220" i="16"/>
  <c r="I220" i="16" s="1"/>
  <c r="G198" i="16"/>
  <c r="I198" i="16" s="1"/>
  <c r="G179" i="16"/>
  <c r="I179" i="16" s="1"/>
  <c r="G138" i="16"/>
  <c r="I138" i="16" s="1"/>
  <c r="G262" i="16"/>
  <c r="I262" i="16" s="1"/>
  <c r="G305" i="16"/>
  <c r="I305" i="16" s="1"/>
  <c r="G248" i="16"/>
  <c r="I248" i="16" s="1"/>
  <c r="G218" i="16"/>
  <c r="I218" i="16" s="1"/>
  <c r="G197" i="16"/>
  <c r="I197" i="16" s="1"/>
  <c r="G178" i="16"/>
  <c r="I178" i="16" s="1"/>
  <c r="O44" i="16"/>
  <c r="G645" i="16" s="1"/>
  <c r="I645" i="16" s="1"/>
  <c r="G135" i="16"/>
  <c r="I135" i="16" s="1"/>
  <c r="G151" i="16"/>
  <c r="I151" i="16" s="1"/>
  <c r="G167" i="16"/>
  <c r="I167" i="16" s="1"/>
  <c r="G136" i="16"/>
  <c r="I136" i="16" s="1"/>
  <c r="G152" i="16"/>
  <c r="I152" i="16" s="1"/>
  <c r="G125" i="16"/>
  <c r="I125" i="16" s="1"/>
  <c r="G141" i="16"/>
  <c r="I141" i="16" s="1"/>
  <c r="G157" i="16"/>
  <c r="I157" i="16" s="1"/>
  <c r="G173" i="16"/>
  <c r="I173" i="16" s="1"/>
  <c r="G189" i="16"/>
  <c r="I189" i="16" s="1"/>
  <c r="G203" i="16"/>
  <c r="I203" i="16" s="1"/>
  <c r="G219" i="16"/>
  <c r="I219" i="16" s="1"/>
  <c r="G233" i="16"/>
  <c r="I233" i="16" s="1"/>
  <c r="G249" i="16"/>
  <c r="I249" i="16" s="1"/>
  <c r="G265" i="16"/>
  <c r="I265" i="16" s="1"/>
  <c r="G281" i="16"/>
  <c r="I281" i="16" s="1"/>
  <c r="G272" i="16"/>
  <c r="I272" i="16" s="1"/>
  <c r="G230" i="16"/>
  <c r="I230" i="16" s="1"/>
  <c r="G180" i="16"/>
  <c r="I180" i="16" s="1"/>
  <c r="G298" i="16"/>
  <c r="I298" i="16" s="1"/>
  <c r="G297" i="16"/>
  <c r="I297" i="16" s="1"/>
  <c r="G270" i="16"/>
  <c r="I270" i="16" s="1"/>
  <c r="G232" i="16"/>
  <c r="I232" i="16" s="1"/>
  <c r="G292" i="16"/>
  <c r="I292" i="16" s="1"/>
  <c r="G274" i="16"/>
  <c r="I274" i="16" s="1"/>
  <c r="G252" i="16"/>
  <c r="I252" i="16" s="1"/>
  <c r="G231" i="16"/>
  <c r="I231" i="16" s="1"/>
  <c r="G212" i="16"/>
  <c r="I212" i="16" s="1"/>
  <c r="G190" i="16"/>
  <c r="I190" i="16" s="1"/>
  <c r="G171" i="16"/>
  <c r="I171" i="16" s="1"/>
  <c r="G521" i="16"/>
  <c r="I521" i="16" s="1"/>
  <c r="G542" i="16"/>
  <c r="I542" i="16" s="1"/>
  <c r="G562" i="16"/>
  <c r="I562" i="16" s="1"/>
  <c r="G577" i="16"/>
  <c r="I577" i="16" s="1"/>
  <c r="G564" i="16"/>
  <c r="I564" i="16" s="1"/>
  <c r="G548" i="16"/>
  <c r="I548" i="16" s="1"/>
  <c r="G533" i="16"/>
  <c r="I533" i="16" s="1"/>
  <c r="G518" i="16"/>
  <c r="I518" i="16" s="1"/>
  <c r="G523" i="16"/>
  <c r="I523" i="16" s="1"/>
  <c r="G543" i="16"/>
  <c r="I543" i="16" s="1"/>
  <c r="G563" i="16"/>
  <c r="I563" i="16" s="1"/>
  <c r="G283" i="16"/>
  <c r="I283" i="16" s="1"/>
  <c r="G205" i="16"/>
  <c r="I205" i="16" s="1"/>
  <c r="G286" i="16"/>
  <c r="I286" i="16" s="1"/>
  <c r="G255" i="16"/>
  <c r="I255" i="16" s="1"/>
  <c r="G234" i="16"/>
  <c r="I234" i="16" s="1"/>
  <c r="G214" i="16"/>
  <c r="I214" i="16" s="1"/>
  <c r="G193" i="16"/>
  <c r="I193" i="16" s="1"/>
  <c r="G174" i="16"/>
  <c r="I174" i="16" s="1"/>
  <c r="G122" i="16"/>
  <c r="I122" i="16" s="1"/>
  <c r="G240" i="16"/>
  <c r="I240" i="16" s="1"/>
  <c r="G170" i="16"/>
  <c r="I170" i="16" s="1"/>
  <c r="G293" i="16"/>
  <c r="I293" i="16" s="1"/>
  <c r="G238" i="16"/>
  <c r="I238" i="16" s="1"/>
  <c r="G213" i="16"/>
  <c r="I213" i="16" s="1"/>
  <c r="G192" i="16"/>
  <c r="I192" i="16" s="1"/>
  <c r="G268" i="16"/>
  <c r="I268" i="16" s="1"/>
  <c r="G146" i="16"/>
  <c r="I146" i="16" s="1"/>
  <c r="G201" i="16"/>
  <c r="I201" i="16" s="1"/>
  <c r="G242" i="16"/>
  <c r="I242" i="16" s="1"/>
  <c r="G284" i="16"/>
  <c r="I284" i="16" s="1"/>
  <c r="G254" i="16"/>
  <c r="I254" i="16" s="1"/>
  <c r="G282" i="16"/>
  <c r="I282" i="16" s="1"/>
  <c r="G210" i="16"/>
  <c r="I210" i="16" s="1"/>
  <c r="G291" i="16"/>
  <c r="I291" i="16" s="1"/>
  <c r="G257" i="16"/>
  <c r="I257" i="16" s="1"/>
  <c r="G227" i="16"/>
  <c r="I227" i="16" s="1"/>
  <c r="G195" i="16"/>
  <c r="I195" i="16" s="1"/>
  <c r="G165" i="16"/>
  <c r="I165" i="16" s="1"/>
  <c r="G133" i="16"/>
  <c r="I133" i="16" s="1"/>
  <c r="G144" i="16"/>
  <c r="I144" i="16" s="1"/>
  <c r="G159" i="16"/>
  <c r="I159" i="16" s="1"/>
  <c r="G127" i="16"/>
  <c r="I127" i="16" s="1"/>
  <c r="G188" i="16"/>
  <c r="I188" i="16" s="1"/>
  <c r="G294" i="16"/>
  <c r="I294" i="16" s="1"/>
  <c r="G271" i="16"/>
  <c r="I271" i="16" s="1"/>
  <c r="G547" i="16"/>
  <c r="I547" i="16" s="1"/>
  <c r="G545" i="16"/>
  <c r="I545" i="16" s="1"/>
  <c r="G546" i="16"/>
  <c r="I546" i="16" s="1"/>
  <c r="G162" i="16"/>
  <c r="I162" i="16" s="1"/>
  <c r="G206" i="16"/>
  <c r="I206" i="16" s="1"/>
  <c r="G247" i="16"/>
  <c r="I247" i="16" s="1"/>
  <c r="G288" i="16"/>
  <c r="I288" i="16" s="1"/>
  <c r="G259" i="16"/>
  <c r="I259" i="16" s="1"/>
  <c r="G290" i="16"/>
  <c r="I290" i="16" s="1"/>
  <c r="G216" i="16"/>
  <c r="I216" i="16" s="1"/>
  <c r="G303" i="16"/>
  <c r="I303" i="16" s="1"/>
  <c r="G253" i="16"/>
  <c r="I253" i="16" s="1"/>
  <c r="G223" i="16"/>
  <c r="I223" i="16" s="1"/>
  <c r="G191" i="16"/>
  <c r="I191" i="16" s="1"/>
  <c r="G161" i="16"/>
  <c r="I161" i="16" s="1"/>
  <c r="G129" i="16"/>
  <c r="I129" i="16" s="1"/>
  <c r="G140" i="16"/>
  <c r="I140" i="16" s="1"/>
  <c r="G155" i="16"/>
  <c r="I155" i="16" s="1"/>
  <c r="G123" i="16"/>
  <c r="I123" i="16" s="1"/>
  <c r="G208" i="16"/>
  <c r="I208" i="16" s="1"/>
  <c r="G221" i="16"/>
  <c r="I221" i="16" s="1"/>
  <c r="G209" i="16"/>
  <c r="I209" i="16" s="1"/>
  <c r="G186" i="16"/>
  <c r="I186" i="16" s="1"/>
  <c r="G528" i="16"/>
  <c r="I528" i="16" s="1"/>
  <c r="G560" i="16"/>
  <c r="I560" i="16" s="1"/>
  <c r="G527" i="16"/>
  <c r="I527" i="16" s="1"/>
  <c r="G579" i="16"/>
  <c r="I579" i="16" s="1"/>
  <c r="G570" i="16"/>
  <c r="I570" i="16" s="1"/>
  <c r="G559" i="16"/>
  <c r="I559" i="16" s="1"/>
  <c r="G549" i="16"/>
  <c r="I549" i="16" s="1"/>
  <c r="G539" i="16"/>
  <c r="I539" i="16" s="1"/>
  <c r="G529" i="16"/>
  <c r="I529" i="16" s="1"/>
  <c r="G519" i="16"/>
  <c r="I519" i="16" s="1"/>
  <c r="G540" i="16"/>
  <c r="I540" i="16" s="1"/>
  <c r="G578" i="16"/>
  <c r="I578" i="16" s="1"/>
  <c r="G566" i="16"/>
  <c r="I566" i="16" s="1"/>
  <c r="G555" i="16"/>
  <c r="I555" i="16" s="1"/>
  <c r="G535" i="16"/>
  <c r="I535" i="16" s="1"/>
  <c r="G525" i="16"/>
  <c r="I525" i="16" s="1"/>
  <c r="G515" i="16"/>
  <c r="I515" i="16" s="1"/>
  <c r="G561" i="16"/>
  <c r="I561" i="16" s="1"/>
  <c r="G647" i="16"/>
  <c r="I647" i="16" s="1"/>
  <c r="G575" i="16"/>
  <c r="I575" i="16" s="1"/>
  <c r="G565" i="16"/>
  <c r="I565" i="16" s="1"/>
  <c r="G554" i="16"/>
  <c r="I554" i="16" s="1"/>
  <c r="G544" i="16"/>
  <c r="I544" i="16" s="1"/>
  <c r="G534" i="16"/>
  <c r="I534" i="16" s="1"/>
  <c r="G524" i="16"/>
  <c r="I524" i="16" s="1"/>
  <c r="G513" i="16"/>
  <c r="I513" i="16" s="1"/>
  <c r="G571" i="16"/>
  <c r="I571" i="16" s="1"/>
  <c r="G550" i="16"/>
  <c r="I550" i="16" s="1"/>
  <c r="G530" i="16"/>
  <c r="I530" i="16" s="1"/>
  <c r="G520" i="16"/>
  <c r="I520" i="16" s="1"/>
  <c r="G103" i="16" l="1"/>
  <c r="I103" i="16" s="1"/>
  <c r="G57" i="16"/>
  <c r="I57" i="16" s="1"/>
  <c r="G118" i="16"/>
  <c r="I118" i="16" s="1"/>
  <c r="G470" i="16"/>
  <c r="I470" i="16" s="1"/>
  <c r="G94" i="16"/>
  <c r="I94" i="16" s="1"/>
  <c r="G13" i="16"/>
  <c r="I13" i="16" s="1"/>
  <c r="G81" i="16"/>
  <c r="I81" i="16" s="1"/>
  <c r="G484" i="16"/>
  <c r="I484" i="16" s="1"/>
  <c r="G8" i="16"/>
  <c r="I8" i="16" s="1"/>
  <c r="G92" i="16"/>
  <c r="I92" i="16" s="1"/>
  <c r="G9" i="16"/>
  <c r="I9" i="16" s="1"/>
  <c r="G479" i="16"/>
  <c r="I479" i="16" s="1"/>
  <c r="G113" i="16"/>
  <c r="I113" i="16" s="1"/>
  <c r="G36" i="16"/>
  <c r="I36" i="16" s="1"/>
  <c r="G22" i="16"/>
  <c r="I22" i="16" s="1"/>
  <c r="G106" i="16"/>
  <c r="I106" i="16" s="1"/>
  <c r="G64" i="16"/>
  <c r="I64" i="16" s="1"/>
  <c r="G67" i="16"/>
  <c r="I67" i="16" s="1"/>
  <c r="G84" i="16"/>
  <c r="I84" i="16" s="1"/>
  <c r="G95" i="16"/>
  <c r="I95" i="16" s="1"/>
  <c r="G31" i="16"/>
  <c r="I31" i="16" s="1"/>
  <c r="G504" i="16"/>
  <c r="I504" i="16" s="1"/>
  <c r="G494" i="16"/>
  <c r="I494" i="16" s="1"/>
  <c r="G110" i="16"/>
  <c r="I110" i="16" s="1"/>
  <c r="G121" i="16"/>
  <c r="I121" i="16" s="1"/>
  <c r="G29" i="16"/>
  <c r="I29" i="16" s="1"/>
  <c r="G54" i="16"/>
  <c r="I54" i="16" s="1"/>
  <c r="G65" i="16"/>
  <c r="I65" i="16" s="1"/>
  <c r="G30" i="16"/>
  <c r="I30" i="16" s="1"/>
  <c r="G492" i="16"/>
  <c r="I492" i="16" s="1"/>
  <c r="G74" i="16"/>
  <c r="I74" i="16" s="1"/>
  <c r="G86" i="16"/>
  <c r="I86" i="16" s="1"/>
  <c r="G114" i="16"/>
  <c r="I114" i="16" s="1"/>
  <c r="G97" i="16"/>
  <c r="I97" i="16" s="1"/>
  <c r="G59" i="16"/>
  <c r="I59" i="16" s="1"/>
  <c r="G116" i="16"/>
  <c r="I116" i="16" s="1"/>
  <c r="G70" i="16"/>
  <c r="I70" i="16" s="1"/>
  <c r="G20" i="16"/>
  <c r="I20" i="16" s="1"/>
  <c r="G87" i="16"/>
  <c r="I87" i="16" s="1"/>
  <c r="G40" i="16"/>
  <c r="I40" i="16" s="1"/>
  <c r="G23" i="16"/>
  <c r="I23" i="16" s="1"/>
  <c r="G14" i="16"/>
  <c r="I14" i="16" s="1"/>
  <c r="G500" i="16"/>
  <c r="I500" i="16" s="1"/>
  <c r="G481" i="16"/>
  <c r="I481" i="16" s="1"/>
  <c r="G502" i="16"/>
  <c r="I502" i="16" s="1"/>
  <c r="G44" i="16"/>
  <c r="I44" i="16" s="1"/>
  <c r="G56" i="16"/>
  <c r="I56" i="16" s="1"/>
  <c r="G52" i="16"/>
  <c r="I52" i="16" s="1"/>
  <c r="G89" i="16"/>
  <c r="I89" i="16" s="1"/>
  <c r="G51" i="16"/>
  <c r="I51" i="16" s="1"/>
  <c r="G100" i="16"/>
  <c r="I100" i="16" s="1"/>
  <c r="G62" i="16"/>
  <c r="I62" i="16" s="1"/>
  <c r="G119" i="16"/>
  <c r="I119" i="16" s="1"/>
  <c r="G73" i="16"/>
  <c r="I73" i="16" s="1"/>
  <c r="G25" i="16"/>
  <c r="I25" i="16" s="1"/>
  <c r="G15" i="16"/>
  <c r="I15" i="16" s="1"/>
  <c r="G488" i="16"/>
  <c r="I488" i="16" s="1"/>
  <c r="G472" i="16"/>
  <c r="I472" i="16" s="1"/>
  <c r="G501" i="16"/>
  <c r="I501" i="16" s="1"/>
  <c r="G82" i="16"/>
  <c r="I82" i="16" s="1"/>
  <c r="G105" i="16"/>
  <c r="I105" i="16" s="1"/>
  <c r="G42" i="16"/>
  <c r="I42" i="16" s="1"/>
  <c r="G108" i="16"/>
  <c r="I108" i="16" s="1"/>
  <c r="G76" i="16"/>
  <c r="I76" i="16" s="1"/>
  <c r="G46" i="16"/>
  <c r="I46" i="16" s="1"/>
  <c r="G111" i="16"/>
  <c r="I111" i="16" s="1"/>
  <c r="G79" i="16"/>
  <c r="I79" i="16" s="1"/>
  <c r="G49" i="16"/>
  <c r="I49" i="16" s="1"/>
  <c r="G39" i="16"/>
  <c r="I39" i="16" s="1"/>
  <c r="G7" i="16"/>
  <c r="I7" i="16" s="1"/>
  <c r="G6" i="16"/>
  <c r="I6" i="16" s="1"/>
  <c r="G480" i="16"/>
  <c r="I480" i="16" s="1"/>
  <c r="G499" i="16"/>
  <c r="I499" i="16" s="1"/>
  <c r="G471" i="16"/>
  <c r="I471" i="16" s="1"/>
  <c r="G510" i="16"/>
  <c r="I510" i="16" s="1"/>
  <c r="G503" i="16"/>
  <c r="I503" i="16" s="1"/>
  <c r="G473" i="16"/>
  <c r="I473" i="16" s="1"/>
  <c r="G491" i="16"/>
  <c r="I491" i="16" s="1"/>
  <c r="G487" i="16"/>
  <c r="I487" i="16" s="1"/>
  <c r="G646" i="16"/>
  <c r="I646" i="16" s="1"/>
  <c r="H104" i="17"/>
  <c r="J104" i="17" s="1"/>
  <c r="H100" i="17"/>
  <c r="J100" i="17" s="1"/>
  <c r="H96" i="17"/>
  <c r="J96" i="17" s="1"/>
  <c r="H70" i="17"/>
  <c r="J70" i="17" s="1"/>
  <c r="H66" i="17"/>
  <c r="J66" i="17" s="1"/>
  <c r="H62" i="17"/>
  <c r="J62" i="17" s="1"/>
  <c r="H97" i="17"/>
  <c r="J97" i="17" s="1"/>
  <c r="H71" i="17"/>
  <c r="J71" i="17" s="1"/>
  <c r="H103" i="17"/>
  <c r="J103" i="17" s="1"/>
  <c r="H99" i="17"/>
  <c r="J99" i="17" s="1"/>
  <c r="H95" i="17"/>
  <c r="J95" i="17" s="1"/>
  <c r="H69" i="17"/>
  <c r="J69" i="17" s="1"/>
  <c r="H65" i="17"/>
  <c r="J65" i="17" s="1"/>
  <c r="H61" i="17"/>
  <c r="J61" i="17" s="1"/>
  <c r="H63" i="17"/>
  <c r="J63" i="17" s="1"/>
  <c r="H102" i="17"/>
  <c r="J102" i="17" s="1"/>
  <c r="H98" i="17"/>
  <c r="J98" i="17" s="1"/>
  <c r="H68" i="17"/>
  <c r="J68" i="17" s="1"/>
  <c r="H64" i="17"/>
  <c r="J64" i="17" s="1"/>
  <c r="H35" i="17"/>
  <c r="J35" i="17" s="1"/>
  <c r="H101" i="17"/>
  <c r="J101" i="17" s="1"/>
  <c r="H67" i="17"/>
  <c r="J67" i="17" s="1"/>
  <c r="G48" i="16"/>
  <c r="I48" i="16" s="1"/>
  <c r="G60" i="16"/>
  <c r="I60" i="16" s="1"/>
  <c r="G24" i="16"/>
  <c r="I24" i="16" s="1"/>
  <c r="G72" i="16"/>
  <c r="I72" i="16" s="1"/>
  <c r="G78" i="16"/>
  <c r="I78" i="16" s="1"/>
  <c r="G98" i="16"/>
  <c r="I98" i="16" s="1"/>
  <c r="G32" i="16"/>
  <c r="I32" i="16" s="1"/>
  <c r="G109" i="16"/>
  <c r="I109" i="16" s="1"/>
  <c r="G93" i="16"/>
  <c r="I93" i="16" s="1"/>
  <c r="G77" i="16"/>
  <c r="I77" i="16" s="1"/>
  <c r="G63" i="16"/>
  <c r="I63" i="16" s="1"/>
  <c r="G47" i="16"/>
  <c r="I47" i="16" s="1"/>
  <c r="G21" i="16"/>
  <c r="I21" i="16" s="1"/>
  <c r="G112" i="16"/>
  <c r="I112" i="16" s="1"/>
  <c r="G96" i="16"/>
  <c r="I96" i="16" s="1"/>
  <c r="G80" i="16"/>
  <c r="I80" i="16" s="1"/>
  <c r="G66" i="16"/>
  <c r="I66" i="16" s="1"/>
  <c r="G50" i="16"/>
  <c r="I50" i="16" s="1"/>
  <c r="G28" i="16"/>
  <c r="I28" i="16" s="1"/>
  <c r="G115" i="16"/>
  <c r="I115" i="16" s="1"/>
  <c r="G99" i="16"/>
  <c r="I99" i="16" s="1"/>
  <c r="G83" i="16"/>
  <c r="I83" i="16" s="1"/>
  <c r="G69" i="16"/>
  <c r="I69" i="16" s="1"/>
  <c r="G53" i="16"/>
  <c r="I53" i="16" s="1"/>
  <c r="G33" i="16"/>
  <c r="I33" i="16" s="1"/>
  <c r="G43" i="16"/>
  <c r="I43" i="16" s="1"/>
  <c r="G27" i="16"/>
  <c r="I27" i="16" s="1"/>
  <c r="G11" i="16"/>
  <c r="I11" i="16" s="1"/>
  <c r="G26" i="16"/>
  <c r="I26" i="16" s="1"/>
  <c r="G10" i="16"/>
  <c r="I10" i="16" s="1"/>
  <c r="G497" i="16"/>
  <c r="I497" i="16" s="1"/>
  <c r="G493" i="16"/>
  <c r="I493" i="16" s="1"/>
  <c r="G485" i="16"/>
  <c r="I485" i="16" s="1"/>
  <c r="G505" i="16"/>
  <c r="I505" i="16" s="1"/>
  <c r="G508" i="16"/>
  <c r="I508" i="16" s="1"/>
  <c r="G509" i="16"/>
  <c r="I509" i="16" s="1"/>
  <c r="G486" i="16"/>
  <c r="I486" i="16" s="1"/>
  <c r="G507" i="16"/>
  <c r="I507" i="16" s="1"/>
  <c r="G483" i="16"/>
  <c r="I483" i="16" s="1"/>
  <c r="G498" i="16"/>
  <c r="I498" i="16" s="1"/>
  <c r="G778" i="16"/>
  <c r="I778" i="16" s="1"/>
  <c r="G774" i="16"/>
  <c r="I774" i="16" s="1"/>
  <c r="G770" i="16"/>
  <c r="I770" i="16" s="1"/>
  <c r="G766" i="16"/>
  <c r="I766" i="16" s="1"/>
  <c r="G762" i="16"/>
  <c r="I762" i="16" s="1"/>
  <c r="G758" i="16"/>
  <c r="I758" i="16" s="1"/>
  <c r="G754" i="16"/>
  <c r="I754" i="16" s="1"/>
  <c r="G750" i="16"/>
  <c r="I750" i="16" s="1"/>
  <c r="G746" i="16"/>
  <c r="I746" i="16" s="1"/>
  <c r="G742" i="16"/>
  <c r="I742" i="16" s="1"/>
  <c r="G738" i="16"/>
  <c r="I738" i="16" s="1"/>
  <c r="G734" i="16"/>
  <c r="I734" i="16" s="1"/>
  <c r="G731" i="16"/>
  <c r="I731" i="16" s="1"/>
  <c r="G727" i="16"/>
  <c r="I727" i="16" s="1"/>
  <c r="G723" i="16"/>
  <c r="I723" i="16" s="1"/>
  <c r="G719" i="16"/>
  <c r="I719" i="16" s="1"/>
  <c r="G715" i="16"/>
  <c r="I715" i="16" s="1"/>
  <c r="G711" i="16"/>
  <c r="I711" i="16" s="1"/>
  <c r="G707" i="16"/>
  <c r="I707" i="16" s="1"/>
  <c r="G680" i="16"/>
  <c r="I680" i="16" s="1"/>
  <c r="G676" i="16"/>
  <c r="I676" i="16" s="1"/>
  <c r="G776" i="16"/>
  <c r="I776" i="16" s="1"/>
  <c r="G772" i="16"/>
  <c r="I772" i="16" s="1"/>
  <c r="G768" i="16"/>
  <c r="I768" i="16" s="1"/>
  <c r="G764" i="16"/>
  <c r="I764" i="16" s="1"/>
  <c r="G760" i="16"/>
  <c r="I760" i="16" s="1"/>
  <c r="G756" i="16"/>
  <c r="I756" i="16" s="1"/>
  <c r="G752" i="16"/>
  <c r="I752" i="16" s="1"/>
  <c r="G748" i="16"/>
  <c r="I748" i="16" s="1"/>
  <c r="G744" i="16"/>
  <c r="I744" i="16" s="1"/>
  <c r="G740" i="16"/>
  <c r="I740" i="16" s="1"/>
  <c r="G736" i="16"/>
  <c r="I736" i="16" s="1"/>
  <c r="G733" i="16"/>
  <c r="I733" i="16" s="1"/>
  <c r="G729" i="16"/>
  <c r="I729" i="16" s="1"/>
  <c r="G725" i="16"/>
  <c r="I725" i="16" s="1"/>
  <c r="G721" i="16"/>
  <c r="I721" i="16" s="1"/>
  <c r="G717" i="16"/>
  <c r="I717" i="16" s="1"/>
  <c r="G713" i="16"/>
  <c r="I713" i="16" s="1"/>
  <c r="G709" i="16"/>
  <c r="I709" i="16" s="1"/>
  <c r="G705" i="16"/>
  <c r="I705" i="16" s="1"/>
  <c r="G678" i="16"/>
  <c r="I678" i="16" s="1"/>
  <c r="G773" i="16"/>
  <c r="I773" i="16" s="1"/>
  <c r="G765" i="16"/>
  <c r="I765" i="16" s="1"/>
  <c r="G757" i="16"/>
  <c r="I757" i="16" s="1"/>
  <c r="G749" i="16"/>
  <c r="I749" i="16" s="1"/>
  <c r="G741" i="16"/>
  <c r="I741" i="16" s="1"/>
  <c r="G726" i="16"/>
  <c r="I726" i="16" s="1"/>
  <c r="G718" i="16"/>
  <c r="I718" i="16" s="1"/>
  <c r="G710" i="16"/>
  <c r="I710" i="16" s="1"/>
  <c r="G771" i="16"/>
  <c r="I771" i="16" s="1"/>
  <c r="G755" i="16"/>
  <c r="I755" i="16" s="1"/>
  <c r="G739" i="16"/>
  <c r="I739" i="16" s="1"/>
  <c r="G724" i="16"/>
  <c r="I724" i="16" s="1"/>
  <c r="G708" i="16"/>
  <c r="I708" i="16" s="1"/>
  <c r="G679" i="16"/>
  <c r="I679" i="16" s="1"/>
  <c r="G777" i="16"/>
  <c r="I777" i="16" s="1"/>
  <c r="G769" i="16"/>
  <c r="I769" i="16" s="1"/>
  <c r="G761" i="16"/>
  <c r="I761" i="16" s="1"/>
  <c r="G753" i="16"/>
  <c r="I753" i="16" s="1"/>
  <c r="G745" i="16"/>
  <c r="I745" i="16" s="1"/>
  <c r="G737" i="16"/>
  <c r="I737" i="16" s="1"/>
  <c r="G730" i="16"/>
  <c r="I730" i="16" s="1"/>
  <c r="G722" i="16"/>
  <c r="I722" i="16" s="1"/>
  <c r="G714" i="16"/>
  <c r="I714" i="16" s="1"/>
  <c r="G706" i="16"/>
  <c r="I706" i="16" s="1"/>
  <c r="G677" i="16"/>
  <c r="I677" i="16" s="1"/>
  <c r="G775" i="16"/>
  <c r="I775" i="16" s="1"/>
  <c r="G767" i="16"/>
  <c r="I767" i="16" s="1"/>
  <c r="G759" i="16"/>
  <c r="I759" i="16" s="1"/>
  <c r="G751" i="16"/>
  <c r="I751" i="16" s="1"/>
  <c r="G743" i="16"/>
  <c r="I743" i="16" s="1"/>
  <c r="G735" i="16"/>
  <c r="I735" i="16" s="1"/>
  <c r="G728" i="16"/>
  <c r="I728" i="16" s="1"/>
  <c r="G720" i="16"/>
  <c r="I720" i="16" s="1"/>
  <c r="G712" i="16"/>
  <c r="I712" i="16" s="1"/>
  <c r="G704" i="16"/>
  <c r="I704" i="16" s="1"/>
  <c r="G779" i="16"/>
  <c r="I779" i="16" s="1"/>
  <c r="G763" i="16"/>
  <c r="I763" i="16" s="1"/>
  <c r="G747" i="16"/>
  <c r="I747" i="16" s="1"/>
  <c r="G732" i="16"/>
  <c r="I732" i="16" s="1"/>
  <c r="G716" i="16"/>
  <c r="I716" i="16" s="1"/>
  <c r="H185" i="17"/>
  <c r="J185" i="17" s="1"/>
  <c r="H20" i="17"/>
  <c r="J20" i="17" s="1"/>
  <c r="H7" i="17"/>
  <c r="G90" i="16"/>
  <c r="I90" i="16" s="1"/>
  <c r="G16" i="16"/>
  <c r="I16" i="16" s="1"/>
  <c r="G102" i="16"/>
  <c r="I102" i="16" s="1"/>
  <c r="G38" i="16"/>
  <c r="I38" i="16" s="1"/>
  <c r="G5" i="16"/>
  <c r="I5" i="16" s="1"/>
  <c r="G68" i="16"/>
  <c r="I68" i="16" s="1"/>
  <c r="G117" i="16"/>
  <c r="I117" i="16" s="1"/>
  <c r="G101" i="16"/>
  <c r="I101" i="16" s="1"/>
  <c r="G85" i="16"/>
  <c r="I85" i="16" s="1"/>
  <c r="G71" i="16"/>
  <c r="I71" i="16" s="1"/>
  <c r="G55" i="16"/>
  <c r="I55" i="16" s="1"/>
  <c r="G37" i="16"/>
  <c r="I37" i="16" s="1"/>
  <c r="G120" i="16"/>
  <c r="I120" i="16" s="1"/>
  <c r="G104" i="16"/>
  <c r="I104" i="16" s="1"/>
  <c r="G88" i="16"/>
  <c r="I88" i="16" s="1"/>
  <c r="G58" i="16"/>
  <c r="I58" i="16" s="1"/>
  <c r="G41" i="16"/>
  <c r="I41" i="16" s="1"/>
  <c r="G12" i="16"/>
  <c r="I12" i="16" s="1"/>
  <c r="G107" i="16"/>
  <c r="I107" i="16" s="1"/>
  <c r="G91" i="16"/>
  <c r="I91" i="16" s="1"/>
  <c r="G75" i="16"/>
  <c r="I75" i="16" s="1"/>
  <c r="G61" i="16"/>
  <c r="I61" i="16" s="1"/>
  <c r="G45" i="16"/>
  <c r="I45" i="16" s="1"/>
  <c r="G17" i="16"/>
  <c r="I17" i="16" s="1"/>
  <c r="G35" i="16"/>
  <c r="I35" i="16" s="1"/>
  <c r="G19" i="16"/>
  <c r="I19" i="16" s="1"/>
  <c r="G34" i="16"/>
  <c r="I34" i="16" s="1"/>
  <c r="G18" i="16"/>
  <c r="I18" i="16" s="1"/>
  <c r="G477" i="16"/>
  <c r="I477" i="16" s="1"/>
  <c r="G478" i="16"/>
  <c r="I478" i="16" s="1"/>
  <c r="G474" i="16"/>
  <c r="I474" i="16" s="1"/>
  <c r="G495" i="16"/>
  <c r="I495" i="16" s="1"/>
  <c r="G482" i="16"/>
  <c r="I482" i="16" s="1"/>
  <c r="G489" i="16"/>
  <c r="I489" i="16" s="1"/>
  <c r="G476" i="16"/>
  <c r="I476" i="16" s="1"/>
  <c r="G496" i="16"/>
  <c r="I496" i="16" s="1"/>
  <c r="G475" i="16"/>
  <c r="I475" i="16" s="1"/>
  <c r="G490" i="16"/>
  <c r="I490" i="16" s="1"/>
  <c r="G506" i="16"/>
  <c r="I506" i="16" s="1"/>
  <c r="G1031" i="16"/>
  <c r="I1031" i="16" s="1"/>
  <c r="G1027" i="16"/>
  <c r="I1027" i="16" s="1"/>
  <c r="G1023" i="16"/>
  <c r="I1023" i="16" s="1"/>
  <c r="G1019" i="16"/>
  <c r="I1019" i="16" s="1"/>
  <c r="G1030" i="16"/>
  <c r="I1030" i="16" s="1"/>
  <c r="G1026" i="16"/>
  <c r="I1026" i="16" s="1"/>
  <c r="G1022" i="16"/>
  <c r="I1022" i="16" s="1"/>
  <c r="G1018" i="16"/>
  <c r="I1018" i="16" s="1"/>
  <c r="G1029" i="16"/>
  <c r="I1029" i="16" s="1"/>
  <c r="G1025" i="16"/>
  <c r="I1025" i="16" s="1"/>
  <c r="G1021" i="16"/>
  <c r="I1021" i="16" s="1"/>
  <c r="G1032" i="16"/>
  <c r="I1032" i="16" s="1"/>
  <c r="G1028" i="16"/>
  <c r="I1028" i="16" s="1"/>
  <c r="G1024" i="16"/>
  <c r="I1024" i="16" s="1"/>
  <c r="G1020" i="16"/>
  <c r="I1020" i="16" s="1"/>
  <c r="O43" i="16"/>
  <c r="G462" i="16" l="1"/>
  <c r="O42" i="16"/>
  <c r="H97" i="52"/>
  <c r="H28" i="52"/>
  <c r="O41" i="16" l="1"/>
  <c r="O40" i="16" s="1"/>
  <c r="O39" i="16" s="1"/>
  <c r="O38" i="16" s="1"/>
  <c r="O37" i="16" s="1"/>
  <c r="O36" i="16" s="1"/>
  <c r="O35" i="16" s="1"/>
  <c r="O34" i="16" s="1"/>
  <c r="O33" i="16" s="1"/>
  <c r="O32" i="16" s="1"/>
  <c r="O31" i="16" s="1"/>
  <c r="O30" i="16" s="1"/>
  <c r="O29" i="16" s="1"/>
  <c r="O28" i="16" s="1"/>
  <c r="O27" i="16" s="1"/>
  <c r="O26" i="16" s="1"/>
  <c r="O25" i="16" s="1"/>
  <c r="O24" i="16" s="1"/>
  <c r="O23" i="16" s="1"/>
  <c r="O22" i="16" s="1"/>
  <c r="O21" i="16" s="1"/>
  <c r="O20" i="16" s="1"/>
  <c r="O19" i="16" s="1"/>
  <c r="O18" i="16" s="1"/>
  <c r="O17" i="16" s="1"/>
  <c r="O16" i="16" s="1"/>
  <c r="O15" i="16" s="1"/>
  <c r="O14" i="16" s="1"/>
  <c r="O13" i="16" s="1"/>
  <c r="O12" i="16" s="1"/>
  <c r="O11" i="16" s="1"/>
  <c r="O10" i="16" s="1"/>
  <c r="O9" i="16" s="1"/>
  <c r="O8" i="16" s="1"/>
  <c r="O7" i="16" s="1"/>
  <c r="O6" i="16" s="1"/>
  <c r="G461" i="16"/>
  <c r="H48" i="43"/>
  <c r="H46" i="43"/>
  <c r="H44" i="43"/>
  <c r="C37" i="54" l="1"/>
  <c r="C32" i="54"/>
  <c r="C39" i="54" s="1"/>
  <c r="C29" i="54"/>
  <c r="C18" i="54"/>
  <c r="C55" i="54" s="1"/>
  <c r="C11" i="54"/>
  <c r="C20" i="54" s="1"/>
  <c r="C21" i="54" s="1"/>
  <c r="C22" i="54" s="1"/>
  <c r="C24" i="54" s="1"/>
  <c r="C40" i="54" l="1"/>
  <c r="C41" i="54" s="1"/>
  <c r="C43" i="54" l="1"/>
  <c r="C51" i="54"/>
  <c r="AB3" i="12" l="1"/>
  <c r="G511" i="32" l="1"/>
  <c r="G512" i="32"/>
  <c r="M510" i="32"/>
  <c r="M511" i="32"/>
  <c r="M512" i="32"/>
  <c r="M288" i="32"/>
  <c r="M289" i="32"/>
  <c r="M290" i="32"/>
  <c r="M291" i="32"/>
  <c r="I204" i="32"/>
  <c r="J204" i="32"/>
  <c r="M204" i="32"/>
  <c r="G518" i="32" l="1"/>
  <c r="G521" i="32" s="1"/>
  <c r="S86" i="17"/>
  <c r="S11" i="17" l="1"/>
  <c r="F1092" i="16" l="1"/>
  <c r="G552" i="32"/>
  <c r="G555" i="32" s="1"/>
  <c r="G566" i="32"/>
  <c r="M281" i="32"/>
  <c r="M282" i="32"/>
  <c r="M283" i="32"/>
  <c r="M284" i="32"/>
  <c r="M285" i="32"/>
  <c r="M286" i="32"/>
  <c r="M287" i="32"/>
  <c r="I211" i="32"/>
  <c r="J211" i="32"/>
  <c r="M211" i="32"/>
  <c r="I212" i="32"/>
  <c r="J212" i="32"/>
  <c r="M212" i="32"/>
  <c r="S156" i="17"/>
  <c r="S157" i="17"/>
  <c r="S158" i="17"/>
  <c r="S159" i="17"/>
  <c r="S160" i="17"/>
  <c r="M10" i="24" l="1"/>
  <c r="L10" i="24"/>
  <c r="K10" i="24"/>
  <c r="J10" i="24"/>
  <c r="I10" i="24"/>
  <c r="H10" i="24"/>
  <c r="G10" i="24"/>
  <c r="F10" i="24"/>
  <c r="E10" i="24"/>
  <c r="D10" i="24"/>
  <c r="C10" i="24"/>
  <c r="B10" i="24"/>
  <c r="M9" i="24"/>
  <c r="L9" i="24"/>
  <c r="K9" i="24"/>
  <c r="J9" i="24"/>
  <c r="I9" i="24"/>
  <c r="H9" i="24"/>
  <c r="G9" i="24"/>
  <c r="F9" i="24"/>
  <c r="E9" i="24"/>
  <c r="D9" i="24"/>
  <c r="C9" i="24"/>
  <c r="B9" i="24"/>
  <c r="M8" i="24"/>
  <c r="L8" i="24"/>
  <c r="K8" i="24"/>
  <c r="J8" i="24"/>
  <c r="E8" i="24"/>
  <c r="D8" i="24"/>
  <c r="I8" i="24"/>
  <c r="H8" i="24"/>
  <c r="G8" i="24"/>
  <c r="F8" i="24"/>
  <c r="C8" i="24"/>
  <c r="B8" i="24"/>
  <c r="G7" i="24" l="1"/>
  <c r="G52" i="3" l="1"/>
  <c r="J84" i="2"/>
  <c r="M7" i="24"/>
  <c r="L7" i="24"/>
  <c r="K7" i="24"/>
  <c r="J7" i="24"/>
  <c r="I7" i="24"/>
  <c r="H7" i="24"/>
  <c r="F7" i="24"/>
  <c r="E7" i="24"/>
  <c r="D7" i="24"/>
  <c r="C7" i="24"/>
  <c r="B7" i="24"/>
  <c r="S7" i="17" l="1"/>
  <c r="G209" i="32" l="1"/>
  <c r="G208" i="32"/>
  <c r="G192" i="32"/>
  <c r="G191" i="32"/>
  <c r="J1090" i="16"/>
  <c r="J1089" i="16"/>
  <c r="J965" i="16"/>
  <c r="J964" i="16"/>
  <c r="J1088" i="16" l="1"/>
  <c r="I1088" i="16"/>
  <c r="J1007" i="16"/>
  <c r="I1007" i="16"/>
  <c r="J1006" i="16"/>
  <c r="I1006" i="16"/>
  <c r="J1005" i="16"/>
  <c r="I1005" i="16"/>
  <c r="J1004" i="16"/>
  <c r="I1004" i="16"/>
  <c r="J1003" i="16"/>
  <c r="I1003" i="16"/>
  <c r="J1002" i="16"/>
  <c r="I1002" i="16"/>
  <c r="J1001" i="16"/>
  <c r="I1001" i="16"/>
  <c r="J1000" i="16"/>
  <c r="I1000" i="16"/>
  <c r="J999" i="16"/>
  <c r="I999" i="16"/>
  <c r="J998" i="16"/>
  <c r="I998" i="16"/>
  <c r="J989" i="16"/>
  <c r="I989" i="16"/>
  <c r="J988" i="16"/>
  <c r="I988" i="16"/>
  <c r="J987" i="16"/>
  <c r="I987" i="16"/>
  <c r="J986" i="16"/>
  <c r="I986" i="16"/>
  <c r="J985" i="16"/>
  <c r="I985" i="16"/>
  <c r="J984" i="16"/>
  <c r="I984" i="16"/>
  <c r="J983" i="16"/>
  <c r="I983" i="16"/>
  <c r="J982" i="16"/>
  <c r="I982" i="16"/>
  <c r="J981" i="16"/>
  <c r="I981" i="16"/>
  <c r="J980" i="16"/>
  <c r="I980" i="16"/>
  <c r="J979" i="16"/>
  <c r="I979" i="16"/>
  <c r="J978" i="16"/>
  <c r="I978" i="16"/>
  <c r="J963" i="16"/>
  <c r="I963" i="16"/>
  <c r="J696" i="16"/>
  <c r="I696" i="16"/>
  <c r="J695" i="16"/>
  <c r="I695" i="16"/>
  <c r="J694" i="16"/>
  <c r="I694" i="16"/>
  <c r="J663" i="16"/>
  <c r="I663" i="16"/>
  <c r="J662" i="16"/>
  <c r="I662" i="16"/>
  <c r="J651" i="16"/>
  <c r="J650" i="16"/>
  <c r="J649" i="16"/>
  <c r="I649" i="16"/>
  <c r="J637" i="16"/>
  <c r="J636" i="16"/>
  <c r="J635" i="16"/>
  <c r="I635" i="16"/>
  <c r="J462" i="16"/>
  <c r="J461" i="16"/>
  <c r="J209" i="32"/>
  <c r="I209" i="32"/>
  <c r="J208" i="32"/>
  <c r="I208" i="32"/>
  <c r="M549" i="32"/>
  <c r="M548" i="32"/>
  <c r="M547" i="32"/>
  <c r="M546" i="32"/>
  <c r="M545" i="32"/>
  <c r="M544" i="32"/>
  <c r="M543" i="32"/>
  <c r="M542" i="32"/>
  <c r="M541" i="32"/>
  <c r="M540" i="32"/>
  <c r="M539" i="32"/>
  <c r="M538" i="32"/>
  <c r="M537" i="32"/>
  <c r="M536" i="32"/>
  <c r="M535" i="32"/>
  <c r="M534" i="32"/>
  <c r="M533" i="32"/>
  <c r="M532" i="32"/>
  <c r="M531" i="32"/>
  <c r="M530" i="32"/>
  <c r="M529" i="32"/>
  <c r="M427" i="32"/>
  <c r="M426" i="32"/>
  <c r="M425" i="32"/>
  <c r="M424" i="32"/>
  <c r="M423" i="32"/>
  <c r="M422" i="32"/>
  <c r="M421" i="32"/>
  <c r="M420" i="32"/>
  <c r="M419" i="32"/>
  <c r="M418" i="32"/>
  <c r="M417" i="32"/>
  <c r="M416" i="32"/>
  <c r="M415" i="32"/>
  <c r="M414" i="32"/>
  <c r="M413" i="32"/>
  <c r="M412" i="32"/>
  <c r="M411" i="32"/>
  <c r="M410" i="32"/>
  <c r="M409" i="32"/>
  <c r="M408" i="32"/>
  <c r="M407" i="32"/>
  <c r="M406" i="32"/>
  <c r="M405" i="32"/>
  <c r="M404" i="32"/>
  <c r="M403" i="32"/>
  <c r="M402" i="32"/>
  <c r="M401" i="32"/>
  <c r="M400" i="32"/>
  <c r="M399" i="32"/>
  <c r="M398" i="32"/>
  <c r="M397" i="32"/>
  <c r="M396" i="32"/>
  <c r="M395" i="32"/>
  <c r="M394" i="32"/>
  <c r="M393" i="32"/>
  <c r="M392" i="32"/>
  <c r="M391" i="32"/>
  <c r="M390" i="32"/>
  <c r="M389" i="32"/>
  <c r="M388" i="32"/>
  <c r="M387" i="32"/>
  <c r="M386" i="32"/>
  <c r="M385" i="32"/>
  <c r="M384" i="32"/>
  <c r="M383" i="32"/>
  <c r="M382" i="32"/>
  <c r="M381" i="32"/>
  <c r="M380" i="32"/>
  <c r="M379" i="32"/>
  <c r="M378" i="32"/>
  <c r="M377" i="32"/>
  <c r="M376" i="32"/>
  <c r="M375" i="32"/>
  <c r="M374" i="32"/>
  <c r="M373" i="32"/>
  <c r="M372" i="32"/>
  <c r="M371" i="32"/>
  <c r="M370" i="32"/>
  <c r="M369" i="32"/>
  <c r="M368" i="32"/>
  <c r="M367" i="32"/>
  <c r="M366" i="32"/>
  <c r="M365" i="32"/>
  <c r="M364" i="32"/>
  <c r="M363" i="32"/>
  <c r="M362" i="32"/>
  <c r="M361" i="32"/>
  <c r="M360" i="32"/>
  <c r="M359" i="32"/>
  <c r="M358" i="32"/>
  <c r="M357" i="32"/>
  <c r="M356" i="32"/>
  <c r="M355" i="32"/>
  <c r="M354" i="32"/>
  <c r="M353" i="32"/>
  <c r="M352" i="32"/>
  <c r="M351" i="32"/>
  <c r="M350" i="32"/>
  <c r="M349" i="32"/>
  <c r="M348" i="32"/>
  <c r="M347" i="32"/>
  <c r="M346" i="32"/>
  <c r="M345" i="32"/>
  <c r="M344" i="32"/>
  <c r="M343" i="32"/>
  <c r="M342" i="32"/>
  <c r="M341" i="32"/>
  <c r="M340" i="32"/>
  <c r="M339" i="32"/>
  <c r="M338" i="32"/>
  <c r="M337" i="32"/>
  <c r="M336" i="32"/>
  <c r="M335" i="32"/>
  <c r="M334" i="32"/>
  <c r="M333" i="32"/>
  <c r="M332" i="32"/>
  <c r="M331" i="32"/>
  <c r="M330" i="32"/>
  <c r="M329" i="32"/>
  <c r="M328" i="32"/>
  <c r="M327" i="32"/>
  <c r="M326" i="32"/>
  <c r="M325" i="32"/>
  <c r="M324" i="32"/>
  <c r="M323" i="32"/>
  <c r="M322" i="32"/>
  <c r="M321" i="32"/>
  <c r="M320" i="32"/>
  <c r="M319" i="32"/>
  <c r="M318" i="32"/>
  <c r="M317" i="32"/>
  <c r="M316" i="32"/>
  <c r="M315" i="32"/>
  <c r="M314" i="32"/>
  <c r="M313" i="32"/>
  <c r="M312" i="32"/>
  <c r="M311" i="32"/>
  <c r="M310" i="32"/>
  <c r="M309" i="32"/>
  <c r="M308" i="32"/>
  <c r="M307" i="32"/>
  <c r="M306" i="32"/>
  <c r="M305" i="32"/>
  <c r="M304" i="32"/>
  <c r="M303" i="32"/>
  <c r="M302" i="32"/>
  <c r="M301" i="32"/>
  <c r="M300" i="32"/>
  <c r="M299" i="32"/>
  <c r="M298" i="32"/>
  <c r="M297" i="32"/>
  <c r="M296" i="32"/>
  <c r="M295" i="32"/>
  <c r="M294" i="32"/>
  <c r="M293" i="32"/>
  <c r="M292" i="32"/>
  <c r="M280" i="32"/>
  <c r="M279" i="32"/>
  <c r="M278" i="32"/>
  <c r="M277" i="32"/>
  <c r="M276" i="32"/>
  <c r="M275" i="32"/>
  <c r="M274" i="32"/>
  <c r="M273" i="32"/>
  <c r="M272" i="32"/>
  <c r="M271" i="32"/>
  <c r="M270" i="32"/>
  <c r="M269" i="32"/>
  <c r="M268" i="32"/>
  <c r="M267" i="32"/>
  <c r="M266" i="32"/>
  <c r="M265" i="32"/>
  <c r="M264" i="32"/>
  <c r="M263" i="32"/>
  <c r="M262" i="32"/>
  <c r="M261" i="32"/>
  <c r="M260" i="32"/>
  <c r="M259" i="32"/>
  <c r="M258" i="32"/>
  <c r="M257" i="32"/>
  <c r="M256" i="32"/>
  <c r="M255" i="32"/>
  <c r="M254" i="32"/>
  <c r="M253" i="32"/>
  <c r="M252" i="32"/>
  <c r="M251" i="32"/>
  <c r="M250" i="32"/>
  <c r="M241" i="32"/>
  <c r="M240" i="32"/>
  <c r="M239" i="32"/>
  <c r="M238" i="32"/>
  <c r="M237" i="32"/>
  <c r="M236" i="32"/>
  <c r="M235" i="32"/>
  <c r="M234" i="32"/>
  <c r="M233" i="32"/>
  <c r="M232" i="32"/>
  <c r="M231" i="32"/>
  <c r="M215" i="32"/>
  <c r="M214" i="32"/>
  <c r="M210" i="32"/>
  <c r="M209" i="32"/>
  <c r="M208" i="32"/>
  <c r="M203" i="32"/>
  <c r="M202" i="32"/>
  <c r="M201" i="32"/>
  <c r="M192" i="32"/>
  <c r="M191" i="32"/>
  <c r="M190" i="32"/>
  <c r="M134" i="32"/>
  <c r="M133" i="32"/>
  <c r="M132" i="32"/>
  <c r="M131" i="32"/>
  <c r="M130" i="32"/>
  <c r="M129" i="32"/>
  <c r="M128" i="32"/>
  <c r="M127" i="32"/>
  <c r="M126" i="32"/>
  <c r="M125" i="32"/>
  <c r="M124" i="32"/>
  <c r="M123" i="32"/>
  <c r="M122" i="32"/>
  <c r="M121" i="32"/>
  <c r="M120" i="32"/>
  <c r="M119" i="32"/>
  <c r="M118" i="32"/>
  <c r="M117" i="32"/>
  <c r="M116" i="32"/>
  <c r="M115" i="32"/>
  <c r="M114" i="32"/>
  <c r="M113" i="32"/>
  <c r="M112" i="32"/>
  <c r="M111" i="32"/>
  <c r="M110" i="32"/>
  <c r="M109" i="32"/>
  <c r="M108" i="32"/>
  <c r="M107" i="32"/>
  <c r="M106" i="32"/>
  <c r="M105" i="32"/>
  <c r="M104" i="32"/>
  <c r="M103" i="32"/>
  <c r="M102" i="32"/>
  <c r="M101" i="32"/>
  <c r="M100" i="32"/>
  <c r="M99" i="32"/>
  <c r="M98" i="32"/>
  <c r="M97" i="32"/>
  <c r="M96" i="32"/>
  <c r="M95" i="32"/>
  <c r="M94" i="32"/>
  <c r="M93" i="32"/>
  <c r="M92" i="32"/>
  <c r="M91" i="32"/>
  <c r="M90" i="32"/>
  <c r="M89" i="32"/>
  <c r="M88" i="32"/>
  <c r="M87" i="32"/>
  <c r="M86" i="32"/>
  <c r="M85" i="32"/>
  <c r="M84" i="32"/>
  <c r="M83" i="32"/>
  <c r="M82" i="32"/>
  <c r="M81" i="32"/>
  <c r="M80" i="32"/>
  <c r="M79" i="32"/>
  <c r="M78" i="32"/>
  <c r="M77" i="32"/>
  <c r="M76" i="32"/>
  <c r="M75" i="32"/>
  <c r="M74" i="32"/>
  <c r="M73" i="32"/>
  <c r="M72" i="32"/>
  <c r="M71" i="32"/>
  <c r="M70" i="32"/>
  <c r="M69" i="32"/>
  <c r="M68" i="32"/>
  <c r="M67" i="32"/>
  <c r="M66" i="32"/>
  <c r="M65" i="32"/>
  <c r="M64" i="32"/>
  <c r="M63" i="32"/>
  <c r="M62" i="32"/>
  <c r="M61" i="32"/>
  <c r="M60" i="32"/>
  <c r="M59" i="32"/>
  <c r="M58" i="32"/>
  <c r="M57" i="32"/>
  <c r="M56" i="32"/>
  <c r="M55" i="32"/>
  <c r="M54" i="32"/>
  <c r="M53" i="32"/>
  <c r="M52" i="32"/>
  <c r="M51" i="32"/>
  <c r="M50" i="32"/>
  <c r="M49" i="32"/>
  <c r="M48" i="32"/>
  <c r="M47" i="32"/>
  <c r="M46" i="32"/>
  <c r="M45" i="32"/>
  <c r="M44" i="32"/>
  <c r="M43" i="32"/>
  <c r="M42" i="32"/>
  <c r="M41" i="32"/>
  <c r="M40" i="32"/>
  <c r="M39" i="32"/>
  <c r="M38" i="32"/>
  <c r="M37" i="32"/>
  <c r="M36" i="32"/>
  <c r="M35" i="32"/>
  <c r="M34" i="32"/>
  <c r="M33" i="32"/>
  <c r="M32" i="32"/>
  <c r="M31" i="32"/>
  <c r="M30" i="32"/>
  <c r="M29" i="32"/>
  <c r="M28" i="32"/>
  <c r="M27" i="32"/>
  <c r="M26" i="32"/>
  <c r="M25" i="32"/>
  <c r="H540" i="26"/>
  <c r="H539" i="26"/>
  <c r="H538" i="26"/>
  <c r="H537" i="26"/>
  <c r="H507" i="26"/>
  <c r="H506" i="26"/>
  <c r="H505" i="26"/>
  <c r="H504" i="26"/>
  <c r="H503" i="26"/>
  <c r="H502" i="26"/>
  <c r="H501" i="26"/>
  <c r="H500" i="26"/>
  <c r="H499" i="26"/>
  <c r="H498" i="26"/>
  <c r="H497" i="26"/>
  <c r="H496" i="26"/>
  <c r="H495" i="26"/>
  <c r="H494" i="26"/>
  <c r="H493" i="26"/>
  <c r="H492" i="26"/>
  <c r="H491" i="26"/>
  <c r="H490" i="26"/>
  <c r="H489" i="26"/>
  <c r="H488" i="26"/>
  <c r="H487" i="26"/>
  <c r="H486" i="26"/>
  <c r="H485" i="26"/>
  <c r="H484" i="26"/>
  <c r="H483" i="26"/>
  <c r="H482" i="26"/>
  <c r="H481" i="26"/>
  <c r="H480" i="26"/>
  <c r="H479" i="26"/>
  <c r="H478" i="26"/>
  <c r="H477" i="26"/>
  <c r="H476" i="26"/>
  <c r="H475" i="26"/>
  <c r="H474" i="26"/>
  <c r="H473" i="26"/>
  <c r="H472" i="26"/>
  <c r="H471" i="26"/>
  <c r="H470" i="26"/>
  <c r="H306" i="26"/>
  <c r="H305" i="26"/>
  <c r="H304" i="26"/>
  <c r="H303" i="26"/>
  <c r="H302" i="26"/>
  <c r="H301" i="26"/>
  <c r="H300" i="26"/>
  <c r="H299" i="26"/>
  <c r="H298" i="26"/>
  <c r="H297" i="26"/>
  <c r="H296" i="26"/>
  <c r="H295" i="26"/>
  <c r="H294" i="26"/>
  <c r="H293" i="26"/>
  <c r="H292" i="26"/>
  <c r="H291" i="26"/>
  <c r="H290" i="26"/>
  <c r="H289" i="26"/>
  <c r="H288" i="26"/>
  <c r="H287" i="26"/>
  <c r="H286" i="26"/>
  <c r="H285" i="26"/>
  <c r="H284" i="26"/>
  <c r="H283" i="26"/>
  <c r="H282" i="26"/>
  <c r="H281" i="26"/>
  <c r="H280" i="26"/>
  <c r="H279" i="26"/>
  <c r="H278" i="26"/>
  <c r="H277" i="26"/>
  <c r="H276" i="26"/>
  <c r="H275" i="26"/>
  <c r="H274" i="26"/>
  <c r="H273" i="26"/>
  <c r="H272" i="26"/>
  <c r="H271" i="26"/>
  <c r="H270" i="26"/>
  <c r="H269" i="26"/>
  <c r="H268" i="26"/>
  <c r="H267" i="26"/>
  <c r="H266" i="26"/>
  <c r="H265" i="26"/>
  <c r="H264" i="26"/>
  <c r="H263" i="26"/>
  <c r="H262" i="26"/>
  <c r="H261" i="26"/>
  <c r="H260" i="26"/>
  <c r="H259" i="26"/>
  <c r="H258" i="26"/>
  <c r="H257" i="26"/>
  <c r="H256" i="26"/>
  <c r="H255" i="26"/>
  <c r="H254" i="26"/>
  <c r="H253" i="26"/>
  <c r="H252" i="26"/>
  <c r="H251" i="26"/>
  <c r="H250" i="26"/>
  <c r="H249" i="26"/>
  <c r="H248" i="26"/>
  <c r="H247" i="26"/>
  <c r="H246" i="26"/>
  <c r="H245" i="26"/>
  <c r="H244" i="26"/>
  <c r="H243" i="26"/>
  <c r="H242" i="26"/>
  <c r="H241" i="26"/>
  <c r="H240" i="26"/>
  <c r="H239" i="26"/>
  <c r="H238" i="26"/>
  <c r="H237" i="26"/>
  <c r="H236" i="26"/>
  <c r="H235" i="26"/>
  <c r="H234" i="26"/>
  <c r="H233" i="26"/>
  <c r="H232" i="26"/>
  <c r="H231" i="26"/>
  <c r="H230" i="26"/>
  <c r="H229" i="26"/>
  <c r="H228" i="26"/>
  <c r="H227" i="26"/>
  <c r="H226" i="26"/>
  <c r="H225" i="26"/>
  <c r="H224" i="26"/>
  <c r="H223" i="26"/>
  <c r="H222" i="26"/>
  <c r="H221" i="26"/>
  <c r="H220" i="26"/>
  <c r="H219" i="26"/>
  <c r="H218" i="26"/>
  <c r="H217" i="26"/>
  <c r="H216" i="26"/>
  <c r="H215" i="26"/>
  <c r="H214" i="26"/>
  <c r="H213" i="26"/>
  <c r="H212" i="26"/>
  <c r="H211" i="26"/>
  <c r="H210" i="26"/>
  <c r="H209" i="26"/>
  <c r="H208" i="26"/>
  <c r="H207" i="26"/>
  <c r="H206" i="26"/>
  <c r="H205" i="26"/>
  <c r="H204" i="26"/>
  <c r="H203" i="26"/>
  <c r="H202" i="26"/>
  <c r="H201" i="26"/>
  <c r="H200" i="26"/>
  <c r="H199" i="26"/>
  <c r="H198" i="26"/>
  <c r="H197" i="26"/>
  <c r="H196" i="26"/>
  <c r="H195" i="26"/>
  <c r="H194" i="26"/>
  <c r="H193" i="26"/>
  <c r="H192" i="26"/>
  <c r="H191" i="26"/>
  <c r="H190" i="26"/>
  <c r="H189" i="26"/>
  <c r="H188" i="26"/>
  <c r="H187" i="26"/>
  <c r="H186" i="26"/>
  <c r="H185" i="26"/>
  <c r="H184" i="26"/>
  <c r="H183" i="26"/>
  <c r="H182" i="26"/>
  <c r="H181" i="26"/>
  <c r="H180" i="26"/>
  <c r="H179" i="26"/>
  <c r="H178" i="26"/>
  <c r="H177" i="26"/>
  <c r="H176" i="26"/>
  <c r="H175" i="26"/>
  <c r="H174" i="26"/>
  <c r="H173" i="26"/>
  <c r="H172" i="26"/>
  <c r="H171" i="26"/>
  <c r="H170" i="26"/>
  <c r="H169" i="26"/>
  <c r="H168" i="26"/>
  <c r="H167" i="26"/>
  <c r="H166" i="26"/>
  <c r="H165" i="26"/>
  <c r="H164" i="26"/>
  <c r="H163" i="26"/>
  <c r="H162" i="26"/>
  <c r="H161" i="26"/>
  <c r="H160" i="26"/>
  <c r="H159" i="26"/>
  <c r="H158" i="26"/>
  <c r="H157" i="26"/>
  <c r="H156" i="26"/>
  <c r="H155" i="26"/>
  <c r="H154" i="26"/>
  <c r="H153" i="26"/>
  <c r="H152" i="26"/>
  <c r="H151" i="26"/>
  <c r="H150" i="26"/>
  <c r="H149" i="26"/>
  <c r="H148" i="26"/>
  <c r="H147" i="26"/>
  <c r="H146" i="26"/>
  <c r="H145" i="26"/>
  <c r="H144" i="26"/>
  <c r="H143" i="26"/>
  <c r="H142" i="26"/>
  <c r="H141" i="26"/>
  <c r="H140" i="26"/>
  <c r="H139" i="26"/>
  <c r="H138" i="26"/>
  <c r="H137" i="26"/>
  <c r="H136" i="26"/>
  <c r="H135" i="26"/>
  <c r="H134" i="26"/>
  <c r="H133" i="26"/>
  <c r="H132" i="26"/>
  <c r="H131" i="26"/>
  <c r="H130" i="26"/>
  <c r="H129" i="26"/>
  <c r="H128" i="26"/>
  <c r="H127" i="26"/>
  <c r="H126" i="26"/>
  <c r="H125" i="26"/>
  <c r="H124" i="26"/>
  <c r="H123" i="26"/>
  <c r="H122" i="26"/>
  <c r="H121" i="26"/>
  <c r="H120" i="26"/>
  <c r="H119" i="26"/>
  <c r="H118" i="26"/>
  <c r="H117" i="26"/>
  <c r="H116" i="26"/>
  <c r="H115" i="26"/>
  <c r="H114" i="26"/>
  <c r="H113" i="26"/>
  <c r="H112" i="26"/>
  <c r="H111" i="26"/>
  <c r="H110" i="26"/>
  <c r="H109" i="26"/>
  <c r="H108" i="26"/>
  <c r="H107" i="26"/>
  <c r="H106" i="26"/>
  <c r="H105" i="26"/>
  <c r="H104" i="26"/>
  <c r="H103" i="26"/>
  <c r="H102" i="26"/>
  <c r="H101" i="26"/>
  <c r="H100" i="26"/>
  <c r="H99" i="26"/>
  <c r="H98" i="26"/>
  <c r="H97" i="26"/>
  <c r="H96" i="26"/>
  <c r="H95" i="26"/>
  <c r="H94" i="26"/>
  <c r="H93" i="26"/>
  <c r="H92" i="26"/>
  <c r="H91" i="26"/>
  <c r="H90" i="26"/>
  <c r="H89" i="26"/>
  <c r="H88" i="26"/>
  <c r="H87" i="26"/>
  <c r="H86" i="26"/>
  <c r="H85" i="26"/>
  <c r="H84" i="26"/>
  <c r="H83" i="26"/>
  <c r="H82" i="26"/>
  <c r="H81" i="26"/>
  <c r="H80" i="26"/>
  <c r="H79" i="26"/>
  <c r="H78" i="26"/>
  <c r="H77" i="26"/>
  <c r="H76" i="26"/>
  <c r="H75" i="26"/>
  <c r="H74" i="26"/>
  <c r="H73" i="26"/>
  <c r="H72" i="26"/>
  <c r="H71" i="26"/>
  <c r="H70" i="26"/>
  <c r="H69" i="26"/>
  <c r="H68" i="26"/>
  <c r="H67" i="26"/>
  <c r="H66" i="26"/>
  <c r="H65" i="26"/>
  <c r="H64" i="26"/>
  <c r="H63" i="26"/>
  <c r="H62" i="26"/>
  <c r="H61" i="26"/>
  <c r="H60" i="26"/>
  <c r="H59" i="26"/>
  <c r="H58" i="26"/>
  <c r="H57" i="26"/>
  <c r="H56" i="26"/>
  <c r="H55" i="26"/>
  <c r="H54" i="26"/>
  <c r="H53" i="26"/>
  <c r="H52" i="26"/>
  <c r="H51" i="26"/>
  <c r="H50" i="26"/>
  <c r="H49" i="26"/>
  <c r="H48" i="26"/>
  <c r="H47" i="26"/>
  <c r="H46" i="26"/>
  <c r="H45" i="26"/>
  <c r="H44" i="26"/>
  <c r="H43" i="26"/>
  <c r="H42" i="26"/>
  <c r="H41" i="26"/>
  <c r="H40" i="26"/>
  <c r="H39" i="26"/>
  <c r="H38" i="26"/>
  <c r="H37" i="26"/>
  <c r="H36" i="26"/>
  <c r="H35" i="26"/>
  <c r="H34" i="26"/>
  <c r="H33" i="26"/>
  <c r="H32" i="26"/>
  <c r="H31" i="26"/>
  <c r="H30" i="26"/>
  <c r="H29" i="26"/>
  <c r="H28" i="26"/>
  <c r="H27" i="26"/>
  <c r="H26" i="26"/>
  <c r="H25" i="26"/>
  <c r="H24" i="26"/>
  <c r="H23" i="26"/>
  <c r="H22" i="26"/>
  <c r="H21" i="26"/>
  <c r="H20" i="26"/>
  <c r="H19" i="26"/>
  <c r="H18" i="26"/>
  <c r="H17" i="26"/>
  <c r="H16" i="26"/>
  <c r="H15" i="26"/>
  <c r="H14" i="26"/>
  <c r="H13" i="26"/>
  <c r="H12" i="26"/>
  <c r="H11" i="26"/>
  <c r="H10" i="26"/>
  <c r="H9" i="26"/>
  <c r="H8" i="26"/>
  <c r="H7" i="26"/>
  <c r="D650" i="16" l="1"/>
  <c r="D651" i="16" s="1"/>
  <c r="D636" i="16"/>
  <c r="D637" i="16" s="1"/>
  <c r="D461" i="16"/>
  <c r="D462" i="16" s="1"/>
  <c r="S62" i="17" l="1"/>
  <c r="S63" i="17"/>
  <c r="S64" i="17"/>
  <c r="S65" i="17"/>
  <c r="S66" i="17"/>
  <c r="S67" i="17"/>
  <c r="S68" i="17"/>
  <c r="S69" i="17"/>
  <c r="S70" i="17"/>
  <c r="S71" i="17"/>
  <c r="S72" i="17"/>
  <c r="S73" i="17"/>
  <c r="S74" i="17"/>
  <c r="S75" i="17"/>
  <c r="S76" i="17"/>
  <c r="S77" i="17"/>
  <c r="S78" i="17"/>
  <c r="S79" i="17"/>
  <c r="S189" i="17" l="1"/>
  <c r="S190" i="17"/>
  <c r="S36" i="17"/>
  <c r="S37" i="17"/>
  <c r="S38" i="17"/>
  <c r="C1117" i="16" l="1"/>
  <c r="C1116" i="16"/>
  <c r="C1115" i="16"/>
  <c r="C1114" i="16"/>
  <c r="C1113" i="16"/>
  <c r="C1112" i="16"/>
  <c r="C1111" i="16"/>
  <c r="C1110" i="16"/>
  <c r="Q646" i="16" l="1"/>
  <c r="Q647" i="16"/>
  <c r="Q686" i="16" l="1"/>
  <c r="Q685" i="16"/>
  <c r="Q684" i="16"/>
  <c r="Q683" i="16"/>
  <c r="Q682" i="16"/>
  <c r="Q681" i="16"/>
  <c r="Q680" i="16"/>
  <c r="Q679" i="16"/>
  <c r="Q678" i="16"/>
  <c r="Q677" i="16"/>
  <c r="Z5" i="11" l="1"/>
  <c r="I271" i="32"/>
  <c r="J271" i="32"/>
  <c r="M540" i="26"/>
  <c r="M539" i="26"/>
  <c r="M537" i="26"/>
  <c r="M507" i="26"/>
  <c r="M506" i="26"/>
  <c r="M505" i="26"/>
  <c r="M504" i="26"/>
  <c r="M503" i="26"/>
  <c r="M502" i="26"/>
  <c r="M501" i="26"/>
  <c r="M500" i="26"/>
  <c r="M499" i="26"/>
  <c r="M498" i="26"/>
  <c r="M497" i="26"/>
  <c r="M496" i="26"/>
  <c r="M495" i="26"/>
  <c r="M494" i="26"/>
  <c r="M493" i="26"/>
  <c r="M492" i="26"/>
  <c r="M491" i="26"/>
  <c r="M490" i="26"/>
  <c r="M489" i="26"/>
  <c r="M488" i="26"/>
  <c r="M487" i="26"/>
  <c r="M486" i="26"/>
  <c r="M485" i="26"/>
  <c r="M484" i="26"/>
  <c r="M483" i="26"/>
  <c r="M482" i="26"/>
  <c r="M481" i="26"/>
  <c r="M480" i="26"/>
  <c r="M479" i="26"/>
  <c r="M478" i="26"/>
  <c r="M477" i="26"/>
  <c r="M476" i="26"/>
  <c r="M475" i="26"/>
  <c r="M474" i="26"/>
  <c r="M473" i="26"/>
  <c r="M472" i="26"/>
  <c r="M471" i="26"/>
  <c r="M470" i="26"/>
  <c r="M306" i="26"/>
  <c r="M305" i="26"/>
  <c r="M304" i="26"/>
  <c r="M303" i="26"/>
  <c r="M302" i="26"/>
  <c r="M301" i="26"/>
  <c r="M300" i="26"/>
  <c r="M299" i="26"/>
  <c r="M298" i="26"/>
  <c r="M297" i="26"/>
  <c r="M296" i="26"/>
  <c r="M295" i="26"/>
  <c r="M294" i="26"/>
  <c r="M293" i="26"/>
  <c r="M292" i="26"/>
  <c r="M291" i="26"/>
  <c r="M290" i="26"/>
  <c r="M289" i="26"/>
  <c r="M288" i="26"/>
  <c r="M287" i="26"/>
  <c r="M286" i="26"/>
  <c r="M285" i="26"/>
  <c r="M284" i="26"/>
  <c r="M283" i="26"/>
  <c r="M282" i="26"/>
  <c r="M281" i="26"/>
  <c r="M280" i="26"/>
  <c r="M279" i="26"/>
  <c r="M278" i="26"/>
  <c r="M277" i="26"/>
  <c r="M276" i="26"/>
  <c r="M275" i="26"/>
  <c r="M274" i="26"/>
  <c r="M273" i="26"/>
  <c r="M272" i="26"/>
  <c r="M271" i="26"/>
  <c r="M270" i="26"/>
  <c r="M269" i="26"/>
  <c r="M268" i="26"/>
  <c r="M267" i="26"/>
  <c r="M266" i="26"/>
  <c r="M265" i="26"/>
  <c r="M264" i="26"/>
  <c r="M263" i="26"/>
  <c r="M262" i="26"/>
  <c r="M261" i="26"/>
  <c r="M260" i="26"/>
  <c r="M259" i="26"/>
  <c r="M258" i="26"/>
  <c r="M257" i="26"/>
  <c r="M256" i="26"/>
  <c r="M255" i="26"/>
  <c r="M254" i="26"/>
  <c r="M253" i="26"/>
  <c r="M252" i="26"/>
  <c r="M251" i="26"/>
  <c r="M250" i="26"/>
  <c r="M249" i="26"/>
  <c r="M248" i="26"/>
  <c r="M247" i="26"/>
  <c r="M246" i="26"/>
  <c r="M245" i="26"/>
  <c r="M244" i="26"/>
  <c r="M243" i="26"/>
  <c r="M242" i="26"/>
  <c r="M241" i="26"/>
  <c r="M240" i="26"/>
  <c r="M239" i="26"/>
  <c r="M238" i="26"/>
  <c r="M237" i="26"/>
  <c r="M236" i="26"/>
  <c r="M235" i="26"/>
  <c r="M234" i="26"/>
  <c r="M233" i="26"/>
  <c r="M232" i="26"/>
  <c r="M231" i="26"/>
  <c r="M230" i="26"/>
  <c r="M229" i="26"/>
  <c r="M228" i="26"/>
  <c r="M227" i="26"/>
  <c r="M226" i="26"/>
  <c r="M225" i="26"/>
  <c r="M224" i="26"/>
  <c r="M223" i="26"/>
  <c r="M222" i="26"/>
  <c r="M221" i="26"/>
  <c r="M220" i="26"/>
  <c r="M219" i="26"/>
  <c r="M218" i="26"/>
  <c r="M217" i="26"/>
  <c r="M216" i="26"/>
  <c r="M215" i="26"/>
  <c r="M214" i="26"/>
  <c r="M213" i="26"/>
  <c r="M212" i="26"/>
  <c r="M211" i="26"/>
  <c r="M210" i="26"/>
  <c r="M209" i="26"/>
  <c r="M208" i="26"/>
  <c r="M207" i="26"/>
  <c r="M206" i="26"/>
  <c r="M205" i="26"/>
  <c r="M204" i="26"/>
  <c r="M203" i="26"/>
  <c r="M202" i="26"/>
  <c r="M201" i="26"/>
  <c r="M200" i="26"/>
  <c r="M199" i="26"/>
  <c r="M198" i="26"/>
  <c r="M197" i="26"/>
  <c r="M196" i="26"/>
  <c r="M195" i="26"/>
  <c r="M194" i="26"/>
  <c r="M193" i="26"/>
  <c r="M192" i="26"/>
  <c r="M191" i="26"/>
  <c r="M190" i="26"/>
  <c r="M189" i="26"/>
  <c r="M188" i="26"/>
  <c r="M187" i="26"/>
  <c r="M186" i="26"/>
  <c r="M185" i="26"/>
  <c r="M184" i="26"/>
  <c r="M183" i="26"/>
  <c r="M182" i="26"/>
  <c r="M181" i="26"/>
  <c r="M180" i="26"/>
  <c r="M179" i="26"/>
  <c r="M178" i="26"/>
  <c r="M177" i="26"/>
  <c r="M176" i="26"/>
  <c r="M175" i="26"/>
  <c r="M174" i="26"/>
  <c r="M173" i="26"/>
  <c r="M172" i="26"/>
  <c r="M171" i="26"/>
  <c r="M170" i="26"/>
  <c r="M169" i="26"/>
  <c r="M168" i="26"/>
  <c r="M167" i="26"/>
  <c r="M166" i="26"/>
  <c r="M165" i="26"/>
  <c r="M164" i="26"/>
  <c r="M163" i="26"/>
  <c r="M162" i="26"/>
  <c r="M161" i="26"/>
  <c r="M160" i="26"/>
  <c r="M159" i="26"/>
  <c r="M158" i="26"/>
  <c r="M157" i="26"/>
  <c r="M156" i="26"/>
  <c r="M155" i="26"/>
  <c r="M154" i="26"/>
  <c r="M153" i="26"/>
  <c r="M152" i="26"/>
  <c r="M151" i="26"/>
  <c r="M150" i="26"/>
  <c r="M149" i="26"/>
  <c r="M148" i="26"/>
  <c r="M147" i="26"/>
  <c r="M146" i="26"/>
  <c r="M145" i="26"/>
  <c r="M144" i="26"/>
  <c r="M143" i="26"/>
  <c r="M142" i="26"/>
  <c r="M141" i="26"/>
  <c r="M140" i="26"/>
  <c r="M139" i="26"/>
  <c r="M138" i="26"/>
  <c r="M137" i="26"/>
  <c r="M136" i="26"/>
  <c r="M135" i="26"/>
  <c r="M134" i="26"/>
  <c r="M133" i="26"/>
  <c r="M132" i="26"/>
  <c r="M131" i="26"/>
  <c r="M130" i="26"/>
  <c r="M129" i="26"/>
  <c r="M128" i="26"/>
  <c r="M127" i="26"/>
  <c r="M126" i="26"/>
  <c r="M125" i="26"/>
  <c r="M124" i="26"/>
  <c r="M123" i="26"/>
  <c r="M122" i="26"/>
  <c r="M121" i="26"/>
  <c r="M120" i="26"/>
  <c r="M119" i="26"/>
  <c r="M118" i="26"/>
  <c r="M117" i="26"/>
  <c r="M116" i="26"/>
  <c r="M115" i="26"/>
  <c r="M114" i="26"/>
  <c r="M113" i="26"/>
  <c r="M112" i="26"/>
  <c r="M111" i="26"/>
  <c r="M110" i="26"/>
  <c r="M109" i="26"/>
  <c r="M108" i="26"/>
  <c r="M107" i="26"/>
  <c r="M106" i="26"/>
  <c r="M105" i="26"/>
  <c r="M104" i="26"/>
  <c r="M103" i="26"/>
  <c r="M102" i="26"/>
  <c r="M101" i="26"/>
  <c r="M100" i="26"/>
  <c r="M99" i="26"/>
  <c r="M98" i="26"/>
  <c r="M97" i="26"/>
  <c r="M96" i="26"/>
  <c r="M95" i="26"/>
  <c r="M94" i="26"/>
  <c r="M93" i="26"/>
  <c r="M92" i="26"/>
  <c r="M91" i="26"/>
  <c r="M90" i="26"/>
  <c r="M89" i="26"/>
  <c r="M88" i="26"/>
  <c r="M87" i="26"/>
  <c r="M86" i="26"/>
  <c r="M85" i="26"/>
  <c r="M84" i="26"/>
  <c r="M83" i="26"/>
  <c r="M82" i="26"/>
  <c r="M81" i="26"/>
  <c r="M80" i="26"/>
  <c r="M79" i="26"/>
  <c r="M78" i="26"/>
  <c r="M77" i="26"/>
  <c r="M76" i="26"/>
  <c r="M75" i="26"/>
  <c r="M74" i="26"/>
  <c r="M73" i="26"/>
  <c r="M72" i="26"/>
  <c r="M71" i="26"/>
  <c r="M70" i="26"/>
  <c r="M69" i="26"/>
  <c r="M68" i="26"/>
  <c r="M67" i="26"/>
  <c r="M66" i="26"/>
  <c r="M65" i="26"/>
  <c r="M64" i="26"/>
  <c r="M63" i="26"/>
  <c r="M62" i="26"/>
  <c r="M61" i="26"/>
  <c r="M60" i="26"/>
  <c r="M59" i="26"/>
  <c r="M58" i="26"/>
  <c r="M57" i="26"/>
  <c r="M56" i="26"/>
  <c r="M55" i="26"/>
  <c r="M54" i="26"/>
  <c r="M53" i="26"/>
  <c r="M52" i="26"/>
  <c r="M51" i="26"/>
  <c r="M50" i="26"/>
  <c r="M49" i="26"/>
  <c r="M48" i="26"/>
  <c r="M47" i="26"/>
  <c r="M46" i="26"/>
  <c r="M45" i="26"/>
  <c r="M44" i="26"/>
  <c r="M43" i="26"/>
  <c r="M42" i="26"/>
  <c r="M41" i="26"/>
  <c r="M40" i="26"/>
  <c r="M39" i="26"/>
  <c r="M38" i="26"/>
  <c r="M37" i="26"/>
  <c r="M36" i="26"/>
  <c r="M35" i="26"/>
  <c r="M34" i="26"/>
  <c r="M33" i="26"/>
  <c r="M32" i="26"/>
  <c r="M31" i="26"/>
  <c r="M30" i="26"/>
  <c r="M29" i="26"/>
  <c r="M28" i="26"/>
  <c r="M27" i="26"/>
  <c r="M26" i="26"/>
  <c r="M25" i="26"/>
  <c r="M24" i="26"/>
  <c r="M23" i="26"/>
  <c r="M22" i="26"/>
  <c r="M21" i="26"/>
  <c r="M20" i="26"/>
  <c r="M19" i="26"/>
  <c r="M18" i="26"/>
  <c r="M17" i="26"/>
  <c r="M16" i="26"/>
  <c r="M15" i="26"/>
  <c r="M14" i="26"/>
  <c r="M13" i="26"/>
  <c r="M12" i="26"/>
  <c r="M11" i="26"/>
  <c r="M10" i="26"/>
  <c r="M9" i="26"/>
  <c r="M8" i="26"/>
  <c r="G195" i="32" l="1"/>
  <c r="O4" i="17" l="1"/>
  <c r="O5" i="17"/>
  <c r="O6" i="17"/>
  <c r="O7" i="17"/>
  <c r="O8" i="17"/>
  <c r="O9" i="17"/>
  <c r="O10" i="17"/>
  <c r="O3" i="17"/>
  <c r="Q1001" i="16"/>
  <c r="Q1002" i="16"/>
  <c r="Q1003" i="16"/>
  <c r="Q1004" i="16"/>
  <c r="Q1005" i="16"/>
  <c r="I1089" i="16" l="1"/>
  <c r="I964" i="16"/>
  <c r="I650" i="16"/>
  <c r="Q963" i="16"/>
  <c r="Q694" i="16"/>
  <c r="Q695" i="16"/>
  <c r="I462" i="16" l="1"/>
  <c r="I637" i="16"/>
  <c r="I965" i="16"/>
  <c r="I1090" i="16"/>
  <c r="I651" i="16"/>
  <c r="Q662" i="16"/>
  <c r="Q663" i="16"/>
  <c r="Q188" i="16" l="1"/>
  <c r="Q187" i="16"/>
  <c r="Q186" i="16"/>
  <c r="Q185" i="16"/>
  <c r="Q184" i="16"/>
  <c r="Q183" i="16"/>
  <c r="Q182" i="16"/>
  <c r="Q181" i="16"/>
  <c r="Q180" i="16"/>
  <c r="Q179" i="16"/>
  <c r="Q178" i="16"/>
  <c r="Q177" i="16"/>
  <c r="Q176" i="16"/>
  <c r="Q175" i="16"/>
  <c r="Q174" i="16"/>
  <c r="Q173" i="16"/>
  <c r="Q172" i="16"/>
  <c r="Q171" i="16"/>
  <c r="Q170" i="16"/>
  <c r="Q169" i="16"/>
  <c r="Q168" i="16"/>
  <c r="Q167" i="16"/>
  <c r="Q166" i="16"/>
  <c r="Q165" i="16"/>
  <c r="Q164" i="16"/>
  <c r="Q163" i="16"/>
  <c r="Q162" i="16"/>
  <c r="Q161" i="16"/>
  <c r="Q160" i="16"/>
  <c r="Q159" i="16"/>
  <c r="Q158" i="16"/>
  <c r="Q157" i="16"/>
  <c r="Q156" i="16"/>
  <c r="Q155" i="16"/>
  <c r="Q154" i="16"/>
  <c r="Q153" i="16"/>
  <c r="Q152" i="16"/>
  <c r="Q151" i="16"/>
  <c r="Q150" i="16"/>
  <c r="Q149" i="16"/>
  <c r="Q148" i="16"/>
  <c r="Q147" i="16"/>
  <c r="Q146" i="16"/>
  <c r="Q145" i="16"/>
  <c r="Q144" i="16"/>
  <c r="Q143" i="16"/>
  <c r="Q142" i="16"/>
  <c r="Q141" i="16"/>
  <c r="Q140" i="16"/>
  <c r="Q139" i="16"/>
  <c r="Q138" i="16"/>
  <c r="Q137" i="16"/>
  <c r="Q136" i="16"/>
  <c r="Q135" i="16"/>
  <c r="Q134" i="16"/>
  <c r="Q133" i="16"/>
  <c r="Q132" i="16"/>
  <c r="I636" i="16" l="1"/>
  <c r="I461" i="16"/>
  <c r="J547" i="32"/>
  <c r="J296" i="32"/>
  <c r="I296" i="32"/>
  <c r="J295" i="32"/>
  <c r="I295" i="32"/>
  <c r="J294" i="32"/>
  <c r="I294" i="32"/>
  <c r="J293" i="32"/>
  <c r="I293" i="32"/>
  <c r="J272" i="32"/>
  <c r="I272" i="32"/>
  <c r="J270" i="32"/>
  <c r="I270" i="32"/>
  <c r="S186" i="17" l="1"/>
  <c r="S187" i="17"/>
  <c r="S188" i="17"/>
  <c r="J309" i="32" l="1"/>
  <c r="J310" i="32"/>
  <c r="J311" i="32"/>
  <c r="J312" i="32"/>
  <c r="J313" i="32"/>
  <c r="J314" i="32"/>
  <c r="J315" i="32"/>
  <c r="J316" i="32"/>
  <c r="J317" i="32"/>
  <c r="J318" i="32"/>
  <c r="J319" i="32"/>
  <c r="J320" i="32"/>
  <c r="J321" i="32"/>
  <c r="J322" i="32"/>
  <c r="J323" i="32"/>
  <c r="J324" i="32"/>
  <c r="J325" i="32"/>
  <c r="J326" i="32"/>
  <c r="J327" i="32"/>
  <c r="J328" i="32"/>
  <c r="J329" i="32"/>
  <c r="I26" i="32"/>
  <c r="I27" i="32"/>
  <c r="I28" i="32"/>
  <c r="I29" i="32"/>
  <c r="I30" i="32"/>
  <c r="I31" i="32"/>
  <c r="I32" i="32"/>
  <c r="I33" i="32"/>
  <c r="I34" i="32"/>
  <c r="I35" i="32"/>
  <c r="I36" i="32"/>
  <c r="I37" i="32"/>
  <c r="I38" i="32"/>
  <c r="I39" i="32"/>
  <c r="I40" i="32"/>
  <c r="I41" i="32"/>
  <c r="I42" i="32"/>
  <c r="I43" i="32"/>
  <c r="I44" i="32"/>
  <c r="I45" i="32"/>
  <c r="I46" i="32"/>
  <c r="I47" i="32"/>
  <c r="I48" i="32"/>
  <c r="I49" i="32"/>
  <c r="I50" i="32"/>
  <c r="I51" i="32"/>
  <c r="I52" i="32"/>
  <c r="I53" i="32"/>
  <c r="I54" i="32"/>
  <c r="I55" i="32"/>
  <c r="I56" i="32"/>
  <c r="I57" i="32"/>
  <c r="I58" i="32"/>
  <c r="I59" i="32"/>
  <c r="I60" i="32"/>
  <c r="I61" i="32"/>
  <c r="I62" i="32"/>
  <c r="I63" i="32"/>
  <c r="I64" i="32"/>
  <c r="I65" i="32"/>
  <c r="I66" i="32"/>
  <c r="I67" i="32"/>
  <c r="I68" i="32"/>
  <c r="I69" i="32"/>
  <c r="I70" i="32"/>
  <c r="I71" i="32"/>
  <c r="I72" i="32"/>
  <c r="I73" i="32"/>
  <c r="I74" i="32"/>
  <c r="I75" i="32"/>
  <c r="I76" i="32"/>
  <c r="I77" i="32"/>
  <c r="I78" i="32"/>
  <c r="I79" i="32"/>
  <c r="I80" i="32"/>
  <c r="I81" i="32"/>
  <c r="I82" i="32"/>
  <c r="I83" i="32"/>
  <c r="I84" i="32"/>
  <c r="I85" i="32"/>
  <c r="I86" i="32"/>
  <c r="I87" i="32"/>
  <c r="I88" i="32"/>
  <c r="I89" i="32"/>
  <c r="I90" i="32"/>
  <c r="I91" i="32"/>
  <c r="I92" i="32"/>
  <c r="I93" i="32"/>
  <c r="I94" i="32"/>
  <c r="I95" i="32"/>
  <c r="I96" i="32"/>
  <c r="I97" i="32"/>
  <c r="I98" i="32"/>
  <c r="I99" i="32"/>
  <c r="I100" i="32"/>
  <c r="I101" i="32"/>
  <c r="I102" i="32"/>
  <c r="I103" i="32"/>
  <c r="I104" i="32"/>
  <c r="I105" i="32"/>
  <c r="I106" i="32"/>
  <c r="I107" i="32"/>
  <c r="I108" i="32"/>
  <c r="I109" i="32"/>
  <c r="I110" i="32"/>
  <c r="I111" i="32"/>
  <c r="I112" i="32"/>
  <c r="I113" i="32"/>
  <c r="I114" i="32"/>
  <c r="I115" i="32"/>
  <c r="I116" i="32"/>
  <c r="I117" i="32"/>
  <c r="I118" i="32"/>
  <c r="I119" i="32"/>
  <c r="I120" i="32"/>
  <c r="I121" i="32"/>
  <c r="I122" i="32"/>
  <c r="I123" i="32"/>
  <c r="I124" i="32"/>
  <c r="I125" i="32"/>
  <c r="I126" i="32"/>
  <c r="I127" i="32"/>
  <c r="I128" i="32"/>
  <c r="I129" i="32"/>
  <c r="I130" i="32"/>
  <c r="I131" i="32"/>
  <c r="I132" i="32"/>
  <c r="I133" i="32"/>
  <c r="I134" i="32"/>
  <c r="I264" i="32"/>
  <c r="J264" i="32"/>
  <c r="I265" i="32"/>
  <c r="J265" i="32"/>
  <c r="I266" i="32"/>
  <c r="J266" i="32"/>
  <c r="I267" i="32"/>
  <c r="J267" i="32"/>
  <c r="I268" i="32"/>
  <c r="J268" i="32"/>
  <c r="I269" i="32"/>
  <c r="J269" i="32"/>
  <c r="I297" i="32"/>
  <c r="J297" i="32"/>
  <c r="S130" i="17" l="1"/>
  <c r="S27" i="17" l="1"/>
  <c r="S28" i="17"/>
  <c r="Q696" i="16" l="1"/>
  <c r="Q636" i="16" l="1"/>
  <c r="Q461" i="16"/>
  <c r="F665" i="16" l="1"/>
  <c r="F1113" i="16" s="1"/>
  <c r="AF695" i="42" l="1"/>
  <c r="AG190" i="17"/>
  <c r="AC987" i="16"/>
  <c r="AC986" i="16"/>
  <c r="AC985" i="16"/>
  <c r="AC984" i="16"/>
  <c r="AC983" i="16"/>
  <c r="AC982" i="16"/>
  <c r="AC981" i="16"/>
  <c r="AC980" i="16"/>
  <c r="J531" i="32" l="1"/>
  <c r="I531" i="32"/>
  <c r="I328" i="32"/>
  <c r="C37" i="53" l="1"/>
  <c r="C32" i="53"/>
  <c r="C39" i="53" s="1"/>
  <c r="C40" i="53" s="1"/>
  <c r="C29" i="53"/>
  <c r="C18" i="53"/>
  <c r="C11" i="53"/>
  <c r="C20" i="53" s="1"/>
  <c r="C21" i="53" l="1"/>
  <c r="C22" i="53" s="1"/>
  <c r="C24" i="53" s="1"/>
  <c r="C55" i="53"/>
  <c r="C41" i="53"/>
  <c r="C43" i="53" s="1"/>
  <c r="C51" i="53"/>
  <c r="H164" i="52"/>
  <c r="F164" i="52"/>
  <c r="D164" i="52"/>
  <c r="H163" i="52"/>
  <c r="F163" i="52"/>
  <c r="D163" i="52"/>
  <c r="H160" i="52"/>
  <c r="F160" i="52"/>
  <c r="D160" i="52"/>
  <c r="H157" i="52"/>
  <c r="F157" i="52"/>
  <c r="D157" i="52"/>
  <c r="H154" i="52"/>
  <c r="F154" i="52"/>
  <c r="D154" i="52"/>
  <c r="H148" i="52"/>
  <c r="F148" i="52"/>
  <c r="D148" i="52"/>
  <c r="H145" i="52"/>
  <c r="F145" i="52"/>
  <c r="D145" i="52"/>
  <c r="H142" i="52"/>
  <c r="F142" i="52"/>
  <c r="D142" i="52"/>
  <c r="H141" i="52"/>
  <c r="F141" i="52"/>
  <c r="D141" i="52"/>
  <c r="H138" i="52"/>
  <c r="F138" i="52"/>
  <c r="D138" i="52"/>
  <c r="H132" i="52"/>
  <c r="F132" i="52"/>
  <c r="D132" i="52"/>
  <c r="H129" i="52"/>
  <c r="F129" i="52"/>
  <c r="D129" i="52"/>
  <c r="H126" i="52"/>
  <c r="F126" i="52"/>
  <c r="D126" i="52"/>
  <c r="H123" i="52"/>
  <c r="H122" i="52"/>
  <c r="F122" i="52"/>
  <c r="D122" i="52"/>
  <c r="H121" i="52"/>
  <c r="F121" i="52"/>
  <c r="D121" i="52"/>
  <c r="H118" i="52"/>
  <c r="F118" i="52"/>
  <c r="D118" i="52"/>
  <c r="H117" i="52"/>
  <c r="F117" i="52"/>
  <c r="D117" i="52"/>
  <c r="H116" i="52"/>
  <c r="F116" i="52"/>
  <c r="D116" i="52"/>
  <c r="H115" i="52"/>
  <c r="F115" i="52"/>
  <c r="D115" i="52"/>
  <c r="H114" i="52"/>
  <c r="F114" i="52"/>
  <c r="D114" i="52"/>
  <c r="H111" i="52"/>
  <c r="F111" i="52"/>
  <c r="D111" i="52"/>
  <c r="H110" i="52"/>
  <c r="F110" i="52"/>
  <c r="D110" i="52"/>
  <c r="H107" i="52"/>
  <c r="H106" i="52"/>
  <c r="F106" i="52"/>
  <c r="A104" i="52" s="1"/>
  <c r="D106" i="52"/>
  <c r="H90" i="52"/>
  <c r="D90" i="52"/>
  <c r="H83" i="52"/>
  <c r="D83" i="52"/>
  <c r="H77" i="52"/>
  <c r="D77" i="52"/>
  <c r="H68" i="52"/>
  <c r="D68" i="52"/>
  <c r="H62" i="52"/>
  <c r="D62" i="52"/>
  <c r="H53" i="52"/>
  <c r="D53" i="52"/>
  <c r="H48" i="52"/>
  <c r="D48" i="52"/>
  <c r="H43" i="52"/>
  <c r="D43" i="52"/>
  <c r="H38" i="52"/>
  <c r="D38" i="52"/>
  <c r="H30" i="52"/>
  <c r="D30" i="52"/>
  <c r="H22" i="52"/>
  <c r="D22" i="52"/>
  <c r="H12" i="52"/>
  <c r="H55" i="52" s="1"/>
  <c r="H94" i="52" s="1"/>
  <c r="D12" i="52"/>
  <c r="D55" i="52" s="1"/>
  <c r="D94" i="52" s="1"/>
  <c r="D166" i="52" l="1"/>
  <c r="H166" i="52"/>
  <c r="H99" i="52"/>
  <c r="H134" i="52"/>
  <c r="D134" i="52"/>
  <c r="H96" i="52"/>
  <c r="H100" i="52" l="1"/>
  <c r="F166" i="52"/>
  <c r="F134" i="52"/>
  <c r="AF764" i="42"/>
  <c r="AC764" i="42"/>
  <c r="AE764" i="42" s="1"/>
  <c r="AF763" i="42"/>
  <c r="AC763" i="42"/>
  <c r="AE763" i="42" s="1"/>
  <c r="AF762" i="42"/>
  <c r="AC762" i="42"/>
  <c r="AE762" i="42" s="1"/>
  <c r="AF761" i="42"/>
  <c r="AC761" i="42"/>
  <c r="AE761" i="42" s="1"/>
  <c r="AF760" i="42"/>
  <c r="AC760" i="42"/>
  <c r="AE760" i="42" s="1"/>
  <c r="AF759" i="42"/>
  <c r="AC759" i="42"/>
  <c r="AE759" i="42" s="1"/>
  <c r="AF758" i="42"/>
  <c r="AC758" i="42"/>
  <c r="AE758" i="42" s="1"/>
  <c r="AF757" i="42"/>
  <c r="AC757" i="42"/>
  <c r="AE757" i="42" s="1"/>
  <c r="AF756" i="42"/>
  <c r="AC756" i="42"/>
  <c r="AE756" i="42" s="1"/>
  <c r="AF755" i="42"/>
  <c r="AC755" i="42"/>
  <c r="AE755" i="42" s="1"/>
  <c r="AF754" i="42"/>
  <c r="AC754" i="42"/>
  <c r="AE754" i="42" s="1"/>
  <c r="AF753" i="42"/>
  <c r="AC753" i="42"/>
  <c r="AE753" i="42" s="1"/>
  <c r="AF752" i="42"/>
  <c r="AC752" i="42"/>
  <c r="AE752" i="42" s="1"/>
  <c r="AF718" i="42"/>
  <c r="AC718" i="42"/>
  <c r="AE718" i="42" s="1"/>
  <c r="AF717" i="42"/>
  <c r="AC717" i="42"/>
  <c r="AE717" i="42" s="1"/>
  <c r="C23" i="36" l="1"/>
  <c r="C44" i="53"/>
  <c r="C45" i="53" s="1"/>
  <c r="C40" i="36"/>
  <c r="C44" i="54" s="1"/>
  <c r="C45" i="54" s="1"/>
  <c r="G785" i="42"/>
  <c r="C25" i="53" l="1"/>
  <c r="C26" i="53" s="1"/>
  <c r="C47" i="53" s="1"/>
  <c r="H47" i="43" s="1"/>
  <c r="C25" i="54"/>
  <c r="C26" i="54" s="1"/>
  <c r="C47" i="54" s="1"/>
  <c r="C52" i="53"/>
  <c r="G784" i="42"/>
  <c r="C52" i="54" l="1"/>
  <c r="H49" i="43"/>
  <c r="P10" i="17" l="1"/>
  <c r="P9" i="17" l="1"/>
  <c r="Q4347" i="41"/>
  <c r="F4349" i="41"/>
  <c r="Q4355" i="41"/>
  <c r="Q4365" i="41"/>
  <c r="F4367" i="41"/>
  <c r="Q4376" i="41"/>
  <c r="F4330" i="41"/>
  <c r="F2207" i="41"/>
  <c r="P8" i="17" l="1"/>
  <c r="J4367" i="41"/>
  <c r="F4370" i="41"/>
  <c r="J4349" i="41"/>
  <c r="Q39" i="41"/>
  <c r="Q38" i="41"/>
  <c r="Q37" i="41"/>
  <c r="Q36" i="41"/>
  <c r="O36" i="41"/>
  <c r="Q35" i="41"/>
  <c r="Q34" i="41"/>
  <c r="O34" i="41"/>
  <c r="O33" i="41" s="1"/>
  <c r="Q33" i="41"/>
  <c r="Q32" i="41"/>
  <c r="Q31" i="41"/>
  <c r="Q30" i="41"/>
  <c r="Q29" i="41"/>
  <c r="Q28" i="41"/>
  <c r="Q27" i="41"/>
  <c r="Q26" i="41"/>
  <c r="Q25" i="41"/>
  <c r="Q24" i="41"/>
  <c r="Q23" i="41"/>
  <c r="Q22" i="41"/>
  <c r="Q21" i="41"/>
  <c r="Q20" i="41"/>
  <c r="Q19" i="41"/>
  <c r="Q18" i="41"/>
  <c r="Q17" i="41"/>
  <c r="Q16" i="41"/>
  <c r="Q15" i="41"/>
  <c r="Q14" i="41"/>
  <c r="Q13" i="41"/>
  <c r="Q12" i="41"/>
  <c r="Q11" i="41"/>
  <c r="Q10" i="41"/>
  <c r="Q9" i="41"/>
  <c r="Q8" i="41"/>
  <c r="Q7" i="41"/>
  <c r="Q6" i="41"/>
  <c r="Q5" i="41"/>
  <c r="F639" i="16"/>
  <c r="F1111" i="16" s="1"/>
  <c r="F464" i="16"/>
  <c r="F1115" i="16"/>
  <c r="F1110" i="16" l="1"/>
  <c r="P7" i="17"/>
  <c r="J4370" i="41"/>
  <c r="J4330" i="41"/>
  <c r="J2207" i="41"/>
  <c r="O32" i="41"/>
  <c r="G89" i="17"/>
  <c r="S61" i="17"/>
  <c r="P6" i="17" l="1"/>
  <c r="O31" i="41"/>
  <c r="P5" i="17" l="1"/>
  <c r="O30" i="41"/>
  <c r="Q989" i="16"/>
  <c r="Q1007" i="16"/>
  <c r="P3" i="17" l="1"/>
  <c r="P4" i="17"/>
  <c r="O29" i="41"/>
  <c r="O28" i="41" s="1"/>
  <c r="O27" i="41" s="1"/>
  <c r="O26" i="41" s="1"/>
  <c r="O25" i="41" s="1"/>
  <c r="O24" i="41" s="1"/>
  <c r="O23" i="41" s="1"/>
  <c r="O22" i="41" s="1"/>
  <c r="O21" i="41" s="1"/>
  <c r="O20" i="41" s="1"/>
  <c r="O19" i="41" s="1"/>
  <c r="O18" i="41" s="1"/>
  <c r="O17" i="41" s="1"/>
  <c r="O16" i="41" s="1"/>
  <c r="O15" i="41" s="1"/>
  <c r="O14" i="41" s="1"/>
  <c r="O13" i="41" s="1"/>
  <c r="O12" i="41" s="1"/>
  <c r="O11" i="41" s="1"/>
  <c r="O10" i="41" s="1"/>
  <c r="O9" i="41" s="1"/>
  <c r="O8" i="41" s="1"/>
  <c r="O7" i="41" s="1"/>
  <c r="O6" i="41" s="1"/>
  <c r="Q722" i="16"/>
  <c r="Q721" i="16"/>
  <c r="Q720" i="16"/>
  <c r="Q719" i="16"/>
  <c r="Q718" i="16"/>
  <c r="Q717" i="16"/>
  <c r="Q716" i="16"/>
  <c r="Q715" i="16"/>
  <c r="Q714" i="16"/>
  <c r="Q713" i="16"/>
  <c r="Q712" i="16"/>
  <c r="Q711" i="16"/>
  <c r="Q710" i="16"/>
  <c r="Q709" i="16"/>
  <c r="Q708" i="16"/>
  <c r="Q707" i="16"/>
  <c r="Q706" i="16"/>
  <c r="Q705" i="16"/>
  <c r="Q704" i="16"/>
  <c r="I4367" i="41" l="1"/>
  <c r="I4349" i="41"/>
  <c r="I4330" i="41"/>
  <c r="I2207" i="41"/>
  <c r="Q650" i="16"/>
  <c r="Q651" i="16"/>
  <c r="Q637" i="16"/>
  <c r="Q462" i="16"/>
  <c r="I4370" i="41" l="1"/>
  <c r="Z987" i="16" l="1"/>
  <c r="AB987" i="16" s="1"/>
  <c r="AD190" i="17" l="1"/>
  <c r="AF190" i="17" s="1"/>
  <c r="AC695" i="42"/>
  <c r="AE695" i="42" s="1"/>
  <c r="Z985" i="16" l="1"/>
  <c r="AB985" i="16" s="1"/>
  <c r="Z983" i="16"/>
  <c r="AB983" i="16" s="1"/>
  <c r="Z981" i="16"/>
  <c r="AB981" i="16" s="1"/>
  <c r="Z982" i="16"/>
  <c r="AB982" i="16" s="1"/>
  <c r="Z986" i="16"/>
  <c r="AB986" i="16" s="1"/>
  <c r="Z984" i="16"/>
  <c r="AB984" i="16" s="1"/>
  <c r="Z980" i="16"/>
  <c r="AB980" i="16" s="1"/>
  <c r="F991" i="16" l="1"/>
  <c r="I263" i="32" l="1"/>
  <c r="I298" i="32"/>
  <c r="I299" i="32"/>
  <c r="I300" i="32"/>
  <c r="I301" i="32"/>
  <c r="I302" i="32"/>
  <c r="I303" i="32"/>
  <c r="I304" i="32"/>
  <c r="I305" i="32"/>
  <c r="I306" i="32"/>
  <c r="I307" i="32"/>
  <c r="I308" i="32"/>
  <c r="I309" i="32"/>
  <c r="I310" i="32"/>
  <c r="I311" i="32"/>
  <c r="I312" i="32"/>
  <c r="I313" i="32"/>
  <c r="I314" i="32"/>
  <c r="I315" i="32"/>
  <c r="I316" i="32"/>
  <c r="I317" i="32"/>
  <c r="I318" i="32"/>
  <c r="I319" i="32"/>
  <c r="I320" i="32"/>
  <c r="I321" i="32"/>
  <c r="I322" i="32"/>
  <c r="I323" i="32"/>
  <c r="I324" i="32"/>
  <c r="I325" i="32"/>
  <c r="I326" i="32"/>
  <c r="I327" i="32"/>
  <c r="S12" i="17" l="1"/>
  <c r="S40" i="17"/>
  <c r="S205" i="17"/>
  <c r="S204" i="17"/>
  <c r="K204" i="17"/>
  <c r="J204" i="17"/>
  <c r="S218" i="17"/>
  <c r="I638" i="16" l="1"/>
  <c r="J638" i="16"/>
  <c r="Q1006" i="16" l="1"/>
  <c r="Q988" i="16"/>
  <c r="F1009" i="16" l="1"/>
  <c r="F1116" i="16" s="1"/>
  <c r="F1012" i="16" l="1"/>
  <c r="I329" i="32" l="1"/>
  <c r="I330" i="32"/>
  <c r="J330" i="32"/>
  <c r="I331" i="32"/>
  <c r="J331" i="32"/>
  <c r="I332" i="32"/>
  <c r="J332" i="32"/>
  <c r="I333" i="32"/>
  <c r="J333" i="32"/>
  <c r="I334" i="32"/>
  <c r="J334" i="32"/>
  <c r="I335" i="32"/>
  <c r="J335" i="32"/>
  <c r="I336" i="32"/>
  <c r="J336" i="32"/>
  <c r="S217" i="17" l="1"/>
  <c r="S203" i="17"/>
  <c r="K203" i="17"/>
  <c r="F653" i="16" l="1"/>
  <c r="F1112" i="16" s="1"/>
  <c r="Q965" i="16" l="1"/>
  <c r="Q964" i="16"/>
  <c r="F1117" i="16"/>
  <c r="F1120" i="16" s="1"/>
  <c r="M96" i="17" l="1"/>
  <c r="M97" i="17"/>
  <c r="M98" i="17"/>
  <c r="M99" i="17"/>
  <c r="M100" i="17"/>
  <c r="M101" i="17"/>
  <c r="M102" i="17"/>
  <c r="M103" i="17"/>
  <c r="M104" i="17"/>
  <c r="M105" i="17"/>
  <c r="M106" i="17"/>
  <c r="M107" i="17"/>
  <c r="M108" i="17"/>
  <c r="M109" i="17"/>
  <c r="M110" i="17"/>
  <c r="M111" i="17"/>
  <c r="M112" i="17"/>
  <c r="M113" i="17"/>
  <c r="M114" i="17"/>
  <c r="M115" i="17"/>
  <c r="M116" i="17"/>
  <c r="M117" i="17"/>
  <c r="M118" i="17"/>
  <c r="M119" i="17"/>
  <c r="M129" i="17"/>
  <c r="M95" i="17"/>
  <c r="L1019" i="16"/>
  <c r="M1019" i="16" s="1"/>
  <c r="N1019" i="16" s="1"/>
  <c r="L1020" i="16"/>
  <c r="M1020" i="16" s="1"/>
  <c r="N1020" i="16" s="1"/>
  <c r="L1021" i="16"/>
  <c r="M1021" i="16" s="1"/>
  <c r="N1021" i="16" s="1"/>
  <c r="L1022" i="16"/>
  <c r="M1022" i="16" s="1"/>
  <c r="N1022" i="16" s="1"/>
  <c r="L1023" i="16"/>
  <c r="M1023" i="16" s="1"/>
  <c r="N1023" i="16" s="1"/>
  <c r="L1024" i="16"/>
  <c r="M1024" i="16" s="1"/>
  <c r="N1024" i="16" s="1"/>
  <c r="L1025" i="16"/>
  <c r="M1025" i="16" s="1"/>
  <c r="N1025" i="16" s="1"/>
  <c r="L1026" i="16"/>
  <c r="M1026" i="16" s="1"/>
  <c r="N1026" i="16" s="1"/>
  <c r="L1027" i="16"/>
  <c r="M1027" i="16" s="1"/>
  <c r="N1027" i="16" s="1"/>
  <c r="L1028" i="16"/>
  <c r="M1028" i="16" s="1"/>
  <c r="N1028" i="16" s="1"/>
  <c r="L1029" i="16"/>
  <c r="M1029" i="16" s="1"/>
  <c r="N1029" i="16" s="1"/>
  <c r="L1030" i="16"/>
  <c r="M1030" i="16" s="1"/>
  <c r="N1030" i="16" s="1"/>
  <c r="L1031" i="16"/>
  <c r="M1031" i="16" s="1"/>
  <c r="N1031" i="16" s="1"/>
  <c r="L1032" i="16"/>
  <c r="M1032" i="16" s="1"/>
  <c r="N1032" i="16" s="1"/>
  <c r="L1033" i="16"/>
  <c r="M1033" i="16" s="1"/>
  <c r="N1033" i="16" s="1"/>
  <c r="L1034" i="16"/>
  <c r="M1034" i="16" s="1"/>
  <c r="N1034" i="16" s="1"/>
  <c r="L1035" i="16"/>
  <c r="M1035" i="16" s="1"/>
  <c r="N1035" i="16" s="1"/>
  <c r="L1036" i="16"/>
  <c r="M1036" i="16" s="1"/>
  <c r="N1036" i="16" s="1"/>
  <c r="L1037" i="16"/>
  <c r="M1037" i="16" s="1"/>
  <c r="N1037" i="16" s="1"/>
  <c r="L1038" i="16"/>
  <c r="M1038" i="16" s="1"/>
  <c r="N1038" i="16" s="1"/>
  <c r="L1039" i="16"/>
  <c r="M1039" i="16" s="1"/>
  <c r="N1039" i="16" s="1"/>
  <c r="L1040" i="16"/>
  <c r="M1040" i="16" s="1"/>
  <c r="N1040" i="16" s="1"/>
  <c r="L1041" i="16"/>
  <c r="M1041" i="16" s="1"/>
  <c r="N1041" i="16" s="1"/>
  <c r="L1042" i="16"/>
  <c r="M1042" i="16" s="1"/>
  <c r="N1042" i="16" s="1"/>
  <c r="L1043" i="16"/>
  <c r="M1043" i="16" s="1"/>
  <c r="N1043" i="16" s="1"/>
  <c r="L1044" i="16"/>
  <c r="M1044" i="16" s="1"/>
  <c r="N1044" i="16" s="1"/>
  <c r="L1045" i="16"/>
  <c r="M1045" i="16" s="1"/>
  <c r="N1045" i="16" s="1"/>
  <c r="L1046" i="16"/>
  <c r="M1046" i="16" s="1"/>
  <c r="N1046" i="16" s="1"/>
  <c r="L1047" i="16"/>
  <c r="M1047" i="16" s="1"/>
  <c r="N1047" i="16" s="1"/>
  <c r="L1048" i="16"/>
  <c r="M1048" i="16" s="1"/>
  <c r="N1048" i="16" s="1"/>
  <c r="L1049" i="16"/>
  <c r="M1049" i="16" s="1"/>
  <c r="N1049" i="16" s="1"/>
  <c r="L1050" i="16"/>
  <c r="M1050" i="16" s="1"/>
  <c r="N1050" i="16" s="1"/>
  <c r="L1051" i="16"/>
  <c r="M1051" i="16" s="1"/>
  <c r="N1051" i="16" s="1"/>
  <c r="L1052" i="16"/>
  <c r="M1052" i="16" s="1"/>
  <c r="N1052" i="16" s="1"/>
  <c r="L1053" i="16"/>
  <c r="M1053" i="16" s="1"/>
  <c r="N1053" i="16" s="1"/>
  <c r="L1054" i="16"/>
  <c r="M1054" i="16" s="1"/>
  <c r="N1054" i="16" s="1"/>
  <c r="L1055" i="16"/>
  <c r="M1055" i="16" s="1"/>
  <c r="N1055" i="16" s="1"/>
  <c r="L1056" i="16"/>
  <c r="M1056" i="16" s="1"/>
  <c r="N1056" i="16" s="1"/>
  <c r="L1057" i="16"/>
  <c r="M1057" i="16" s="1"/>
  <c r="N1057" i="16" s="1"/>
  <c r="L1058" i="16"/>
  <c r="M1058" i="16" s="1"/>
  <c r="N1058" i="16" s="1"/>
  <c r="L1059" i="16"/>
  <c r="M1059" i="16" s="1"/>
  <c r="N1059" i="16" s="1"/>
  <c r="L1018" i="16"/>
  <c r="M1018" i="16" s="1"/>
  <c r="N1018" i="16" s="1"/>
  <c r="S153" i="17" l="1"/>
  <c r="S154" i="17"/>
  <c r="S155" i="17"/>
  <c r="K89" i="17" l="1"/>
  <c r="K7" i="17"/>
  <c r="J991" i="16" l="1"/>
  <c r="J967" i="16" l="1"/>
  <c r="F698" i="16"/>
  <c r="F970" i="16" s="1"/>
  <c r="F1114" i="16" l="1"/>
  <c r="J698" i="16"/>
  <c r="F1121" i="16" l="1"/>
  <c r="F1118" i="16"/>
  <c r="AC4" i="13" l="1"/>
  <c r="AC5" i="13"/>
  <c r="AC6" i="13"/>
  <c r="AB4" i="13"/>
  <c r="AB5" i="13"/>
  <c r="AB6" i="13"/>
  <c r="Z3" i="13"/>
  <c r="Z4" i="13"/>
  <c r="AC4" i="14"/>
  <c r="AC5" i="14"/>
  <c r="AC6" i="14"/>
  <c r="AB4" i="14"/>
  <c r="AB5" i="14"/>
  <c r="AB6" i="14"/>
  <c r="AC4" i="11"/>
  <c r="AC5" i="11"/>
  <c r="AC6" i="11"/>
  <c r="AB6" i="11"/>
  <c r="AB4" i="11"/>
  <c r="AB5" i="11"/>
  <c r="Z3" i="11"/>
  <c r="Z4" i="11"/>
  <c r="N7" i="24" l="1"/>
  <c r="J544" i="32" l="1"/>
  <c r="J545" i="32"/>
  <c r="J299" i="32"/>
  <c r="J300" i="32"/>
  <c r="J301" i="32"/>
  <c r="J302" i="32"/>
  <c r="J303" i="32"/>
  <c r="J304" i="32"/>
  <c r="J305" i="32"/>
  <c r="J306" i="32"/>
  <c r="J307" i="32"/>
  <c r="J308" i="32"/>
  <c r="J541" i="32" l="1"/>
  <c r="J542" i="32"/>
  <c r="J543" i="32"/>
  <c r="J298" i="32"/>
  <c r="J263" i="32"/>
  <c r="J262" i="32"/>
  <c r="I262" i="32"/>
  <c r="J261" i="32"/>
  <c r="I261" i="32"/>
  <c r="J260" i="32"/>
  <c r="I260" i="32"/>
  <c r="G29" i="17" l="1"/>
  <c r="S225" i="17"/>
  <c r="S224" i="17"/>
  <c r="S216" i="17"/>
  <c r="S215" i="17"/>
  <c r="S214" i="17"/>
  <c r="S213" i="17"/>
  <c r="S185" i="17"/>
  <c r="S172" i="17"/>
  <c r="S171" i="17"/>
  <c r="S152" i="17"/>
  <c r="S151" i="17"/>
  <c r="S129" i="17"/>
  <c r="S119" i="17"/>
  <c r="S118" i="17"/>
  <c r="S117" i="17"/>
  <c r="S116" i="17"/>
  <c r="S115" i="17"/>
  <c r="S114" i="17"/>
  <c r="S113" i="17"/>
  <c r="S112" i="17"/>
  <c r="S111" i="17"/>
  <c r="S110" i="17"/>
  <c r="S109" i="17"/>
  <c r="S108" i="17"/>
  <c r="S107" i="17"/>
  <c r="S106" i="17"/>
  <c r="S105" i="17"/>
  <c r="S104" i="17"/>
  <c r="S103" i="17"/>
  <c r="S102" i="17"/>
  <c r="S101" i="17"/>
  <c r="S100" i="17"/>
  <c r="S99" i="17"/>
  <c r="S98" i="17"/>
  <c r="S97" i="17"/>
  <c r="S96" i="17"/>
  <c r="S95" i="17"/>
  <c r="S49" i="17"/>
  <c r="S48" i="17"/>
  <c r="S35" i="17"/>
  <c r="S23" i="17"/>
  <c r="S22" i="17"/>
  <c r="S21" i="17"/>
  <c r="S20" i="17"/>
  <c r="S19" i="17"/>
  <c r="S18" i="17"/>
  <c r="S17" i="17"/>
  <c r="S9" i="17"/>
  <c r="S10" i="17"/>
  <c r="S8" i="17"/>
  <c r="G14" i="17"/>
  <c r="B20" i="1" l="1"/>
  <c r="F20" i="1"/>
  <c r="B22" i="1"/>
  <c r="F22" i="1"/>
  <c r="F23" i="1"/>
  <c r="B23" i="1"/>
  <c r="C25" i="47" l="1"/>
  <c r="C44" i="47"/>
  <c r="C56" i="47" l="1"/>
  <c r="C37" i="47"/>
  <c r="C32" i="47"/>
  <c r="C39" i="47" s="1"/>
  <c r="C40" i="47" s="1"/>
  <c r="C29" i="47"/>
  <c r="C18" i="47"/>
  <c r="C11" i="47"/>
  <c r="C20" i="47" s="1"/>
  <c r="C21" i="47" s="1"/>
  <c r="C22" i="47" l="1"/>
  <c r="C41" i="47"/>
  <c r="C43" i="47" s="1"/>
  <c r="C24" i="47" l="1"/>
  <c r="C26" i="47" s="1"/>
  <c r="C45" i="47"/>
  <c r="C52" i="47"/>
  <c r="C47" i="47" l="1"/>
  <c r="H45" i="43" s="1"/>
  <c r="H50" i="43" s="1"/>
  <c r="Q978" i="16"/>
  <c r="Z5" i="14"/>
  <c r="Z4" i="14"/>
  <c r="K8" i="14"/>
  <c r="K9" i="14"/>
  <c r="K7" i="14"/>
  <c r="K6" i="14"/>
  <c r="K7" i="11"/>
  <c r="K8" i="11"/>
  <c r="K9" i="11"/>
  <c r="K6" i="11"/>
  <c r="Q987" i="16"/>
  <c r="Q986" i="16"/>
  <c r="Q985" i="16"/>
  <c r="Q984" i="16"/>
  <c r="Q983" i="16"/>
  <c r="Q982" i="16"/>
  <c r="Q981" i="16"/>
  <c r="Q980" i="16"/>
  <c r="Q979" i="16"/>
  <c r="I529" i="32"/>
  <c r="J529" i="32"/>
  <c r="I532" i="32"/>
  <c r="J532" i="32"/>
  <c r="I533" i="32"/>
  <c r="J533" i="32"/>
  <c r="I534" i="32"/>
  <c r="J534" i="32"/>
  <c r="I535" i="32"/>
  <c r="J535" i="32"/>
  <c r="I536" i="32"/>
  <c r="J536" i="32"/>
  <c r="I537" i="32"/>
  <c r="J537" i="32"/>
  <c r="I538" i="32"/>
  <c r="J538" i="32"/>
  <c r="I539" i="32"/>
  <c r="J539" i="32"/>
  <c r="I540" i="32"/>
  <c r="J540" i="32"/>
  <c r="I232" i="32"/>
  <c r="J232" i="32"/>
  <c r="I233" i="32"/>
  <c r="J233" i="32"/>
  <c r="I234" i="32"/>
  <c r="J234" i="32"/>
  <c r="I235" i="32"/>
  <c r="J235" i="32"/>
  <c r="I236" i="32"/>
  <c r="J236" i="32"/>
  <c r="I237" i="32"/>
  <c r="J237" i="32"/>
  <c r="I238" i="32"/>
  <c r="J238" i="32"/>
  <c r="I239" i="32"/>
  <c r="J239" i="32"/>
  <c r="I240" i="32"/>
  <c r="J240" i="32"/>
  <c r="I241" i="32"/>
  <c r="J241" i="32"/>
  <c r="I250" i="32"/>
  <c r="J250" i="32"/>
  <c r="I251" i="32"/>
  <c r="J251" i="32"/>
  <c r="I252" i="32"/>
  <c r="J252" i="32"/>
  <c r="I253" i="32"/>
  <c r="J253" i="32"/>
  <c r="I254" i="32"/>
  <c r="J254" i="32"/>
  <c r="I255" i="32"/>
  <c r="J255" i="32"/>
  <c r="I256" i="32"/>
  <c r="J256" i="32"/>
  <c r="I257" i="32"/>
  <c r="J257" i="32"/>
  <c r="I258" i="32"/>
  <c r="J258" i="32"/>
  <c r="I259" i="32"/>
  <c r="J259" i="32"/>
  <c r="I337" i="32"/>
  <c r="J337" i="32"/>
  <c r="I338" i="32"/>
  <c r="J338" i="32"/>
  <c r="I339" i="32"/>
  <c r="J339" i="32"/>
  <c r="I340" i="32"/>
  <c r="J340" i="32"/>
  <c r="I341" i="32"/>
  <c r="J341" i="32"/>
  <c r="I342" i="32"/>
  <c r="J342" i="32"/>
  <c r="I343" i="32"/>
  <c r="J343" i="32"/>
  <c r="I344" i="32"/>
  <c r="J344" i="32"/>
  <c r="I345" i="32"/>
  <c r="J345" i="32"/>
  <c r="I346" i="32"/>
  <c r="J346" i="32"/>
  <c r="I347" i="32"/>
  <c r="J347" i="32"/>
  <c r="I348" i="32"/>
  <c r="J348" i="32"/>
  <c r="I349" i="32"/>
  <c r="J349" i="32"/>
  <c r="I350" i="32"/>
  <c r="J350" i="32"/>
  <c r="I351" i="32"/>
  <c r="J351" i="32"/>
  <c r="I352" i="32"/>
  <c r="J352" i="32"/>
  <c r="I353" i="32"/>
  <c r="J353" i="32"/>
  <c r="I354" i="32"/>
  <c r="J354" i="32"/>
  <c r="I355" i="32"/>
  <c r="J355" i="32"/>
  <c r="I356" i="32"/>
  <c r="J356" i="32"/>
  <c r="I357" i="32"/>
  <c r="J357" i="32"/>
  <c r="I358" i="32"/>
  <c r="J358" i="32"/>
  <c r="I359" i="32"/>
  <c r="J359" i="32"/>
  <c r="I360" i="32"/>
  <c r="J360" i="32"/>
  <c r="I361" i="32"/>
  <c r="J361" i="32"/>
  <c r="I362" i="32"/>
  <c r="J362" i="32"/>
  <c r="I363" i="32"/>
  <c r="J363" i="32"/>
  <c r="I364" i="32"/>
  <c r="J364" i="32"/>
  <c r="I365" i="32"/>
  <c r="J365" i="32"/>
  <c r="I366" i="32"/>
  <c r="J366" i="32"/>
  <c r="I367" i="32"/>
  <c r="J367" i="32"/>
  <c r="I368" i="32"/>
  <c r="J368" i="32"/>
  <c r="I369" i="32"/>
  <c r="J369" i="32"/>
  <c r="I370" i="32"/>
  <c r="J370" i="32"/>
  <c r="I371" i="32"/>
  <c r="J371" i="32"/>
  <c r="I372" i="32"/>
  <c r="J372" i="32"/>
  <c r="I373" i="32"/>
  <c r="J373" i="32"/>
  <c r="I374" i="32"/>
  <c r="J374" i="32"/>
  <c r="I375" i="32"/>
  <c r="J375" i="32"/>
  <c r="I376" i="32"/>
  <c r="J376" i="32"/>
  <c r="I377" i="32"/>
  <c r="J377" i="32"/>
  <c r="I378" i="32"/>
  <c r="J378" i="32"/>
  <c r="I379" i="32"/>
  <c r="J379" i="32"/>
  <c r="I380" i="32"/>
  <c r="J380" i="32"/>
  <c r="I381" i="32"/>
  <c r="J381" i="32"/>
  <c r="I382" i="32"/>
  <c r="J382" i="32"/>
  <c r="I383" i="32"/>
  <c r="J383" i="32"/>
  <c r="I384" i="32"/>
  <c r="J384" i="32"/>
  <c r="I385" i="32"/>
  <c r="J385" i="32"/>
  <c r="I386" i="32"/>
  <c r="J386" i="32"/>
  <c r="I387" i="32"/>
  <c r="J387" i="32"/>
  <c r="I388" i="32"/>
  <c r="J388" i="32"/>
  <c r="I389" i="32"/>
  <c r="J389" i="32"/>
  <c r="I390" i="32"/>
  <c r="J390" i="32"/>
  <c r="I391" i="32"/>
  <c r="J391" i="32"/>
  <c r="I392" i="32"/>
  <c r="J392" i="32"/>
  <c r="I393" i="32"/>
  <c r="J393" i="32"/>
  <c r="I394" i="32"/>
  <c r="J394" i="32"/>
  <c r="I395" i="32"/>
  <c r="J395" i="32"/>
  <c r="I396" i="32"/>
  <c r="J396" i="32"/>
  <c r="I397" i="32"/>
  <c r="J397" i="32"/>
  <c r="I398" i="32"/>
  <c r="J398" i="32"/>
  <c r="I399" i="32"/>
  <c r="J399" i="32"/>
  <c r="I400" i="32"/>
  <c r="J400" i="32"/>
  <c r="I401" i="32"/>
  <c r="J401" i="32"/>
  <c r="I402" i="32"/>
  <c r="J402" i="32"/>
  <c r="I403" i="32"/>
  <c r="J403" i="32"/>
  <c r="I404" i="32"/>
  <c r="J404" i="32"/>
  <c r="I405" i="32"/>
  <c r="J405" i="32"/>
  <c r="I406" i="32"/>
  <c r="J406" i="32"/>
  <c r="I407" i="32"/>
  <c r="J407" i="32"/>
  <c r="I408" i="32"/>
  <c r="J408" i="32"/>
  <c r="I409" i="32"/>
  <c r="J409" i="32"/>
  <c r="I410" i="32"/>
  <c r="J410" i="32"/>
  <c r="I411" i="32"/>
  <c r="J411" i="32"/>
  <c r="I412" i="32"/>
  <c r="J412" i="32"/>
  <c r="I413" i="32"/>
  <c r="J413" i="32"/>
  <c r="I414" i="32"/>
  <c r="J414" i="32"/>
  <c r="I415" i="32"/>
  <c r="J415" i="32"/>
  <c r="I416" i="32"/>
  <c r="J416" i="32"/>
  <c r="I417" i="32"/>
  <c r="J417" i="32"/>
  <c r="I418" i="32"/>
  <c r="J418" i="32"/>
  <c r="I419" i="32"/>
  <c r="J419" i="32"/>
  <c r="I420" i="32"/>
  <c r="J420" i="32"/>
  <c r="I421" i="32"/>
  <c r="J421" i="32"/>
  <c r="I422" i="32"/>
  <c r="J422" i="32"/>
  <c r="I423" i="32"/>
  <c r="J423" i="32"/>
  <c r="I424" i="32"/>
  <c r="J424" i="32"/>
  <c r="I425" i="32"/>
  <c r="J425" i="32"/>
  <c r="I426" i="32"/>
  <c r="J426" i="32"/>
  <c r="I427" i="32"/>
  <c r="J427" i="32"/>
  <c r="C53" i="47" l="1"/>
  <c r="D17" i="32" a="1"/>
  <c r="D17" i="32" s="1"/>
  <c r="D13" i="32" a="1"/>
  <c r="D13" i="32" s="1"/>
  <c r="D10" i="32" a="1"/>
  <c r="D10" i="32" s="1"/>
  <c r="D14" i="32" a="1"/>
  <c r="D14" i="32" s="1"/>
  <c r="D16" i="32" a="1"/>
  <c r="D16" i="32" s="1"/>
  <c r="D12" i="32" a="1"/>
  <c r="D12" i="32" s="1"/>
  <c r="D15" i="32" a="1"/>
  <c r="D15" i="32" s="1"/>
  <c r="D11" i="32" a="1"/>
  <c r="D11" i="32" s="1"/>
  <c r="F10" i="32" a="1"/>
  <c r="F10" i="32" s="1"/>
  <c r="G218" i="32"/>
  <c r="G680" i="42"/>
  <c r="Q11" i="42"/>
  <c r="P12" i="42"/>
  <c r="P13" i="42"/>
  <c r="P14" i="42"/>
  <c r="P15" i="42"/>
  <c r="P16" i="42"/>
  <c r="P17" i="42"/>
  <c r="P18" i="42"/>
  <c r="P19" i="42"/>
  <c r="P20" i="42"/>
  <c r="P21" i="42"/>
  <c r="P22" i="42"/>
  <c r="P11" i="42"/>
  <c r="F3136" i="41" l="1"/>
  <c r="F4334" i="41" s="1"/>
  <c r="F3044" i="41"/>
  <c r="F3017" i="41"/>
  <c r="F2987" i="41"/>
  <c r="J2987" i="41" l="1"/>
  <c r="Q12" i="42" l="1"/>
  <c r="Q13" i="42" l="1"/>
  <c r="Q14" i="42" l="1"/>
  <c r="Q15" i="42" l="1"/>
  <c r="Q16" i="42" l="1"/>
  <c r="C23" i="1"/>
  <c r="Q17" i="42" l="1"/>
  <c r="Q18" i="42" l="1"/>
  <c r="Q19" i="42" l="1"/>
  <c r="Q20" i="42" l="1"/>
  <c r="Q21" i="42" l="1"/>
  <c r="Q22" i="42" l="1"/>
  <c r="G22" i="1" l="1"/>
  <c r="G220" i="17"/>
  <c r="G197" i="17"/>
  <c r="G207" i="17"/>
  <c r="K181" i="17"/>
  <c r="K29" i="17" l="1"/>
  <c r="K14" i="17"/>
  <c r="Q863" i="16" l="1"/>
  <c r="Q864" i="16"/>
  <c r="Q865" i="16"/>
  <c r="Q866" i="16"/>
  <c r="Q867" i="16"/>
  <c r="Q868" i="16"/>
  <c r="Q869" i="16"/>
  <c r="Q870" i="16"/>
  <c r="Q871" i="16"/>
  <c r="Q872" i="16"/>
  <c r="Q873" i="16"/>
  <c r="Q874" i="16"/>
  <c r="Q875" i="16"/>
  <c r="Q876" i="16"/>
  <c r="Q877" i="16"/>
  <c r="Q878" i="16"/>
  <c r="Q879" i="16"/>
  <c r="Q880" i="16"/>
  <c r="Q881" i="16"/>
  <c r="Q1042" i="16" l="1"/>
  <c r="Q1043" i="16"/>
  <c r="Q1044" i="16"/>
  <c r="Q1045" i="16"/>
  <c r="Q1046" i="16"/>
  <c r="Q1047" i="16"/>
  <c r="Q1048" i="16"/>
  <c r="Q1049" i="16"/>
  <c r="Q1050" i="16"/>
  <c r="Q1051" i="16"/>
  <c r="Q1052" i="16"/>
  <c r="Q1053" i="16"/>
  <c r="Q1054" i="16"/>
  <c r="Q1055" i="16"/>
  <c r="Q1056" i="16"/>
  <c r="Q1057" i="16"/>
  <c r="Q1058" i="16"/>
  <c r="Q1059" i="16"/>
  <c r="G20" i="1" l="1"/>
  <c r="H181" i="17" l="1"/>
  <c r="J181" i="17" s="1"/>
  <c r="Q849" i="16" l="1"/>
  <c r="Q850" i="16"/>
  <c r="Q851" i="16"/>
  <c r="Q852" i="16"/>
  <c r="Q853" i="16"/>
  <c r="Q854" i="16"/>
  <c r="Q855" i="16"/>
  <c r="Q856" i="16"/>
  <c r="Q857" i="16"/>
  <c r="Q858" i="16"/>
  <c r="Q859" i="16"/>
  <c r="Q860" i="16"/>
  <c r="Q861" i="16"/>
  <c r="Q862" i="16"/>
  <c r="Q676" i="16" l="1"/>
  <c r="D19" i="44" l="1"/>
  <c r="D18" i="44"/>
  <c r="D17" i="44"/>
  <c r="D16" i="44"/>
  <c r="B16" i="44"/>
  <c r="E16" i="44" s="1"/>
  <c r="D15" i="44"/>
  <c r="D14" i="44"/>
  <c r="D13" i="44"/>
  <c r="D12" i="44"/>
  <c r="D11" i="44"/>
  <c r="D10" i="44"/>
  <c r="D9" i="44"/>
  <c r="J50" i="2"/>
  <c r="J49" i="2"/>
  <c r="Q579" i="16" l="1"/>
  <c r="Q578" i="16"/>
  <c r="Q577" i="16"/>
  <c r="Q576" i="16"/>
  <c r="Q575" i="16"/>
  <c r="Q574" i="16"/>
  <c r="Q573" i="16"/>
  <c r="Q572" i="16"/>
  <c r="Q571" i="16"/>
  <c r="Q570" i="16"/>
  <c r="Q569" i="16"/>
  <c r="Q568" i="16"/>
  <c r="Q567" i="16"/>
  <c r="Q566" i="16"/>
  <c r="Q565" i="16"/>
  <c r="Q564" i="16"/>
  <c r="Q563" i="16"/>
  <c r="Q562" i="16"/>
  <c r="Q561" i="16"/>
  <c r="Q560" i="16"/>
  <c r="Q559" i="16"/>
  <c r="Q558" i="16"/>
  <c r="Q557" i="16"/>
  <c r="Q556" i="16"/>
  <c r="Q555" i="16"/>
  <c r="Q554" i="16"/>
  <c r="Q553" i="16"/>
  <c r="Q552" i="16"/>
  <c r="Q551" i="16"/>
  <c r="Q550" i="16"/>
  <c r="Q549" i="16"/>
  <c r="Q548" i="16"/>
  <c r="Q547" i="16"/>
  <c r="Q546" i="16"/>
  <c r="Q545" i="16"/>
  <c r="Q544" i="16"/>
  <c r="Q543" i="16"/>
  <c r="Q542" i="16"/>
  <c r="Q541" i="16"/>
  <c r="Q540" i="16"/>
  <c r="Q539" i="16"/>
  <c r="Q538" i="16"/>
  <c r="Q537" i="16"/>
  <c r="Q536" i="16"/>
  <c r="Q535" i="16"/>
  <c r="Q534" i="16"/>
  <c r="Q533" i="16"/>
  <c r="Q532" i="16"/>
  <c r="Q531" i="16"/>
  <c r="Q530" i="16"/>
  <c r="Q529" i="16"/>
  <c r="Q528" i="16"/>
  <c r="Q527" i="16"/>
  <c r="Q526" i="16"/>
  <c r="Q525" i="16"/>
  <c r="Q524" i="16"/>
  <c r="Q523" i="16"/>
  <c r="Q522" i="16"/>
  <c r="Q521" i="16"/>
  <c r="Q520" i="16"/>
  <c r="Q519" i="16"/>
  <c r="Q518" i="16"/>
  <c r="Q517" i="16"/>
  <c r="Q516" i="16"/>
  <c r="Q515" i="16"/>
  <c r="Q514" i="16"/>
  <c r="Q513" i="16"/>
  <c r="Q512" i="16"/>
  <c r="Q511" i="16"/>
  <c r="Q510" i="16"/>
  <c r="Q509" i="16"/>
  <c r="Q508" i="16"/>
  <c r="Q507" i="16"/>
  <c r="Q506" i="16"/>
  <c r="Q505" i="16"/>
  <c r="Q504" i="16"/>
  <c r="Q503" i="16"/>
  <c r="Q502" i="16"/>
  <c r="Q501" i="16"/>
  <c r="Q500" i="16"/>
  <c r="Q499" i="16"/>
  <c r="Q498" i="16"/>
  <c r="Q497" i="16"/>
  <c r="Q496" i="16"/>
  <c r="Q495" i="16"/>
  <c r="Q494" i="16"/>
  <c r="Q493" i="16"/>
  <c r="Q492" i="16"/>
  <c r="Q491" i="16"/>
  <c r="Q490" i="16"/>
  <c r="Q489" i="16"/>
  <c r="Q488" i="16"/>
  <c r="Q487" i="16"/>
  <c r="Q486" i="16"/>
  <c r="Q485" i="16"/>
  <c r="Q484" i="16"/>
  <c r="Q483" i="16"/>
  <c r="Q482" i="16"/>
  <c r="Q481" i="16"/>
  <c r="Q480" i="16"/>
  <c r="Q479" i="16"/>
  <c r="Q478" i="16"/>
  <c r="Q477" i="16"/>
  <c r="Q476" i="16"/>
  <c r="Q475" i="16"/>
  <c r="Q474" i="16"/>
  <c r="Q473" i="16"/>
  <c r="Q472" i="16"/>
  <c r="J665" i="16" l="1"/>
  <c r="A27" i="13"/>
  <c r="A29" i="14"/>
  <c r="A27" i="11"/>
  <c r="E27" i="12"/>
  <c r="G27" i="12"/>
  <c r="I27" i="12"/>
  <c r="K27" i="12"/>
  <c r="Q27" i="12"/>
  <c r="S27" i="12"/>
  <c r="Z4" i="15"/>
  <c r="Z3" i="15"/>
  <c r="I549" i="32" l="1"/>
  <c r="J549" i="32"/>
  <c r="J164" i="17" l="1"/>
  <c r="U7" i="12"/>
  <c r="U6" i="12"/>
  <c r="J203" i="32" l="1"/>
  <c r="I203" i="32"/>
  <c r="J202" i="32"/>
  <c r="I202" i="32"/>
  <c r="J201" i="32"/>
  <c r="I201" i="32"/>
  <c r="G223" i="32"/>
  <c r="G571" i="32" s="1"/>
  <c r="G544" i="26" s="1"/>
  <c r="G546" i="26" s="1"/>
  <c r="J231" i="32"/>
  <c r="I231" i="32"/>
  <c r="J134" i="32"/>
  <c r="J133" i="32"/>
  <c r="J132" i="32"/>
  <c r="J131" i="32"/>
  <c r="J130" i="32"/>
  <c r="J129" i="32"/>
  <c r="J128" i="32"/>
  <c r="J127" i="32"/>
  <c r="J126" i="32"/>
  <c r="J125" i="32"/>
  <c r="J124" i="32"/>
  <c r="J123" i="32"/>
  <c r="J122" i="32"/>
  <c r="J121" i="32"/>
  <c r="J120" i="32"/>
  <c r="J119" i="32"/>
  <c r="J118" i="32"/>
  <c r="J117" i="32"/>
  <c r="J116" i="32"/>
  <c r="J115" i="32"/>
  <c r="J114" i="32"/>
  <c r="J113" i="32"/>
  <c r="J112" i="32"/>
  <c r="J111" i="32"/>
  <c r="J110" i="32"/>
  <c r="J109" i="32"/>
  <c r="J108" i="32"/>
  <c r="J107" i="32"/>
  <c r="J106" i="32"/>
  <c r="J105" i="32"/>
  <c r="J104" i="32"/>
  <c r="J103" i="32"/>
  <c r="J102" i="32"/>
  <c r="J101" i="32"/>
  <c r="J100" i="32"/>
  <c r="J99" i="32"/>
  <c r="J98" i="32"/>
  <c r="J97" i="32"/>
  <c r="J96" i="32"/>
  <c r="J95" i="32"/>
  <c r="J94" i="32"/>
  <c r="J93" i="32"/>
  <c r="J92" i="32"/>
  <c r="J91" i="32"/>
  <c r="J90" i="32"/>
  <c r="J89" i="32"/>
  <c r="J88" i="32"/>
  <c r="J87" i="32"/>
  <c r="J86" i="32"/>
  <c r="J85" i="32"/>
  <c r="J84" i="32"/>
  <c r="J83" i="32"/>
  <c r="J82" i="32"/>
  <c r="J81" i="32"/>
  <c r="J80" i="32"/>
  <c r="J79" i="32"/>
  <c r="J78" i="32"/>
  <c r="J77" i="32"/>
  <c r="J76" i="32"/>
  <c r="J75" i="32"/>
  <c r="J74" i="32"/>
  <c r="J73" i="32"/>
  <c r="J72" i="32"/>
  <c r="J71" i="32"/>
  <c r="J70" i="32"/>
  <c r="J69" i="32"/>
  <c r="J68" i="32"/>
  <c r="J67" i="32"/>
  <c r="J66" i="32"/>
  <c r="J65" i="32"/>
  <c r="J64" i="32"/>
  <c r="J63" i="32"/>
  <c r="J62" i="32"/>
  <c r="J61" i="32"/>
  <c r="J60" i="32"/>
  <c r="J59" i="32"/>
  <c r="J58" i="32"/>
  <c r="J57" i="32"/>
  <c r="J56" i="32"/>
  <c r="J55" i="32"/>
  <c r="J54" i="32"/>
  <c r="J53" i="32"/>
  <c r="J52" i="32"/>
  <c r="J51" i="32"/>
  <c r="J50" i="32"/>
  <c r="J49" i="32"/>
  <c r="J48" i="32"/>
  <c r="J47" i="32"/>
  <c r="J46" i="32"/>
  <c r="J45" i="32"/>
  <c r="J44" i="32"/>
  <c r="J43" i="32"/>
  <c r="J42" i="32"/>
  <c r="J41" i="32"/>
  <c r="J40" i="32"/>
  <c r="J39" i="32"/>
  <c r="J38" i="32"/>
  <c r="J37" i="32"/>
  <c r="J36" i="32"/>
  <c r="J35" i="32"/>
  <c r="J34" i="32"/>
  <c r="J33" i="32"/>
  <c r="J32" i="32"/>
  <c r="J31" i="32"/>
  <c r="J30" i="32"/>
  <c r="J29" i="32"/>
  <c r="J28" i="32"/>
  <c r="J27" i="32"/>
  <c r="J26" i="32"/>
  <c r="D7" i="4"/>
  <c r="G776" i="42"/>
  <c r="S774" i="42"/>
  <c r="S753" i="42"/>
  <c r="S752" i="42"/>
  <c r="S751" i="42"/>
  <c r="S750" i="42"/>
  <c r="S749" i="42"/>
  <c r="S748" i="42"/>
  <c r="S747" i="42"/>
  <c r="S746" i="42"/>
  <c r="S745" i="42"/>
  <c r="S733" i="42"/>
  <c r="G727" i="42"/>
  <c r="S725" i="42"/>
  <c r="S724" i="42"/>
  <c r="S707" i="42"/>
  <c r="G701" i="42"/>
  <c r="S699" i="42"/>
  <c r="K701" i="42"/>
  <c r="S690" i="42"/>
  <c r="C34" i="36"/>
  <c r="S678" i="42"/>
  <c r="K680" i="42"/>
  <c r="S677" i="42"/>
  <c r="S672" i="42"/>
  <c r="G665" i="42"/>
  <c r="S663" i="42"/>
  <c r="S643" i="42"/>
  <c r="S642" i="42"/>
  <c r="S621" i="42"/>
  <c r="S619" i="42"/>
  <c r="K665" i="42"/>
  <c r="G609" i="42"/>
  <c r="S607" i="42"/>
  <c r="S606" i="42"/>
  <c r="G600" i="42"/>
  <c r="S598" i="42"/>
  <c r="S378" i="42"/>
  <c r="G372" i="42"/>
  <c r="S368" i="42"/>
  <c r="S339" i="42"/>
  <c r="S338" i="42"/>
  <c r="S337" i="42"/>
  <c r="S336" i="42"/>
  <c r="S335" i="42"/>
  <c r="S334" i="42"/>
  <c r="S333" i="42"/>
  <c r="S332" i="42"/>
  <c r="S331" i="42"/>
  <c r="S330" i="42"/>
  <c r="S329" i="42"/>
  <c r="S328" i="42"/>
  <c r="S327" i="42"/>
  <c r="S326" i="42"/>
  <c r="S325" i="42"/>
  <c r="S324" i="42"/>
  <c r="S323" i="42"/>
  <c r="S322" i="42"/>
  <c r="S321" i="42"/>
  <c r="S320" i="42"/>
  <c r="S319" i="42"/>
  <c r="S318" i="42"/>
  <c r="S317" i="42"/>
  <c r="S316" i="42"/>
  <c r="S315" i="42"/>
  <c r="S314" i="42"/>
  <c r="S313" i="42"/>
  <c r="S312" i="42"/>
  <c r="S311" i="42"/>
  <c r="S310" i="42"/>
  <c r="S309" i="42"/>
  <c r="S308" i="42"/>
  <c r="S307" i="42"/>
  <c r="S306" i="42"/>
  <c r="S208" i="42"/>
  <c r="G197" i="42"/>
  <c r="S195" i="42"/>
  <c r="S166" i="42"/>
  <c r="S165" i="42"/>
  <c r="S147" i="42"/>
  <c r="G141" i="42"/>
  <c r="S139" i="42"/>
  <c r="S138" i="42"/>
  <c r="S89" i="42"/>
  <c r="S88" i="42"/>
  <c r="S87" i="42"/>
  <c r="S86" i="42"/>
  <c r="S72" i="42"/>
  <c r="G66" i="42"/>
  <c r="S64" i="42"/>
  <c r="S22" i="42"/>
  <c r="S7" i="42"/>
  <c r="J4835" i="41"/>
  <c r="J4837" i="41" s="1"/>
  <c r="I4835" i="41"/>
  <c r="I4837" i="41" s="1"/>
  <c r="F4835" i="41"/>
  <c r="F4837" i="41" s="1"/>
  <c r="F4824" i="41"/>
  <c r="Q4822" i="41"/>
  <c r="Q4821" i="41"/>
  <c r="Q4820" i="41"/>
  <c r="Q4819" i="41"/>
  <c r="C29" i="36"/>
  <c r="Q4342" i="41"/>
  <c r="Q4328" i="41"/>
  <c r="Q3960" i="41"/>
  <c r="Q3959" i="41"/>
  <c r="Q3958" i="41"/>
  <c r="Q3957" i="41"/>
  <c r="Q3956" i="41"/>
  <c r="Q3955" i="41"/>
  <c r="Q3954" i="41"/>
  <c r="Q3953" i="41"/>
  <c r="Q3952" i="41"/>
  <c r="Q3951" i="41"/>
  <c r="Q3950" i="41"/>
  <c r="Q3949" i="41"/>
  <c r="Q3948" i="41"/>
  <c r="Q3947" i="41"/>
  <c r="Q3946" i="41"/>
  <c r="Q3945" i="41"/>
  <c r="Q3944" i="41"/>
  <c r="Q3943" i="41"/>
  <c r="Q3942" i="41"/>
  <c r="Q3941" i="41"/>
  <c r="Q3940" i="41"/>
  <c r="Q3939" i="41"/>
  <c r="Q3938" i="41"/>
  <c r="Q3937" i="41"/>
  <c r="Q3936" i="41"/>
  <c r="Q3935" i="41"/>
  <c r="Q3934" i="41"/>
  <c r="Q3933" i="41"/>
  <c r="Q3932" i="41"/>
  <c r="Q3931" i="41"/>
  <c r="Q3930" i="41"/>
  <c r="Q3929" i="41"/>
  <c r="Q3928" i="41"/>
  <c r="Q3927" i="41"/>
  <c r="Q3926" i="41"/>
  <c r="Q3925" i="41"/>
  <c r="Q3924" i="41"/>
  <c r="Q3923" i="41"/>
  <c r="Q3922" i="41"/>
  <c r="Q3921" i="41"/>
  <c r="Q3920" i="41"/>
  <c r="Q3919" i="41"/>
  <c r="Q3918" i="41"/>
  <c r="Q3917" i="41"/>
  <c r="Q3916" i="41"/>
  <c r="Q3915" i="41"/>
  <c r="Q3914" i="41"/>
  <c r="Q3913" i="41"/>
  <c r="Q3912" i="41"/>
  <c r="Q3911" i="41"/>
  <c r="Q3910" i="41"/>
  <c r="Q3909" i="41"/>
  <c r="Q3908" i="41"/>
  <c r="Q3907" i="41"/>
  <c r="Q3906" i="41"/>
  <c r="Q3905" i="41"/>
  <c r="Q3904" i="41"/>
  <c r="Q3903" i="41"/>
  <c r="Q3902" i="41"/>
  <c r="Q3901" i="41"/>
  <c r="Q3900" i="41"/>
  <c r="Q3899" i="41"/>
  <c r="Q3142" i="41"/>
  <c r="Q3134" i="41"/>
  <c r="Q3057" i="41"/>
  <c r="C9" i="36"/>
  <c r="Q3042" i="41"/>
  <c r="Q3024" i="41"/>
  <c r="J3023" i="41"/>
  <c r="I3023" i="41"/>
  <c r="Q3015" i="41"/>
  <c r="Q2993" i="41"/>
  <c r="Q2985" i="41"/>
  <c r="Q2984" i="41"/>
  <c r="Q2983" i="41"/>
  <c r="Q2982" i="41"/>
  <c r="Q2981" i="41"/>
  <c r="Q2213" i="41"/>
  <c r="Q2205" i="41"/>
  <c r="C10" i="36" l="1"/>
  <c r="C11" i="36" s="1"/>
  <c r="C17" i="36"/>
  <c r="C15" i="36"/>
  <c r="K197" i="42"/>
  <c r="K600" i="42"/>
  <c r="K372" i="42"/>
  <c r="K609" i="42"/>
  <c r="K727" i="42"/>
  <c r="G778" i="42"/>
  <c r="C16" i="36"/>
  <c r="I3017" i="41"/>
  <c r="J3044" i="41"/>
  <c r="J3136" i="41"/>
  <c r="J4334" i="41" s="1"/>
  <c r="C28" i="36"/>
  <c r="K141" i="42"/>
  <c r="K682" i="42"/>
  <c r="G682" i="42"/>
  <c r="K776" i="42"/>
  <c r="C33" i="36"/>
  <c r="G200" i="42"/>
  <c r="K66" i="42"/>
  <c r="I4824" i="41"/>
  <c r="I2987" i="41"/>
  <c r="J3017" i="41"/>
  <c r="J4824" i="41"/>
  <c r="G611" i="42"/>
  <c r="F3049" i="41"/>
  <c r="I3044" i="41"/>
  <c r="I3136" i="41"/>
  <c r="I4334" i="41" s="1"/>
  <c r="C6" i="36"/>
  <c r="F4839" i="41" l="1"/>
  <c r="K611" i="42"/>
  <c r="K778" i="42"/>
  <c r="K200" i="42"/>
  <c r="J665" i="42"/>
  <c r="G780" i="42"/>
  <c r="C14" i="36"/>
  <c r="C18" i="36" s="1"/>
  <c r="J3049" i="41"/>
  <c r="I3049" i="41"/>
  <c r="J197" i="42"/>
  <c r="C20" i="36" l="1"/>
  <c r="J4839" i="41"/>
  <c r="I4839" i="41"/>
  <c r="K780" i="42"/>
  <c r="J776" i="42" l="1"/>
  <c r="J66" i="42"/>
  <c r="J727" i="42"/>
  <c r="J701" i="42"/>
  <c r="J609" i="42"/>
  <c r="J680" i="42"/>
  <c r="J682" i="42" s="1"/>
  <c r="J600" i="42"/>
  <c r="J372" i="42"/>
  <c r="J141" i="42"/>
  <c r="J778" i="42" l="1"/>
  <c r="J611" i="42"/>
  <c r="J200" i="42"/>
  <c r="G23" i="1"/>
  <c r="J780" i="42" l="1"/>
  <c r="Q1000" i="16" l="1"/>
  <c r="Q999" i="16"/>
  <c r="Q998" i="16"/>
  <c r="Q997" i="16"/>
  <c r="Q848" i="16" l="1"/>
  <c r="Q847" i="16"/>
  <c r="Q846" i="16"/>
  <c r="Q845" i="16"/>
  <c r="Q844" i="16"/>
  <c r="Q843" i="16"/>
  <c r="Q842" i="16"/>
  <c r="Q841" i="16"/>
  <c r="Q840" i="16"/>
  <c r="Q839" i="16"/>
  <c r="Q838" i="16"/>
  <c r="Q837" i="16"/>
  <c r="Q836" i="16"/>
  <c r="Q835" i="16"/>
  <c r="Q834" i="16"/>
  <c r="Q833" i="16"/>
  <c r="Q832" i="16"/>
  <c r="Q831" i="16"/>
  <c r="Q830" i="16"/>
  <c r="Q829" i="16"/>
  <c r="Q828" i="16"/>
  <c r="Q827" i="16"/>
  <c r="Q826" i="16"/>
  <c r="Q825" i="16"/>
  <c r="Q824" i="16"/>
  <c r="Q823" i="16"/>
  <c r="Q822" i="16"/>
  <c r="Q821" i="16"/>
  <c r="Q820" i="16"/>
  <c r="Q819" i="16"/>
  <c r="Q818" i="16"/>
  <c r="Q817" i="16"/>
  <c r="Q816" i="16"/>
  <c r="Q815" i="16"/>
  <c r="Q814" i="16"/>
  <c r="Q813" i="16"/>
  <c r="Q812" i="16"/>
  <c r="Q811" i="16"/>
  <c r="Q810" i="16"/>
  <c r="Q809" i="16"/>
  <c r="Q808" i="16"/>
  <c r="Q807" i="16"/>
  <c r="Q806" i="16"/>
  <c r="Q805" i="16"/>
  <c r="Q804" i="16"/>
  <c r="Q803" i="16"/>
  <c r="Q802" i="16"/>
  <c r="Q801" i="16"/>
  <c r="Q800" i="16"/>
  <c r="Q799" i="16"/>
  <c r="Q798" i="16"/>
  <c r="Q797" i="16"/>
  <c r="Q796" i="16"/>
  <c r="Q795" i="16"/>
  <c r="Q794" i="16"/>
  <c r="Q793" i="16"/>
  <c r="Q792" i="16"/>
  <c r="Q791" i="16"/>
  <c r="Q790" i="16"/>
  <c r="Q789" i="16"/>
  <c r="Q788" i="16"/>
  <c r="Q787" i="16"/>
  <c r="Q786" i="16"/>
  <c r="Q785" i="16"/>
  <c r="Q784" i="16"/>
  <c r="Q783" i="16"/>
  <c r="Q782" i="16"/>
  <c r="Q781" i="16"/>
  <c r="Q780" i="16"/>
  <c r="Q779" i="16"/>
  <c r="Q778" i="16"/>
  <c r="Q777" i="16"/>
  <c r="Q776" i="16"/>
  <c r="Q775" i="16"/>
  <c r="Q774" i="16"/>
  <c r="Q773" i="16"/>
  <c r="Q772" i="16"/>
  <c r="Q771" i="16"/>
  <c r="Q770" i="16"/>
  <c r="Q769" i="16"/>
  <c r="Q768" i="16"/>
  <c r="Q767" i="16"/>
  <c r="Q766" i="16"/>
  <c r="Q765" i="16"/>
  <c r="Q764" i="16"/>
  <c r="Q763" i="16"/>
  <c r="Q762" i="16"/>
  <c r="Q761" i="16"/>
  <c r="Q760" i="16"/>
  <c r="Q759" i="16"/>
  <c r="Q758" i="16"/>
  <c r="Q757" i="16"/>
  <c r="Q756" i="16"/>
  <c r="Q755" i="16"/>
  <c r="Q754" i="16"/>
  <c r="Q753" i="16"/>
  <c r="Q752" i="16"/>
  <c r="Q751" i="16"/>
  <c r="Q750" i="16"/>
  <c r="Q749" i="16"/>
  <c r="Q748" i="16"/>
  <c r="Q747" i="16"/>
  <c r="Q746" i="16"/>
  <c r="Q745" i="16"/>
  <c r="Q744" i="16"/>
  <c r="Q743" i="16"/>
  <c r="Q742" i="16"/>
  <c r="Q741" i="16"/>
  <c r="Q740" i="16"/>
  <c r="Q739" i="16"/>
  <c r="Q738" i="16"/>
  <c r="Q737" i="16"/>
  <c r="Q736" i="16"/>
  <c r="Q735" i="16"/>
  <c r="Q734" i="16"/>
  <c r="Q733" i="16"/>
  <c r="Q732" i="16"/>
  <c r="Q731" i="16"/>
  <c r="Q730" i="16"/>
  <c r="Q729" i="16"/>
  <c r="Q728" i="16"/>
  <c r="Q727" i="16"/>
  <c r="Q726" i="16"/>
  <c r="Q725" i="16"/>
  <c r="Q724" i="16"/>
  <c r="Q723" i="16"/>
  <c r="Q1041" i="16" l="1"/>
  <c r="Q1040" i="16"/>
  <c r="Q1039" i="16"/>
  <c r="Q1038" i="16"/>
  <c r="Q1037" i="16"/>
  <c r="Q1036" i="16"/>
  <c r="Q1035" i="16"/>
  <c r="Q1034" i="16"/>
  <c r="Q1033" i="16"/>
  <c r="Q1032" i="16"/>
  <c r="Q1031" i="16"/>
  <c r="Q1030" i="16"/>
  <c r="Q1029" i="16"/>
  <c r="Q1028" i="16"/>
  <c r="Q1027" i="16"/>
  <c r="Q1026" i="16"/>
  <c r="Q1025" i="16"/>
  <c r="Q1024" i="16"/>
  <c r="Q1023" i="16"/>
  <c r="Q1022" i="16"/>
  <c r="Q1021" i="16"/>
  <c r="Q1020" i="16"/>
  <c r="Q1019" i="16"/>
  <c r="Q1018" i="16"/>
  <c r="Q660" i="16"/>
  <c r="Q645" i="16"/>
  <c r="Q471" i="16"/>
  <c r="Q470" i="16"/>
  <c r="Q305" i="16"/>
  <c r="Q304" i="16"/>
  <c r="Q303" i="16"/>
  <c r="Q302" i="16"/>
  <c r="Q301" i="16"/>
  <c r="Q300" i="16"/>
  <c r="Q299" i="16"/>
  <c r="Q298" i="16"/>
  <c r="Q297" i="16"/>
  <c r="Q296" i="16"/>
  <c r="Q295" i="16"/>
  <c r="Q294" i="16"/>
  <c r="Q293" i="16"/>
  <c r="Q292" i="16"/>
  <c r="Q291" i="16"/>
  <c r="Q290" i="16"/>
  <c r="Q289" i="16"/>
  <c r="Q288" i="16"/>
  <c r="Q287" i="16"/>
  <c r="Q286" i="16"/>
  <c r="Q285" i="16"/>
  <c r="Q284" i="16"/>
  <c r="Q283" i="16"/>
  <c r="Q282" i="16"/>
  <c r="Q281" i="16"/>
  <c r="Q280" i="16"/>
  <c r="Q279" i="16"/>
  <c r="Q278" i="16"/>
  <c r="Q277" i="16"/>
  <c r="Q276" i="16"/>
  <c r="Q275" i="16"/>
  <c r="Q274" i="16"/>
  <c r="Q273" i="16"/>
  <c r="Q272" i="16"/>
  <c r="Q271" i="16"/>
  <c r="Q270" i="16"/>
  <c r="Q269" i="16"/>
  <c r="Q268" i="16"/>
  <c r="Q267" i="16"/>
  <c r="Q266" i="16"/>
  <c r="Q265" i="16"/>
  <c r="Q264" i="16"/>
  <c r="Q263" i="16"/>
  <c r="Q262" i="16"/>
  <c r="Q261" i="16"/>
  <c r="Q260" i="16"/>
  <c r="Q259" i="16"/>
  <c r="Q258" i="16"/>
  <c r="Q257" i="16"/>
  <c r="Q256" i="16"/>
  <c r="Q255" i="16"/>
  <c r="Q254" i="16"/>
  <c r="Q253" i="16"/>
  <c r="Q252" i="16"/>
  <c r="Q251" i="16"/>
  <c r="Q250" i="16"/>
  <c r="Q249" i="16"/>
  <c r="Q248" i="16"/>
  <c r="Q247" i="16"/>
  <c r="Q246" i="16"/>
  <c r="Q245" i="16"/>
  <c r="Q244" i="16"/>
  <c r="Q243" i="16"/>
  <c r="Q242" i="16"/>
  <c r="Q241" i="16"/>
  <c r="Q240" i="16"/>
  <c r="Q239" i="16"/>
  <c r="Q238" i="16"/>
  <c r="Q237" i="16"/>
  <c r="Q236" i="16"/>
  <c r="Q235" i="16"/>
  <c r="Q234" i="16"/>
  <c r="Q233" i="16"/>
  <c r="Q232" i="16"/>
  <c r="Q231" i="16"/>
  <c r="Q230" i="16"/>
  <c r="Q229" i="16"/>
  <c r="Q228" i="16"/>
  <c r="Q227" i="16"/>
  <c r="Q226" i="16"/>
  <c r="Q225" i="16"/>
  <c r="Q224" i="16"/>
  <c r="Q223" i="16"/>
  <c r="Q222" i="16"/>
  <c r="Q221" i="16"/>
  <c r="Q220" i="16"/>
  <c r="Q219" i="16"/>
  <c r="Q218" i="16"/>
  <c r="Q217" i="16"/>
  <c r="Q216" i="16"/>
  <c r="Q215" i="16"/>
  <c r="Q214" i="16"/>
  <c r="Q213" i="16"/>
  <c r="Q212" i="16"/>
  <c r="Q211" i="16"/>
  <c r="Q210" i="16"/>
  <c r="Q209" i="16"/>
  <c r="Q208" i="16"/>
  <c r="Q207" i="16"/>
  <c r="Q206" i="16"/>
  <c r="Q205" i="16"/>
  <c r="Q204" i="16"/>
  <c r="Q203" i="16"/>
  <c r="Q202" i="16"/>
  <c r="Q201" i="16"/>
  <c r="Q200" i="16"/>
  <c r="Q199" i="16"/>
  <c r="Q198" i="16"/>
  <c r="Q197" i="16"/>
  <c r="Q196" i="16"/>
  <c r="Q195" i="16"/>
  <c r="Q194" i="16"/>
  <c r="Q193" i="16"/>
  <c r="Q192" i="16"/>
  <c r="Q191" i="16"/>
  <c r="Q190" i="16"/>
  <c r="Q189" i="16"/>
  <c r="Q131" i="16"/>
  <c r="Q130" i="16"/>
  <c r="Q129" i="16"/>
  <c r="Q128" i="16"/>
  <c r="Q127" i="16"/>
  <c r="Q126" i="16"/>
  <c r="Q125" i="16"/>
  <c r="Q124" i="16"/>
  <c r="Q123" i="16"/>
  <c r="Q122" i="16"/>
  <c r="Q121" i="16"/>
  <c r="Q120" i="16"/>
  <c r="Q119" i="16"/>
  <c r="Q118" i="16"/>
  <c r="Q117" i="16"/>
  <c r="Q116" i="16"/>
  <c r="Q115" i="16"/>
  <c r="Q114" i="16"/>
  <c r="Q113" i="16"/>
  <c r="Q112" i="16"/>
  <c r="Q111" i="16"/>
  <c r="Q110" i="16"/>
  <c r="Q109" i="16"/>
  <c r="Q108" i="16"/>
  <c r="Q107" i="16"/>
  <c r="Q106" i="16"/>
  <c r="Q105" i="16"/>
  <c r="Q104" i="16"/>
  <c r="Q103" i="16"/>
  <c r="Q102" i="16"/>
  <c r="Q101" i="16"/>
  <c r="Q100" i="16"/>
  <c r="Q99" i="16"/>
  <c r="Q98" i="16"/>
  <c r="Q97" i="16"/>
  <c r="Q96" i="16"/>
  <c r="Q95" i="16"/>
  <c r="Q94" i="16"/>
  <c r="Q93" i="16"/>
  <c r="Q92" i="16"/>
  <c r="Q91" i="16"/>
  <c r="Q90" i="16"/>
  <c r="Q89" i="16"/>
  <c r="Q88" i="16"/>
  <c r="Q87" i="16"/>
  <c r="Q86" i="16"/>
  <c r="Q85" i="16"/>
  <c r="Q84" i="16"/>
  <c r="Q83" i="16"/>
  <c r="Q82" i="16"/>
  <c r="Q81" i="16"/>
  <c r="Q80" i="16"/>
  <c r="Q79" i="16"/>
  <c r="Q78" i="16"/>
  <c r="Q77" i="16"/>
  <c r="Q76" i="16"/>
  <c r="Q75" i="16"/>
  <c r="Q74" i="16"/>
  <c r="Q73" i="16"/>
  <c r="Q72" i="16"/>
  <c r="Q71" i="16"/>
  <c r="Q70" i="16"/>
  <c r="Q69" i="16"/>
  <c r="Q68" i="16"/>
  <c r="Q67" i="16"/>
  <c r="Q66" i="16"/>
  <c r="Q65" i="16"/>
  <c r="Q64" i="16"/>
  <c r="Q63" i="16"/>
  <c r="Q62" i="16"/>
  <c r="Q61" i="16"/>
  <c r="Q60" i="16"/>
  <c r="Q59" i="16"/>
  <c r="Q58" i="16"/>
  <c r="Q57" i="16"/>
  <c r="Q56" i="16"/>
  <c r="Q55" i="16"/>
  <c r="Q54" i="16"/>
  <c r="Q53" i="16"/>
  <c r="Q52" i="16"/>
  <c r="Q51" i="16"/>
  <c r="Q50" i="16"/>
  <c r="Q49" i="16"/>
  <c r="Q48" i="16"/>
  <c r="Q47" i="16"/>
  <c r="Q46" i="16"/>
  <c r="Q45" i="16"/>
  <c r="Q44" i="16"/>
  <c r="Q43" i="16"/>
  <c r="Q42" i="16"/>
  <c r="Q41" i="16"/>
  <c r="Q40" i="16"/>
  <c r="Q39" i="16"/>
  <c r="Q38" i="16"/>
  <c r="Q37" i="16"/>
  <c r="Q36" i="16"/>
  <c r="Q35" i="16"/>
  <c r="Q34" i="16"/>
  <c r="Q33" i="16"/>
  <c r="Q32" i="16"/>
  <c r="Q31" i="16"/>
  <c r="Q30" i="16"/>
  <c r="Q29" i="16"/>
  <c r="Q28" i="16"/>
  <c r="Q27" i="16"/>
  <c r="Q26" i="16"/>
  <c r="Q25" i="16"/>
  <c r="Q24" i="16"/>
  <c r="Q23" i="16"/>
  <c r="Q22" i="16"/>
  <c r="Q21" i="16"/>
  <c r="Q20" i="16"/>
  <c r="Q19" i="16"/>
  <c r="Q18" i="16"/>
  <c r="Q17" i="16"/>
  <c r="Q16" i="16"/>
  <c r="Q15" i="16"/>
  <c r="Q14" i="16"/>
  <c r="Q13" i="16"/>
  <c r="Q12" i="16"/>
  <c r="Q11" i="16"/>
  <c r="Q10" i="16"/>
  <c r="Q9" i="16"/>
  <c r="Q8" i="16"/>
  <c r="Q7" i="16"/>
  <c r="Q6" i="16"/>
  <c r="J7" i="17" l="1"/>
  <c r="Q5" i="16"/>
  <c r="F6" i="1" l="1"/>
  <c r="F9" i="1"/>
  <c r="J11" i="1"/>
  <c r="T11" i="33"/>
  <c r="J6" i="1"/>
  <c r="F1103" i="16"/>
  <c r="F1105" i="16" s="1"/>
  <c r="I1103" i="16"/>
  <c r="I1105" i="16" s="1"/>
  <c r="K12" i="1" s="1"/>
  <c r="J1103" i="16"/>
  <c r="J1105" i="16" s="1"/>
  <c r="L12" i="1" s="1"/>
  <c r="F10" i="3" s="1"/>
  <c r="J970" i="16"/>
  <c r="AB3" i="14"/>
  <c r="AC3" i="14"/>
  <c r="AB2" i="12"/>
  <c r="G15" i="32" a="1"/>
  <c r="K18" i="24"/>
  <c r="AF5" i="12"/>
  <c r="AC3" i="11"/>
  <c r="F13" i="32" a="1"/>
  <c r="AB3" i="11"/>
  <c r="F12" i="32" a="1"/>
  <c r="F12" i="32" s="1"/>
  <c r="D9" i="33" s="1"/>
  <c r="O16" i="11"/>
  <c r="O18" i="11" s="1"/>
  <c r="F14" i="32" a="1"/>
  <c r="F14" i="32" s="1"/>
  <c r="F9" i="33" s="1"/>
  <c r="F17" i="32" a="1"/>
  <c r="F17" i="32" s="1"/>
  <c r="I9" i="33" s="1"/>
  <c r="M7" i="26"/>
  <c r="G132" i="17"/>
  <c r="G141" i="17"/>
  <c r="G42" i="17"/>
  <c r="B21" i="1" s="1"/>
  <c r="G51" i="17"/>
  <c r="F21" i="1" s="1"/>
  <c r="J7" i="1"/>
  <c r="A35" i="15"/>
  <c r="A36" i="13"/>
  <c r="A38" i="14"/>
  <c r="A36" i="11"/>
  <c r="AC3" i="13"/>
  <c r="O22" i="13"/>
  <c r="AB3" i="13"/>
  <c r="E16" i="13"/>
  <c r="E18" i="13" s="1"/>
  <c r="G16" i="13"/>
  <c r="G18" i="13"/>
  <c r="O16" i="13"/>
  <c r="J55" i="2"/>
  <c r="J63" i="2" s="1"/>
  <c r="J61" i="2" s="1"/>
  <c r="G14" i="32" a="1"/>
  <c r="G14" i="32" s="1"/>
  <c r="F11" i="33" s="1"/>
  <c r="E16" i="14"/>
  <c r="O16" i="14"/>
  <c r="O23" i="14" s="1"/>
  <c r="G16" i="12"/>
  <c r="G21" i="12" s="1"/>
  <c r="I16" i="12"/>
  <c r="I21" i="12" s="1"/>
  <c r="Q16" i="12"/>
  <c r="Q22" i="12" s="1"/>
  <c r="H11" i="32" a="1"/>
  <c r="H11" i="32" s="1"/>
  <c r="C13" i="33" s="1"/>
  <c r="K14" i="15" s="1"/>
  <c r="H13" i="32" a="1"/>
  <c r="H13" i="32" s="1"/>
  <c r="E13" i="33" s="1"/>
  <c r="Z2" i="15"/>
  <c r="AB3" i="15"/>
  <c r="AB4" i="15"/>
  <c r="H12" i="32" a="1"/>
  <c r="H12" i="32" s="1"/>
  <c r="H10" i="32" a="1"/>
  <c r="H10" i="32" s="1"/>
  <c r="B13" i="33" s="1"/>
  <c r="AC3" i="15"/>
  <c r="AC4" i="15"/>
  <c r="H15" i="32" a="1"/>
  <c r="H15" i="32" s="1"/>
  <c r="G13" i="33" s="1"/>
  <c r="H17" i="32" a="1"/>
  <c r="H17" i="32" s="1"/>
  <c r="I13" i="33" s="1"/>
  <c r="H16" i="32" a="1"/>
  <c r="H16" i="32" s="1"/>
  <c r="H13" i="33" s="1"/>
  <c r="H14" i="32" a="1"/>
  <c r="H14" i="32" s="1"/>
  <c r="F13" i="33" s="1"/>
  <c r="D14" i="4"/>
  <c r="J59" i="2" s="1"/>
  <c r="D8" i="4"/>
  <c r="D9" i="4"/>
  <c r="J639" i="16"/>
  <c r="L11" i="1" s="1"/>
  <c r="K51" i="17"/>
  <c r="G21" i="1" s="1"/>
  <c r="K175" i="17"/>
  <c r="K224" i="17"/>
  <c r="K225" i="17"/>
  <c r="W10" i="13"/>
  <c r="U10" i="13"/>
  <c r="S10" i="13"/>
  <c r="W10" i="11"/>
  <c r="U10" i="11"/>
  <c r="D12" i="1"/>
  <c r="C12" i="1"/>
  <c r="B12" i="1"/>
  <c r="F11" i="1"/>
  <c r="H10" i="1"/>
  <c r="H12" i="1"/>
  <c r="G12" i="1"/>
  <c r="N8" i="24"/>
  <c r="N9" i="24"/>
  <c r="N10" i="24"/>
  <c r="N11" i="24"/>
  <c r="N12" i="24"/>
  <c r="N13" i="24"/>
  <c r="B16" i="6"/>
  <c r="N15" i="24"/>
  <c r="N16" i="24"/>
  <c r="N17" i="24"/>
  <c r="D9" i="6"/>
  <c r="D10" i="6"/>
  <c r="D11" i="6"/>
  <c r="D12" i="6"/>
  <c r="D13" i="6"/>
  <c r="D14" i="6"/>
  <c r="D15" i="6"/>
  <c r="D16" i="6"/>
  <c r="E16" i="6"/>
  <c r="D17" i="6"/>
  <c r="D18" i="6"/>
  <c r="D19" i="6"/>
  <c r="A6" i="15"/>
  <c r="I6" i="15"/>
  <c r="S6" i="15"/>
  <c r="I7" i="15"/>
  <c r="S7" i="15"/>
  <c r="A8" i="15"/>
  <c r="I8" i="15"/>
  <c r="S8" i="15"/>
  <c r="I9" i="15"/>
  <c r="S9" i="15"/>
  <c r="A21" i="15"/>
  <c r="A22" i="15"/>
  <c r="A25" i="15"/>
  <c r="A26" i="15"/>
  <c r="A6" i="13"/>
  <c r="I6" i="13"/>
  <c r="S6" i="13"/>
  <c r="I7" i="13"/>
  <c r="S7" i="13"/>
  <c r="A8" i="13"/>
  <c r="I8" i="13"/>
  <c r="S8" i="13"/>
  <c r="D9" i="13"/>
  <c r="I9" i="13"/>
  <c r="S9" i="13"/>
  <c r="A21" i="13"/>
  <c r="A22" i="13"/>
  <c r="A25" i="13"/>
  <c r="A26" i="13"/>
  <c r="A6" i="14"/>
  <c r="S6" i="14"/>
  <c r="S7" i="14"/>
  <c r="A8" i="14"/>
  <c r="S8" i="14"/>
  <c r="S9" i="14"/>
  <c r="A22" i="14"/>
  <c r="A23" i="14"/>
  <c r="A27" i="14"/>
  <c r="A28" i="14"/>
  <c r="A6" i="11"/>
  <c r="I6" i="11"/>
  <c r="S6" i="11"/>
  <c r="I7" i="11"/>
  <c r="S7" i="11"/>
  <c r="A8" i="11"/>
  <c r="I8" i="11"/>
  <c r="S8" i="11"/>
  <c r="I9" i="11"/>
  <c r="S9" i="11"/>
  <c r="A21" i="11"/>
  <c r="A22" i="11"/>
  <c r="A25" i="11"/>
  <c r="A26" i="11"/>
  <c r="E16" i="12"/>
  <c r="E18" i="12"/>
  <c r="E25" i="12" s="1"/>
  <c r="C27" i="36"/>
  <c r="F12" i="1"/>
  <c r="G227" i="17"/>
  <c r="G229" i="17" s="1"/>
  <c r="G164" i="17"/>
  <c r="G175" i="17"/>
  <c r="A51" i="17"/>
  <c r="B18" i="24"/>
  <c r="C18" i="24"/>
  <c r="D18" i="24"/>
  <c r="E18" i="24"/>
  <c r="F18" i="24"/>
  <c r="G18" i="24"/>
  <c r="H18" i="24"/>
  <c r="I18" i="24"/>
  <c r="J18" i="24"/>
  <c r="L18" i="24"/>
  <c r="M18" i="24"/>
  <c r="K15" i="33"/>
  <c r="L15" i="33"/>
  <c r="M15" i="33"/>
  <c r="N15" i="33"/>
  <c r="O15" i="33"/>
  <c r="P15" i="33"/>
  <c r="Q15" i="33"/>
  <c r="R15" i="33"/>
  <c r="I25" i="32"/>
  <c r="J25" i="32"/>
  <c r="I563" i="32"/>
  <c r="J563" i="32"/>
  <c r="I564" i="32"/>
  <c r="J564" i="32"/>
  <c r="D12" i="33"/>
  <c r="G13" i="32" a="1"/>
  <c r="G13" i="32" s="1"/>
  <c r="E11" i="33" s="1"/>
  <c r="F11" i="32" a="1"/>
  <c r="F15" i="32" a="1"/>
  <c r="F15" i="32" s="1"/>
  <c r="G9" i="33" s="1"/>
  <c r="U14" i="11" s="1"/>
  <c r="G11" i="32" a="1"/>
  <c r="G11" i="32" s="1"/>
  <c r="F16" i="32" a="1"/>
  <c r="F16" i="32" s="1"/>
  <c r="H9" i="33" s="1"/>
  <c r="B9" i="33"/>
  <c r="G12" i="32" a="1"/>
  <c r="G12" i="32" s="1"/>
  <c r="D11" i="33" s="1"/>
  <c r="G10" i="32" a="1"/>
  <c r="G16" i="32" a="1"/>
  <c r="G16" i="32" s="1"/>
  <c r="H11" i="33" s="1"/>
  <c r="G17" i="32" a="1"/>
  <c r="O18" i="13"/>
  <c r="E18" i="14"/>
  <c r="E26" i="12"/>
  <c r="E21" i="12"/>
  <c r="E16" i="11"/>
  <c r="C12" i="33"/>
  <c r="C30" i="36"/>
  <c r="K207" i="17"/>
  <c r="C20" i="1" s="1"/>
  <c r="F10" i="1"/>
  <c r="H8" i="1"/>
  <c r="D10" i="1"/>
  <c r="C35" i="36"/>
  <c r="C50" i="36" s="1"/>
  <c r="F8" i="1"/>
  <c r="B9" i="1"/>
  <c r="D8" i="1"/>
  <c r="B8" i="1"/>
  <c r="D10" i="4"/>
  <c r="J53" i="2" s="1"/>
  <c r="U33" i="26"/>
  <c r="K197" i="17"/>
  <c r="K164" i="17"/>
  <c r="K132" i="17"/>
  <c r="K42" i="17"/>
  <c r="C21" i="1" s="1"/>
  <c r="K220" i="17"/>
  <c r="F7" i="1"/>
  <c r="B11" i="1"/>
  <c r="J464" i="16"/>
  <c r="L7" i="1" s="1"/>
  <c r="B7" i="1"/>
  <c r="H7" i="1"/>
  <c r="H11" i="1"/>
  <c r="J653" i="16"/>
  <c r="B6" i="1"/>
  <c r="D11" i="1"/>
  <c r="D7" i="1"/>
  <c r="I18" i="12" l="1"/>
  <c r="I25" i="12" s="1"/>
  <c r="O27" i="11"/>
  <c r="O25" i="11"/>
  <c r="O26" i="11"/>
  <c r="Z2" i="13"/>
  <c r="Z2" i="11"/>
  <c r="G18" i="12"/>
  <c r="E21" i="11"/>
  <c r="E21" i="13"/>
  <c r="R26" i="26" a="1"/>
  <c r="R26" i="26" s="1"/>
  <c r="S26" i="26" a="1"/>
  <c r="S26" i="26" s="1"/>
  <c r="G7" i="33" s="1"/>
  <c r="U14" i="13" s="1"/>
  <c r="U16" i="13" s="1"/>
  <c r="U22" i="13" s="1"/>
  <c r="N18" i="24"/>
  <c r="C37" i="36"/>
  <c r="C39" i="36" s="1"/>
  <c r="C41" i="36" s="1"/>
  <c r="C22" i="1"/>
  <c r="C25" i="1" s="1"/>
  <c r="B19" i="6"/>
  <c r="E19" i="6" s="1"/>
  <c r="B19" i="44"/>
  <c r="E19" i="44" s="1"/>
  <c r="B15" i="6"/>
  <c r="E15" i="6" s="1"/>
  <c r="B15" i="44"/>
  <c r="E15" i="44" s="1"/>
  <c r="B11" i="6"/>
  <c r="E11" i="6" s="1"/>
  <c r="B11" i="44"/>
  <c r="E11" i="44" s="1"/>
  <c r="B18" i="6"/>
  <c r="E18" i="6" s="1"/>
  <c r="B18" i="44"/>
  <c r="E18" i="44" s="1"/>
  <c r="B14" i="6"/>
  <c r="B14" i="44"/>
  <c r="E14" i="44" s="1"/>
  <c r="B10" i="6"/>
  <c r="E10" i="6" s="1"/>
  <c r="B10" i="44"/>
  <c r="E10" i="44" s="1"/>
  <c r="B12" i="6"/>
  <c r="E12" i="6" s="1"/>
  <c r="B12" i="44"/>
  <c r="E12" i="44" s="1"/>
  <c r="B17" i="6"/>
  <c r="B17" i="44"/>
  <c r="E17" i="44" s="1"/>
  <c r="B13" i="6"/>
  <c r="E13" i="6" s="1"/>
  <c r="B13" i="44"/>
  <c r="E13" i="44" s="1"/>
  <c r="J668" i="16"/>
  <c r="F668" i="16"/>
  <c r="H9" i="1"/>
  <c r="D9" i="1"/>
  <c r="J224" i="17"/>
  <c r="J225" i="17"/>
  <c r="K177" i="17"/>
  <c r="K23" i="1" s="1"/>
  <c r="O23" i="1" s="1"/>
  <c r="L9" i="1"/>
  <c r="F6" i="3" s="1"/>
  <c r="E27" i="14"/>
  <c r="O26" i="13"/>
  <c r="O29" i="13" s="1"/>
  <c r="B9" i="44"/>
  <c r="E22" i="14"/>
  <c r="I26" i="12"/>
  <c r="I29" i="12" s="1"/>
  <c r="G26" i="13"/>
  <c r="G53" i="17"/>
  <c r="G237" i="17" s="1"/>
  <c r="E18" i="11"/>
  <c r="E25" i="11" s="1"/>
  <c r="G177" i="17"/>
  <c r="J23" i="1" s="1"/>
  <c r="N23" i="1" s="1"/>
  <c r="E28" i="14"/>
  <c r="E29" i="12"/>
  <c r="J20" i="1"/>
  <c r="N20" i="1" s="1"/>
  <c r="K227" i="17"/>
  <c r="K229" i="17" s="1"/>
  <c r="B25" i="1"/>
  <c r="T12" i="33"/>
  <c r="D6" i="1"/>
  <c r="T8" i="33"/>
  <c r="E17" i="6"/>
  <c r="E14" i="6"/>
  <c r="E25" i="13"/>
  <c r="E26" i="13"/>
  <c r="S28" i="26" a="1"/>
  <c r="S28" i="26" s="1"/>
  <c r="I7" i="33" s="1"/>
  <c r="S24" i="26" a="1"/>
  <c r="S24" i="26" s="1"/>
  <c r="S22" i="26" a="1"/>
  <c r="S22" i="26" s="1"/>
  <c r="S20" i="26" a="1"/>
  <c r="S20" i="26" s="1"/>
  <c r="S18" i="26" a="1"/>
  <c r="S18" i="26" s="1"/>
  <c r="E7" i="33" s="1"/>
  <c r="S16" i="26" a="1"/>
  <c r="S16" i="26" s="1"/>
  <c r="C7" i="33" s="1"/>
  <c r="K14" i="13" s="1"/>
  <c r="K16" i="13" s="1"/>
  <c r="K21" i="13" s="1"/>
  <c r="S14" i="26" a="1"/>
  <c r="S14" i="26" s="1"/>
  <c r="S12" i="26" a="1"/>
  <c r="S12" i="26" s="1"/>
  <c r="S10" i="26" a="1"/>
  <c r="S10" i="26" s="1"/>
  <c r="R29" i="26" a="1"/>
  <c r="R29" i="26" s="1"/>
  <c r="T28" i="26" a="1"/>
  <c r="T28" i="26" s="1"/>
  <c r="R28" i="26" a="1"/>
  <c r="R28" i="26" s="1"/>
  <c r="R27" i="26" a="1"/>
  <c r="R27" i="26" s="1"/>
  <c r="T26" i="26" a="1"/>
  <c r="T26" i="26" s="1"/>
  <c r="R25" i="26" a="1"/>
  <c r="R25" i="26" s="1"/>
  <c r="R24" i="26" a="1"/>
  <c r="R24" i="26" s="1"/>
  <c r="T23" i="26" a="1"/>
  <c r="T23" i="26" s="1"/>
  <c r="T22" i="26" a="1"/>
  <c r="T22" i="26" s="1"/>
  <c r="R21" i="26" a="1"/>
  <c r="R21" i="26" s="1"/>
  <c r="R20" i="26" a="1"/>
  <c r="R20" i="26" s="1"/>
  <c r="R19" i="26" a="1"/>
  <c r="R19" i="26" s="1"/>
  <c r="T18" i="26" a="1"/>
  <c r="T18" i="26" s="1"/>
  <c r="R18" i="26" a="1"/>
  <c r="R18" i="26" s="1"/>
  <c r="S29" i="26" a="1"/>
  <c r="S29" i="26" s="1"/>
  <c r="F7" i="33" s="1"/>
  <c r="S27" i="26" a="1"/>
  <c r="S27" i="26" s="1"/>
  <c r="H7" i="33" s="1"/>
  <c r="S25" i="26" a="1"/>
  <c r="S25" i="26" s="1"/>
  <c r="S23" i="26" a="1"/>
  <c r="S23" i="26" s="1"/>
  <c r="S21" i="26" a="1"/>
  <c r="S21" i="26" s="1"/>
  <c r="S19" i="26" a="1"/>
  <c r="S19" i="26" s="1"/>
  <c r="B7" i="33" s="1"/>
  <c r="S17" i="26" a="1"/>
  <c r="S17" i="26" s="1"/>
  <c r="S15" i="26" a="1"/>
  <c r="S15" i="26" s="1"/>
  <c r="S13" i="26" a="1"/>
  <c r="S13" i="26" s="1"/>
  <c r="S11" i="26" a="1"/>
  <c r="S11" i="26" s="1"/>
  <c r="T29" i="26" a="1"/>
  <c r="T29" i="26" s="1"/>
  <c r="T27" i="26" a="1"/>
  <c r="T27" i="26" s="1"/>
  <c r="T25" i="26" a="1"/>
  <c r="T25" i="26" s="1"/>
  <c r="T24" i="26" a="1"/>
  <c r="T24" i="26" s="1"/>
  <c r="R23" i="26" a="1"/>
  <c r="R23" i="26" s="1"/>
  <c r="R22" i="26" a="1"/>
  <c r="R22" i="26" s="1"/>
  <c r="T21" i="26" a="1"/>
  <c r="T21" i="26" s="1"/>
  <c r="T20" i="26" a="1"/>
  <c r="T20" i="26" s="1"/>
  <c r="T19" i="26" a="1"/>
  <c r="T19" i="26" s="1"/>
  <c r="T17" i="26" a="1"/>
  <c r="T17" i="26" s="1"/>
  <c r="T15" i="26" a="1"/>
  <c r="T15" i="26" s="1"/>
  <c r="T14" i="26" a="1"/>
  <c r="T14" i="26" s="1"/>
  <c r="T12" i="26" a="1"/>
  <c r="T12" i="26" s="1"/>
  <c r="T11" i="26" a="1"/>
  <c r="T11" i="26" s="1"/>
  <c r="T10" i="26" a="1"/>
  <c r="T10" i="26" s="1"/>
  <c r="T16" i="26" a="1"/>
  <c r="T16" i="26" s="1"/>
  <c r="R15" i="26" a="1"/>
  <c r="R15" i="26" s="1"/>
  <c r="T13" i="26" a="1"/>
  <c r="T13" i="26" s="1"/>
  <c r="R12" i="26" a="1"/>
  <c r="R12" i="26" s="1"/>
  <c r="R10" i="26" a="1"/>
  <c r="R10" i="26" s="1"/>
  <c r="R17" i="26" a="1"/>
  <c r="R17" i="26" s="1"/>
  <c r="R16" i="26" a="1"/>
  <c r="R16" i="26" s="1"/>
  <c r="R14" i="26" a="1"/>
  <c r="R14" i="26" s="1"/>
  <c r="R13" i="26" a="1"/>
  <c r="R13" i="26" s="1"/>
  <c r="R11" i="26" a="1"/>
  <c r="R11" i="26" s="1"/>
  <c r="T10" i="33"/>
  <c r="J9" i="1"/>
  <c r="J8" i="2" s="1"/>
  <c r="K141" i="17"/>
  <c r="K143" i="17" s="1"/>
  <c r="K22" i="1" s="1"/>
  <c r="G7" i="3" s="1"/>
  <c r="Q18" i="12"/>
  <c r="Q26" i="12" s="1"/>
  <c r="Q29" i="12" s="1"/>
  <c r="O18" i="14"/>
  <c r="G17" i="32"/>
  <c r="I11" i="33" s="1"/>
  <c r="S14" i="14" s="1"/>
  <c r="S16" i="14" s="1"/>
  <c r="S23" i="14" s="1"/>
  <c r="G10" i="32"/>
  <c r="B11" i="33" s="1"/>
  <c r="I14" i="14" s="1"/>
  <c r="G15" i="32"/>
  <c r="G11" i="33" s="1"/>
  <c r="U14" i="14" s="1"/>
  <c r="W14" i="14"/>
  <c r="W16" i="14" s="1"/>
  <c r="W23" i="14" s="1"/>
  <c r="Q16" i="14"/>
  <c r="Q23" i="14" s="1"/>
  <c r="C11" i="33"/>
  <c r="K14" i="14" s="1"/>
  <c r="S14" i="15"/>
  <c r="U14" i="15"/>
  <c r="U16" i="15" s="1"/>
  <c r="U22" i="15" s="1"/>
  <c r="O14" i="15"/>
  <c r="O16" i="15" s="1"/>
  <c r="O22" i="15" s="1"/>
  <c r="D13" i="33"/>
  <c r="H18" i="32"/>
  <c r="H19" i="32" s="1"/>
  <c r="Q14" i="15"/>
  <c r="Q16" i="15" s="1"/>
  <c r="Q22" i="15" s="1"/>
  <c r="W14" i="15"/>
  <c r="W16" i="15" s="1"/>
  <c r="W22" i="15" s="1"/>
  <c r="I14" i="15"/>
  <c r="F13" i="32"/>
  <c r="E9" i="33" s="1"/>
  <c r="I14" i="11" s="1"/>
  <c r="M14" i="14"/>
  <c r="M16" i="14" s="1"/>
  <c r="M22" i="14" s="1"/>
  <c r="G12" i="33"/>
  <c r="E12" i="33"/>
  <c r="M14" i="11"/>
  <c r="M16" i="11" s="1"/>
  <c r="M21" i="11" s="1"/>
  <c r="G16" i="11"/>
  <c r="G18" i="11" s="1"/>
  <c r="S14" i="11"/>
  <c r="W14" i="11"/>
  <c r="Q16" i="11"/>
  <c r="U16" i="11"/>
  <c r="U22" i="11" s="1"/>
  <c r="F11" i="32"/>
  <c r="F12" i="33"/>
  <c r="I12" i="33"/>
  <c r="H12" i="33"/>
  <c r="K16" i="15"/>
  <c r="K21" i="15" s="1"/>
  <c r="B12" i="33"/>
  <c r="E14" i="15"/>
  <c r="C22" i="36"/>
  <c r="K53" i="17"/>
  <c r="K21" i="1" s="1"/>
  <c r="G6" i="3" s="1"/>
  <c r="G143" i="17"/>
  <c r="J22" i="1" s="1"/>
  <c r="N22" i="1" s="1"/>
  <c r="B10" i="1"/>
  <c r="J10" i="1"/>
  <c r="J24" i="2" s="1"/>
  <c r="N7" i="1"/>
  <c r="L8" i="1"/>
  <c r="P8" i="1" s="1"/>
  <c r="N6" i="1"/>
  <c r="H6" i="1"/>
  <c r="T7" i="33"/>
  <c r="J1092" i="16"/>
  <c r="L6" i="1" s="1"/>
  <c r="F9" i="3" s="1"/>
  <c r="P12" i="1"/>
  <c r="T13" i="33"/>
  <c r="J12" i="1"/>
  <c r="J1009" i="16"/>
  <c r="J1012" i="16" s="1"/>
  <c r="L10" i="1" s="1"/>
  <c r="F8" i="3" s="1"/>
  <c r="F14" i="1"/>
  <c r="P11" i="1"/>
  <c r="P7" i="1"/>
  <c r="J141" i="17"/>
  <c r="N11" i="1"/>
  <c r="Y30" i="15"/>
  <c r="O12" i="1"/>
  <c r="J42" i="2"/>
  <c r="J32" i="2"/>
  <c r="O28" i="14" l="1"/>
  <c r="O29" i="14"/>
  <c r="G25" i="12"/>
  <c r="G26" i="12"/>
  <c r="G25" i="13"/>
  <c r="G21" i="13"/>
  <c r="G29" i="13" s="1"/>
  <c r="V8" i="33"/>
  <c r="I967" i="16"/>
  <c r="N9" i="1"/>
  <c r="J203" i="17"/>
  <c r="J207" i="17" s="1"/>
  <c r="J197" i="17"/>
  <c r="G233" i="17"/>
  <c r="T9" i="33"/>
  <c r="T15" i="33" s="1"/>
  <c r="K237" i="17"/>
  <c r="I16" i="14"/>
  <c r="I18" i="14" s="1"/>
  <c r="I29" i="14" s="1"/>
  <c r="Y14" i="14"/>
  <c r="U11" i="33"/>
  <c r="B14" i="1"/>
  <c r="N10" i="1"/>
  <c r="B21" i="44"/>
  <c r="E9" i="44"/>
  <c r="F13" i="44" s="1"/>
  <c r="F25" i="1"/>
  <c r="U16" i="14"/>
  <c r="U23" i="14" s="1"/>
  <c r="Y23" i="14" s="1"/>
  <c r="O31" i="14"/>
  <c r="R31" i="26"/>
  <c r="S31" i="26"/>
  <c r="K20" i="1"/>
  <c r="G9" i="3" s="1"/>
  <c r="J21" i="1"/>
  <c r="N21" i="1" s="1"/>
  <c r="H14" i="1"/>
  <c r="D14" i="1"/>
  <c r="J51" i="17"/>
  <c r="J227" i="17"/>
  <c r="U18" i="15"/>
  <c r="U26" i="15" s="1"/>
  <c r="U28" i="15" s="1"/>
  <c r="P9" i="1"/>
  <c r="G8" i="3"/>
  <c r="J8" i="1"/>
  <c r="J16" i="2" s="1"/>
  <c r="L8" i="2" s="1"/>
  <c r="U14" i="26"/>
  <c r="U24" i="26"/>
  <c r="U16" i="26"/>
  <c r="F1107" i="16"/>
  <c r="G548" i="26" s="1"/>
  <c r="G550" i="26" s="1"/>
  <c r="E31" i="14"/>
  <c r="B9" i="6"/>
  <c r="E29" i="13"/>
  <c r="U12" i="26"/>
  <c r="U20" i="26"/>
  <c r="U22" i="26"/>
  <c r="O18" i="15"/>
  <c r="O26" i="15" s="1"/>
  <c r="O28" i="15" s="1"/>
  <c r="T31" i="26"/>
  <c r="G231" i="17"/>
  <c r="G783" i="42" s="1"/>
  <c r="G786" i="42" s="1"/>
  <c r="G25" i="1"/>
  <c r="C46" i="36"/>
  <c r="W14" i="13"/>
  <c r="W16" i="13" s="1"/>
  <c r="W22" i="13" s="1"/>
  <c r="S14" i="13"/>
  <c r="S16" i="13" s="1"/>
  <c r="S22" i="13" s="1"/>
  <c r="W18" i="14"/>
  <c r="U13" i="26"/>
  <c r="U10" i="26"/>
  <c r="U11" i="26"/>
  <c r="U15" i="26"/>
  <c r="U23" i="26"/>
  <c r="O22" i="11"/>
  <c r="E26" i="11"/>
  <c r="E29" i="11" s="1"/>
  <c r="U17" i="26"/>
  <c r="D8" i="33"/>
  <c r="U26" i="26"/>
  <c r="G8" i="33"/>
  <c r="U27" i="26"/>
  <c r="H8" i="33"/>
  <c r="U13" i="33"/>
  <c r="Q18" i="15"/>
  <c r="Q26" i="15" s="1"/>
  <c r="Q28" i="15" s="1"/>
  <c r="Q22" i="11"/>
  <c r="U18" i="26"/>
  <c r="E8" i="33"/>
  <c r="U19" i="26"/>
  <c r="B8" i="33"/>
  <c r="U21" i="26"/>
  <c r="U25" i="26"/>
  <c r="U28" i="26"/>
  <c r="I8" i="33"/>
  <c r="U29" i="26"/>
  <c r="F8" i="33"/>
  <c r="M18" i="14"/>
  <c r="Q18" i="14"/>
  <c r="Q28" i="14" s="1"/>
  <c r="Q31" i="14" s="1"/>
  <c r="G18" i="32"/>
  <c r="G19" i="32" s="1"/>
  <c r="Q18" i="11"/>
  <c r="Q26" i="11" s="1"/>
  <c r="W18" i="15"/>
  <c r="W26" i="15" s="1"/>
  <c r="W28" i="15" s="1"/>
  <c r="I16" i="15"/>
  <c r="I21" i="15" s="1"/>
  <c r="M14" i="15"/>
  <c r="M16" i="15" s="1"/>
  <c r="M21" i="15" s="1"/>
  <c r="G14" i="15"/>
  <c r="S16" i="15"/>
  <c r="S22" i="15" s="1"/>
  <c r="Y22" i="15" s="1"/>
  <c r="K16" i="14"/>
  <c r="K22" i="14" s="1"/>
  <c r="G16" i="14"/>
  <c r="G22" i="14" s="1"/>
  <c r="K18" i="15"/>
  <c r="K26" i="15" s="1"/>
  <c r="S18" i="14"/>
  <c r="U12" i="33"/>
  <c r="D18" i="32"/>
  <c r="D19" i="32" s="1"/>
  <c r="I16" i="11"/>
  <c r="I21" i="11" s="1"/>
  <c r="F18" i="32"/>
  <c r="F19" i="32" s="1"/>
  <c r="C9" i="33"/>
  <c r="U18" i="11"/>
  <c r="U26" i="11" s="1"/>
  <c r="W16" i="11"/>
  <c r="W22" i="11" s="1"/>
  <c r="S16" i="11"/>
  <c r="S22" i="11" s="1"/>
  <c r="G26" i="11"/>
  <c r="G25" i="11"/>
  <c r="E16" i="15"/>
  <c r="E18" i="15" s="1"/>
  <c r="M18" i="11"/>
  <c r="G21" i="11"/>
  <c r="P10" i="1"/>
  <c r="J1107" i="16"/>
  <c r="U18" i="13"/>
  <c r="U27" i="13" s="1"/>
  <c r="D7" i="33"/>
  <c r="U7" i="33" s="1"/>
  <c r="Q16" i="13"/>
  <c r="Q22" i="13" s="1"/>
  <c r="I14" i="13"/>
  <c r="K18" i="13"/>
  <c r="K25" i="13" s="1"/>
  <c r="C8" i="33"/>
  <c r="C24" i="36"/>
  <c r="J175" i="17"/>
  <c r="O22" i="1"/>
  <c r="O21" i="1"/>
  <c r="J220" i="17"/>
  <c r="K231" i="17"/>
  <c r="P6" i="1"/>
  <c r="F7" i="3"/>
  <c r="F12" i="3" s="1"/>
  <c r="L14" i="1"/>
  <c r="J40" i="2"/>
  <c r="N12" i="1"/>
  <c r="G29" i="12" l="1"/>
  <c r="U8" i="33"/>
  <c r="U27" i="11"/>
  <c r="J89" i="17"/>
  <c r="I665" i="16"/>
  <c r="U9" i="33"/>
  <c r="I27" i="14"/>
  <c r="I26" i="14"/>
  <c r="W29" i="14"/>
  <c r="W28" i="14"/>
  <c r="F19" i="44"/>
  <c r="F16" i="44"/>
  <c r="F9" i="44"/>
  <c r="F11" i="44"/>
  <c r="F10" i="44"/>
  <c r="F14" i="44"/>
  <c r="F17" i="44"/>
  <c r="F18" i="44"/>
  <c r="F12" i="44"/>
  <c r="F15" i="44"/>
  <c r="K25" i="1"/>
  <c r="O25" i="1" s="1"/>
  <c r="U18" i="14"/>
  <c r="U29" i="14" s="1"/>
  <c r="I28" i="14"/>
  <c r="S29" i="14"/>
  <c r="S28" i="14"/>
  <c r="K27" i="13"/>
  <c r="K26" i="13"/>
  <c r="U26" i="13"/>
  <c r="M26" i="11"/>
  <c r="M25" i="11"/>
  <c r="M27" i="11"/>
  <c r="M28" i="14"/>
  <c r="M27" i="14"/>
  <c r="M29" i="14"/>
  <c r="I21" i="14"/>
  <c r="O20" i="1"/>
  <c r="G12" i="3"/>
  <c r="F14" i="3" s="1"/>
  <c r="J67" i="2" s="1"/>
  <c r="J25" i="1"/>
  <c r="N25" i="1" s="1"/>
  <c r="P14" i="1"/>
  <c r="J14" i="1"/>
  <c r="N14" i="1" s="1"/>
  <c r="N8" i="1"/>
  <c r="E9" i="6"/>
  <c r="B21" i="6"/>
  <c r="Q29" i="11"/>
  <c r="J177" i="17"/>
  <c r="K25" i="15"/>
  <c r="K28" i="15" s="1"/>
  <c r="O29" i="11"/>
  <c r="M18" i="15"/>
  <c r="M26" i="15" s="1"/>
  <c r="Y14" i="15"/>
  <c r="Y16" i="14"/>
  <c r="K18" i="14"/>
  <c r="S18" i="15"/>
  <c r="S26" i="15" s="1"/>
  <c r="S28" i="15" s="1"/>
  <c r="I18" i="15"/>
  <c r="I25" i="15" s="1"/>
  <c r="G16" i="15"/>
  <c r="G21" i="15" s="1"/>
  <c r="G18" i="14"/>
  <c r="G27" i="14" s="1"/>
  <c r="Y22" i="14"/>
  <c r="D22" i="14" s="1"/>
  <c r="Y22" i="11"/>
  <c r="I18" i="11"/>
  <c r="S18" i="11"/>
  <c r="W18" i="11"/>
  <c r="W26" i="11" s="1"/>
  <c r="K14" i="11"/>
  <c r="Y14" i="11" s="1"/>
  <c r="E21" i="15"/>
  <c r="G29" i="11"/>
  <c r="E25" i="15"/>
  <c r="E26" i="15"/>
  <c r="U31" i="26" a="1"/>
  <c r="U31" i="26" s="1"/>
  <c r="Q18" i="13"/>
  <c r="Q26" i="13" s="1"/>
  <c r="Q29" i="13" s="1"/>
  <c r="W18" i="13"/>
  <c r="S18" i="13"/>
  <c r="Y22" i="13"/>
  <c r="I16" i="13"/>
  <c r="M14" i="13"/>
  <c r="C43" i="36"/>
  <c r="J68" i="2" s="1"/>
  <c r="J229" i="17"/>
  <c r="K28" i="14" l="1"/>
  <c r="K27" i="14"/>
  <c r="Y27" i="14" s="1"/>
  <c r="U35" i="26"/>
  <c r="C8" i="1"/>
  <c r="C9" i="1"/>
  <c r="C10" i="1"/>
  <c r="C7" i="1"/>
  <c r="C6" i="1"/>
  <c r="I991" i="16"/>
  <c r="I653" i="16"/>
  <c r="K9" i="1" s="1"/>
  <c r="J132" i="17"/>
  <c r="J14" i="17"/>
  <c r="J42" i="17"/>
  <c r="J29" i="17"/>
  <c r="G6" i="1"/>
  <c r="I1009" i="16"/>
  <c r="G10" i="1"/>
  <c r="I698" i="16"/>
  <c r="I970" i="16" s="1"/>
  <c r="K8" i="1" s="1"/>
  <c r="Y31" i="11" s="1"/>
  <c r="G8" i="1"/>
  <c r="I1092" i="16"/>
  <c r="K6" i="1" s="1"/>
  <c r="J34" i="2" s="1"/>
  <c r="G9" i="1"/>
  <c r="W27" i="13"/>
  <c r="W26" i="13"/>
  <c r="U28" i="14"/>
  <c r="K29" i="14"/>
  <c r="F21" i="44"/>
  <c r="S27" i="13"/>
  <c r="S26" i="13"/>
  <c r="W27" i="11"/>
  <c r="S31" i="14"/>
  <c r="M31" i="14"/>
  <c r="U29" i="13"/>
  <c r="I31" i="14"/>
  <c r="U29" i="11"/>
  <c r="W31" i="14"/>
  <c r="S27" i="11"/>
  <c r="S26" i="11"/>
  <c r="I27" i="11"/>
  <c r="I25" i="11"/>
  <c r="I26" i="11"/>
  <c r="F17" i="6"/>
  <c r="F11" i="6"/>
  <c r="F15" i="6"/>
  <c r="F12" i="6"/>
  <c r="F16" i="6"/>
  <c r="F13" i="6"/>
  <c r="F9" i="6"/>
  <c r="F18" i="6"/>
  <c r="F19" i="6"/>
  <c r="F10" i="6"/>
  <c r="F14" i="6"/>
  <c r="C47" i="36"/>
  <c r="M25" i="15"/>
  <c r="M28" i="15" s="1"/>
  <c r="Y16" i="15"/>
  <c r="G28" i="14"/>
  <c r="I26" i="15"/>
  <c r="I28" i="15" s="1"/>
  <c r="Y18" i="14"/>
  <c r="G18" i="15"/>
  <c r="G26" i="15" s="1"/>
  <c r="K16" i="11"/>
  <c r="K21" i="11" s="1"/>
  <c r="M29" i="11"/>
  <c r="Y21" i="15"/>
  <c r="E28" i="15"/>
  <c r="K29" i="13"/>
  <c r="I21" i="13"/>
  <c r="M16" i="13"/>
  <c r="M21" i="13" s="1"/>
  <c r="Y14" i="13"/>
  <c r="I18" i="13"/>
  <c r="J143" i="17" l="1"/>
  <c r="J53" i="17"/>
  <c r="O9" i="1"/>
  <c r="I1012" i="16"/>
  <c r="K10" i="1" s="1"/>
  <c r="J26" i="2" s="1"/>
  <c r="O8" i="1"/>
  <c r="J18" i="2"/>
  <c r="U31" i="14"/>
  <c r="Y29" i="14"/>
  <c r="Y31" i="13"/>
  <c r="O6" i="1"/>
  <c r="I25" i="13"/>
  <c r="I27" i="13"/>
  <c r="I26" i="13"/>
  <c r="F21" i="6"/>
  <c r="I29" i="11"/>
  <c r="W29" i="13"/>
  <c r="S29" i="11"/>
  <c r="S29" i="13"/>
  <c r="W29" i="11"/>
  <c r="G31" i="14"/>
  <c r="Y28" i="14"/>
  <c r="K31" i="14"/>
  <c r="G25" i="15"/>
  <c r="Y25" i="15" s="1"/>
  <c r="Y26" i="15"/>
  <c r="Y18" i="15"/>
  <c r="Y16" i="11"/>
  <c r="K18" i="11"/>
  <c r="M18" i="13"/>
  <c r="Y16" i="13"/>
  <c r="Y21" i="13"/>
  <c r="K26" i="11" l="1"/>
  <c r="Y26" i="11" s="1"/>
  <c r="K25" i="11"/>
  <c r="Y25" i="11" s="1"/>
  <c r="J231" i="17"/>
  <c r="O10" i="1"/>
  <c r="Y33" i="14"/>
  <c r="M27" i="13"/>
  <c r="Y27" i="13" s="1"/>
  <c r="M26" i="13"/>
  <c r="M25" i="13"/>
  <c r="Y25" i="13" s="1"/>
  <c r="K27" i="11"/>
  <c r="Y27" i="11" s="1"/>
  <c r="Y18" i="13"/>
  <c r="Y31" i="14"/>
  <c r="G28" i="15"/>
  <c r="Y28" i="15" s="1"/>
  <c r="Y33" i="15" s="1"/>
  <c r="Y35" i="15" s="1"/>
  <c r="J41" i="2" s="1"/>
  <c r="J44" i="2" s="1"/>
  <c r="Y18" i="11"/>
  <c r="Y21" i="11"/>
  <c r="I29" i="13"/>
  <c r="C11" i="1" l="1"/>
  <c r="C14" i="1" s="1"/>
  <c r="I639" i="16"/>
  <c r="K11" i="1" s="1"/>
  <c r="Y36" i="14"/>
  <c r="Y38" i="14" s="1"/>
  <c r="J25" i="2" s="1"/>
  <c r="J28" i="2" s="1"/>
  <c r="M12" i="1"/>
  <c r="K29" i="11"/>
  <c r="Y29" i="11" s="1"/>
  <c r="Y34" i="11" s="1"/>
  <c r="Y36" i="11" s="1"/>
  <c r="M29" i="13"/>
  <c r="Y29" i="13" s="1"/>
  <c r="Y26" i="13"/>
  <c r="G11" i="1" l="1"/>
  <c r="O11" i="1" s="1"/>
  <c r="M10" i="1"/>
  <c r="Y34" i="13"/>
  <c r="Y36" i="13" s="1"/>
  <c r="J17" i="2"/>
  <c r="J20" i="2" s="1"/>
  <c r="M8" i="1"/>
  <c r="E13" i="32" a="1"/>
  <c r="E13" i="32" s="1"/>
  <c r="E10" i="33" s="1"/>
  <c r="E15" i="33" s="1"/>
  <c r="E15" i="32" a="1"/>
  <c r="E15" i="32" s="1"/>
  <c r="G10" i="33" s="1"/>
  <c r="E12" i="32" a="1"/>
  <c r="E12" i="32" s="1"/>
  <c r="D10" i="33" s="1"/>
  <c r="E14" i="32" a="1"/>
  <c r="E14" i="32" s="1"/>
  <c r="F10" i="33" s="1"/>
  <c r="E11" i="32" a="1"/>
  <c r="E11" i="32" s="1"/>
  <c r="C10" i="33" s="1"/>
  <c r="E16" i="32" a="1"/>
  <c r="E16" i="32" s="1"/>
  <c r="H10" i="33" s="1"/>
  <c r="E17" i="32" a="1"/>
  <c r="E17" i="32" s="1"/>
  <c r="I10" i="33" s="1"/>
  <c r="I15" i="33" s="1"/>
  <c r="E10" i="32" a="1"/>
  <c r="E10" i="32" s="1"/>
  <c r="I464" i="16" l="1"/>
  <c r="G7" i="1"/>
  <c r="C15" i="33"/>
  <c r="M14" i="12"/>
  <c r="E18" i="32"/>
  <c r="B10" i="33"/>
  <c r="U10" i="33" s="1"/>
  <c r="H15" i="33"/>
  <c r="Y14" i="12"/>
  <c r="F15" i="33"/>
  <c r="U14" i="12"/>
  <c r="G15" i="33"/>
  <c r="W14" i="12"/>
  <c r="D15" i="33"/>
  <c r="O14" i="12"/>
  <c r="G14" i="1" l="1"/>
  <c r="K7" i="1"/>
  <c r="O7" i="1" s="1"/>
  <c r="I668" i="16"/>
  <c r="I1107" i="16" s="1"/>
  <c r="J33" i="2"/>
  <c r="M6" i="1"/>
  <c r="S16" i="12"/>
  <c r="S22" i="12" s="1"/>
  <c r="B15" i="33"/>
  <c r="U15" i="33" s="1"/>
  <c r="K14" i="12"/>
  <c r="M16" i="12"/>
  <c r="M21" i="12" s="1"/>
  <c r="O16" i="12"/>
  <c r="O21" i="12" s="1"/>
  <c r="W16" i="12"/>
  <c r="W22" i="12" s="1"/>
  <c r="U16" i="12"/>
  <c r="U22" i="12" s="1"/>
  <c r="Y16" i="12"/>
  <c r="Y22" i="12" s="1"/>
  <c r="K14" i="1" l="1"/>
  <c r="O14" i="1" s="1"/>
  <c r="AA31" i="12"/>
  <c r="J10" i="2"/>
  <c r="L10" i="2" s="1"/>
  <c r="J36" i="2"/>
  <c r="U18" i="12"/>
  <c r="U27" i="12" s="1"/>
  <c r="M18" i="12"/>
  <c r="S18" i="12"/>
  <c r="S26" i="12" s="1"/>
  <c r="S29" i="12" s="1"/>
  <c r="AA14" i="12"/>
  <c r="AE14" i="12" s="1"/>
  <c r="K16" i="12"/>
  <c r="K18" i="12" s="1"/>
  <c r="Y18" i="12"/>
  <c r="W18" i="12"/>
  <c r="W26" i="12" s="1"/>
  <c r="O18" i="12"/>
  <c r="AA22" i="12"/>
  <c r="M26" i="12" l="1"/>
  <c r="M25" i="12"/>
  <c r="W27" i="12"/>
  <c r="AE31" i="12"/>
  <c r="AC31" i="12"/>
  <c r="Y27" i="12"/>
  <c r="Y26" i="12"/>
  <c r="O27" i="12"/>
  <c r="O26" i="12"/>
  <c r="O25" i="12"/>
  <c r="M27" i="12"/>
  <c r="U26" i="12"/>
  <c r="K26" i="12"/>
  <c r="K25" i="12"/>
  <c r="AA18" i="12"/>
  <c r="AE18" i="12" s="1"/>
  <c r="AA16" i="12"/>
  <c r="K21" i="12"/>
  <c r="AA25" i="12" l="1"/>
  <c r="U29" i="12"/>
  <c r="Y29" i="12"/>
  <c r="M29" i="12"/>
  <c r="AA27" i="12"/>
  <c r="W29" i="12"/>
  <c r="AA21" i="12"/>
  <c r="K29" i="12"/>
  <c r="AA26" i="12"/>
  <c r="O29" i="12"/>
  <c r="AE25" i="12" l="1"/>
  <c r="AG25" i="12"/>
  <c r="AG26" i="12"/>
  <c r="AE26" i="12"/>
  <c r="AA29" i="12"/>
  <c r="AA34" i="12" l="1"/>
  <c r="AE29" i="12"/>
  <c r="AA36" i="12" l="1"/>
  <c r="AE34" i="12"/>
  <c r="AE36" i="12" l="1"/>
  <c r="M7" i="1"/>
  <c r="M14" i="1" s="1"/>
  <c r="J9" i="2"/>
  <c r="L9" i="2" s="1"/>
  <c r="J12" i="2" l="1"/>
  <c r="J52" i="2" s="1"/>
  <c r="J54" i="2" l="1"/>
  <c r="J73" i="2" s="1"/>
  <c r="J58" i="2"/>
  <c r="J60" i="2" s="1"/>
  <c r="J62" i="2" s="1"/>
  <c r="J64" i="2" s="1"/>
  <c r="J56" i="2" l="1"/>
  <c r="J66" i="2" s="1"/>
  <c r="J71" i="2" l="1"/>
  <c r="J75" i="2" s="1"/>
  <c r="C4" i="6" l="1"/>
  <c r="H17" i="6" l="1"/>
  <c r="G17" i="6" s="1"/>
  <c r="H13" i="44"/>
  <c r="G13" i="44" s="1"/>
  <c r="H9" i="44"/>
  <c r="G9" i="44" s="1"/>
  <c r="H19" i="44"/>
  <c r="G19" i="44" s="1"/>
  <c r="H10" i="44"/>
  <c r="G10" i="44" s="1"/>
  <c r="H18" i="44"/>
  <c r="G18" i="44" s="1"/>
  <c r="H12" i="44"/>
  <c r="G12" i="44" s="1"/>
  <c r="H16" i="44"/>
  <c r="H14" i="44"/>
  <c r="G14" i="44" s="1"/>
  <c r="H17" i="44"/>
  <c r="G17" i="44" s="1"/>
  <c r="H15" i="44"/>
  <c r="G15" i="44" s="1"/>
  <c r="H11" i="44"/>
  <c r="G11" i="44" s="1"/>
  <c r="H14" i="6" l="1"/>
  <c r="G14" i="6" s="1"/>
  <c r="H15" i="6"/>
  <c r="G15" i="6" s="1"/>
  <c r="H9" i="6"/>
  <c r="G9" i="6" s="1"/>
  <c r="H11" i="6"/>
  <c r="G11" i="6" s="1"/>
  <c r="H19" i="6"/>
  <c r="G19" i="6" s="1"/>
  <c r="H16" i="6"/>
  <c r="H18" i="6"/>
  <c r="G18" i="6" s="1"/>
  <c r="H12" i="6"/>
  <c r="G12" i="6" s="1"/>
  <c r="H10" i="6"/>
  <c r="G10" i="6" s="1"/>
  <c r="H13" i="6"/>
  <c r="G13" i="6" s="1"/>
  <c r="H21" i="44"/>
  <c r="H21" i="6" l="1"/>
</calcChain>
</file>

<file path=xl/comments1.xml><?xml version="1.0" encoding="utf-8"?>
<comments xmlns="http://schemas.openxmlformats.org/spreadsheetml/2006/main">
  <authors>
    <author>Buck, Glenn W.</author>
  </authors>
  <commentList>
    <comment ref="B10" authorId="0">
      <text>
        <r>
          <rPr>
            <b/>
            <sz val="9"/>
            <color indexed="81"/>
            <rFont val="Tahoma"/>
            <family val="2"/>
          </rPr>
          <t>Buck, Glenn W.:</t>
        </r>
        <r>
          <rPr>
            <sz val="9"/>
            <color indexed="81"/>
            <rFont val="Tahoma"/>
            <family val="2"/>
          </rPr>
          <t xml:space="preserve">
This includes 1 addition from FY 2013.
</t>
        </r>
      </text>
    </comment>
  </commentList>
</comments>
</file>

<file path=xl/comments2.xml><?xml version="1.0" encoding="utf-8"?>
<comments xmlns="http://schemas.openxmlformats.org/spreadsheetml/2006/main">
  <authors>
    <author>Grisham, Jennifer</author>
  </authors>
  <commentList>
    <comment ref="AB3" authorId="0">
      <text>
        <r>
          <rPr>
            <b/>
            <sz val="9"/>
            <color indexed="81"/>
            <rFont val="Tahoma"/>
            <family val="2"/>
          </rPr>
          <t>Grisham, Jennifer:</t>
        </r>
        <r>
          <rPr>
            <sz val="9"/>
            <color indexed="81"/>
            <rFont val="Tahoma"/>
            <family val="2"/>
          </rPr>
          <t xml:space="preserve">
changed to 2/12 to 2.5/12 to reflect def taxes thru 12/15/16
</t>
        </r>
      </text>
    </comment>
  </commentList>
</comments>
</file>

<file path=xl/sharedStrings.xml><?xml version="1.0" encoding="utf-8"?>
<sst xmlns="http://schemas.openxmlformats.org/spreadsheetml/2006/main" count="35532" uniqueCount="1146">
  <si>
    <t>Services</t>
  </si>
  <si>
    <t>Gross Additions</t>
  </si>
  <si>
    <t>Accumulated</t>
  </si>
  <si>
    <t>Depreciation</t>
  </si>
  <si>
    <t xml:space="preserve">Annual </t>
  </si>
  <si>
    <t>Depreciation Expense</t>
  </si>
  <si>
    <t>Clamps/Cathodic Protection</t>
  </si>
  <si>
    <t>Measuring &amp; Regulating Station Equipment</t>
  </si>
  <si>
    <t>Transfer of Services</t>
  </si>
  <si>
    <t>Additions</t>
  </si>
  <si>
    <t>Retirements</t>
  </si>
  <si>
    <t>Total Retirements</t>
  </si>
  <si>
    <t>Annual</t>
  </si>
  <si>
    <t>Total ISRS Retirements</t>
  </si>
  <si>
    <t>Laclede Gas Company</t>
  </si>
  <si>
    <t>ISRS Revenue Requirement Calculation</t>
  </si>
  <si>
    <t>ISRS Activity:</t>
  </si>
  <si>
    <t>Accumulated Depreciation</t>
  </si>
  <si>
    <t>Deferred Taxes</t>
  </si>
  <si>
    <t>Work Orders Placed in Service</t>
  </si>
  <si>
    <t>Gas Utility Plant Projects - Service Line Replacements and Insertion Projects:</t>
  </si>
  <si>
    <t>Total Net</t>
  </si>
  <si>
    <t>Total ISRS Rate Base</t>
  </si>
  <si>
    <t>Capital Structure/Rate of Return for ISRS</t>
  </si>
  <si>
    <t>% of Cap Structure</t>
  </si>
  <si>
    <t>Embedded Cost</t>
  </si>
  <si>
    <t>Weighted Cost</t>
  </si>
  <si>
    <t>LTD</t>
  </si>
  <si>
    <t>Average</t>
  </si>
  <si>
    <t>UOI Required</t>
  </si>
  <si>
    <t>Income Tax Conversion Factor</t>
  </si>
  <si>
    <t>Revenue Requirement Before Interest Deductibility</t>
  </si>
  <si>
    <t>Marginal Income Tax Rate</t>
  </si>
  <si>
    <t>Income Tax Reduction due to Interest</t>
  </si>
  <si>
    <t>Revenue Requirement Impact of Interest Deductibility</t>
  </si>
  <si>
    <t>Total Revenue Requirement on Capital</t>
  </si>
  <si>
    <t>ISRS Depreciation Expense</t>
  </si>
  <si>
    <t>Regulator Stations</t>
  </si>
  <si>
    <t>Main Replacements</t>
  </si>
  <si>
    <t>Service Line Replacements and Insertion Projects</t>
  </si>
  <si>
    <t>Gas Utility Plant Projects - Regulator Stations:</t>
  </si>
  <si>
    <t>Annual Depreciation</t>
  </si>
  <si>
    <t>Total</t>
  </si>
  <si>
    <t>Total Net Increase in Depreciation Expense</t>
  </si>
  <si>
    <t>Interest Deduction</t>
  </si>
  <si>
    <t>Total ISRS Revenues</t>
  </si>
  <si>
    <t>ISRS Rate Design</t>
  </si>
  <si>
    <t>Residential</t>
  </si>
  <si>
    <t>C&amp;I 1</t>
  </si>
  <si>
    <t>C&amp;I 2</t>
  </si>
  <si>
    <t>C&amp;I 3</t>
  </si>
  <si>
    <t>LV</t>
  </si>
  <si>
    <t>Interruptible</t>
  </si>
  <si>
    <t>Gas Light</t>
  </si>
  <si>
    <t>Vehicular Fuel</t>
  </si>
  <si>
    <t>Liquid Propane</t>
  </si>
  <si>
    <t>Customer</t>
  </si>
  <si>
    <t>Charge</t>
  </si>
  <si>
    <t>Weighted</t>
  </si>
  <si>
    <t>Percentage</t>
  </si>
  <si>
    <t>Number of</t>
  </si>
  <si>
    <t>Customer Charge</t>
  </si>
  <si>
    <t>Customer Nos.</t>
  </si>
  <si>
    <t xml:space="preserve">ISRS </t>
  </si>
  <si>
    <t>ISRS</t>
  </si>
  <si>
    <t>Revenues</t>
  </si>
  <si>
    <t>Customer Rate Class</t>
  </si>
  <si>
    <t>Mains - Replacements</t>
  </si>
  <si>
    <t>Mains - Relocations</t>
  </si>
  <si>
    <t>Total ISRS Eligible Property Additions</t>
  </si>
  <si>
    <t>Ratio to</t>
  </si>
  <si>
    <t>Gas Utility Plant Projects - Main Replacements and Other Projects Extending Useful Life of Mains:</t>
  </si>
  <si>
    <t>Adjusted Tax Basis on Additions</t>
  </si>
  <si>
    <t>Tax Depreciation On Adj. Basis</t>
  </si>
  <si>
    <t>Total Tax Depreciation</t>
  </si>
  <si>
    <t>Total Book Depreciation</t>
  </si>
  <si>
    <t xml:space="preserve">Difference Between Book and </t>
  </si>
  <si>
    <t>Tax Depreciation</t>
  </si>
  <si>
    <t>Mains Reinforcement</t>
  </si>
  <si>
    <t>Main Relocations</t>
  </si>
  <si>
    <t>Main Replacements, etc.</t>
  </si>
  <si>
    <t>Main Reinforcements</t>
  </si>
  <si>
    <t>Main Relocations net of Reimbursements</t>
  </si>
  <si>
    <t>Customers*</t>
  </si>
  <si>
    <t>Gas Utility Plant Projects - Main Reinforcements Related to Other ISRS Eligible Projects:</t>
  </si>
  <si>
    <t>MAIN REPLACEMENTS - ADDITIONS</t>
  </si>
  <si>
    <t>PLANT</t>
  </si>
  <si>
    <t>WORK</t>
  </si>
  <si>
    <t>BUDGET</t>
  </si>
  <si>
    <t>IN SERVICE</t>
  </si>
  <si>
    <t>ADDITION</t>
  </si>
  <si>
    <t xml:space="preserve">DEPR. </t>
  </si>
  <si>
    <t>ACCUM .</t>
  </si>
  <si>
    <t>DEPR.</t>
  </si>
  <si>
    <t>ACCOUNT</t>
  </si>
  <si>
    <t>ORDER</t>
  </si>
  <si>
    <t>PROJECT</t>
  </si>
  <si>
    <t>DESCRIPTION</t>
  </si>
  <si>
    <t>DATE</t>
  </si>
  <si>
    <t>AMOUNT</t>
  </si>
  <si>
    <t>MONTHS</t>
  </si>
  <si>
    <t>MO. RATE</t>
  </si>
  <si>
    <t>EXPENSE</t>
  </si>
  <si>
    <t>SERVICE TRANSFER WORK ORDERS</t>
  </si>
  <si>
    <t>RELATED</t>
  </si>
  <si>
    <t>WORK ORDER</t>
  </si>
  <si>
    <t>DEPR .</t>
  </si>
  <si>
    <t>TOTAL</t>
  </si>
  <si>
    <t>Total Main Replacements and Other Projects Extending Useful Life of Mains</t>
  </si>
  <si>
    <t>SERVICE LINE REPLACEMENTS AND INSERTION PROJECTS - ADDITIONS</t>
  </si>
  <si>
    <t>Total Service Line Replacements and Insertion Projects:</t>
  </si>
  <si>
    <t>REGULATOR STATIONS - ADDITIONS</t>
  </si>
  <si>
    <t>Total Regulator Station Replacements</t>
  </si>
  <si>
    <t>MAIN RELOCATIONS NET OF REIMBURSEMENTS - NET ADDITIONS</t>
  </si>
  <si>
    <t>Total Main Relocations Net of Reimbursements</t>
  </si>
  <si>
    <t>MAIN REINFORCEMENTS RELATED TO OTHER ISRS ELIGIBLE PROJECTS</t>
  </si>
  <si>
    <t>ACCOUNT 376__ MAINS REINFORCEMENTS RELATED TO OTHER ISRS ELIGIBLE PROJECTS</t>
  </si>
  <si>
    <t>Total Main Reinforcements related to other ISRS-eligible projects</t>
  </si>
  <si>
    <t>Total ISRS-Eligible Additions</t>
  </si>
  <si>
    <t>MAIN REPLACEMENTS - RETIREMENTS</t>
  </si>
  <si>
    <t>MAINS - PLASTIC - RETIREMENTS - MAIN REPLACEMENTS</t>
  </si>
  <si>
    <t>RETIREMENT</t>
  </si>
  <si>
    <t>CWO</t>
  </si>
  <si>
    <t xml:space="preserve">DEPR.  </t>
  </si>
  <si>
    <t>MAINS - CAST IRON - RETIREMENTS - MAIN REPLACEMENTS</t>
  </si>
  <si>
    <t>TOTAL - MAINS - CAST IRON - RETIREMENTS - MAIN REPLACEMENTS</t>
  </si>
  <si>
    <t>MAINS - STEEL - RETIREMENTS - MAIN REPLACEMENTS</t>
  </si>
  <si>
    <t>TOTAL MAINS - STEEL - RETIREMENTS - MAIN REPLACEMENTS</t>
  </si>
  <si>
    <t>TOTAL MAIN RETIREMENTS - MAIN REPLACEMENTS</t>
  </si>
  <si>
    <t>RETIREMENT OF SERVICES</t>
  </si>
  <si>
    <t>TOTAL RETIREMENTS - SERVICES</t>
  </si>
  <si>
    <t>RETIREMENTS - MAIN RELOCATIONS</t>
  </si>
  <si>
    <t>TOTAL MAINS - PLASTIC - RETIREMENTS - MAIN RELOCATIONS</t>
  </si>
  <si>
    <t>MAINS - CAST IRON - RETIREMENTS - MAIN RELOCATIONS</t>
  </si>
  <si>
    <t xml:space="preserve">EXPENSE </t>
  </si>
  <si>
    <t>TOTAL MAINS - CAST IRON - RETIREMENTS - MAIN RELOCATIONS</t>
  </si>
  <si>
    <t>MAINS - STEEL - RETIREMENTS - MAIN RELOCATIONS</t>
  </si>
  <si>
    <t xml:space="preserve"> TOTAL MAINS - STEEL - RETIREMENTS - MAIN RELOCATIONS</t>
  </si>
  <si>
    <t>TOTAL MAIN RETIREMENTS - MAIN RELOCATIONS</t>
  </si>
  <si>
    <t>TOTAL RETIREMENTS - ISRS ELIGIBLE PROPERTY</t>
  </si>
  <si>
    <t>Appendix B</t>
  </si>
  <si>
    <t>Page 11 of 12</t>
  </si>
  <si>
    <t>Transportation</t>
  </si>
  <si>
    <t>Transportation - Other**</t>
  </si>
  <si>
    <t>**Single customers with multiple accounts located on contiguous property.</t>
  </si>
  <si>
    <t>Trans - Other</t>
  </si>
  <si>
    <t>MAIN REPLACEMENTS/RELOCATIONS - ADDITIONS</t>
  </si>
  <si>
    <t>Fiscal Year</t>
  </si>
  <si>
    <t>Replacements</t>
  </si>
  <si>
    <t>Relocations</t>
  </si>
  <si>
    <t xml:space="preserve"> </t>
  </si>
  <si>
    <t>TOTAL - MAINS - PLASTIC - RETIREMENTS - MAIN REPLACEMENTS</t>
  </si>
  <si>
    <t>MAINS - PLASTIC - RETIREMENTS - MAIN RELOCATIONS</t>
  </si>
  <si>
    <t>Current</t>
  </si>
  <si>
    <t>In Svc. Dt.</t>
  </si>
  <si>
    <t>Months</t>
  </si>
  <si>
    <t>Monthly Customer Numbers by Class</t>
  </si>
  <si>
    <t>15 Year Life</t>
  </si>
  <si>
    <t>20 Year Life</t>
  </si>
  <si>
    <t>MACRS Life</t>
  </si>
  <si>
    <t>MACRS life</t>
  </si>
  <si>
    <t>BP*</t>
  </si>
  <si>
    <t>Total Company ISRS Revenues</t>
  </si>
  <si>
    <t>Total Staff Expected ISRS Revenues</t>
  </si>
  <si>
    <t>Average of Company and Staff Recommendations</t>
  </si>
  <si>
    <t>FY 2007</t>
  </si>
  <si>
    <t>RETIREMENT - REGULATOR STATIONS</t>
  </si>
  <si>
    <t>TOTAL RETIREMENTS - REGULATOR STATIONS</t>
  </si>
  <si>
    <t>Preferred Stock</t>
  </si>
  <si>
    <t>Common Equity</t>
  </si>
  <si>
    <t>Tax Multiplier</t>
  </si>
  <si>
    <t>Composite Weighted Cost of Debt</t>
  </si>
  <si>
    <t>Total Capital *</t>
  </si>
  <si>
    <t>Deferred</t>
  </si>
  <si>
    <t>BONUS CODES:</t>
  </si>
  <si>
    <t>C - 0%</t>
  </si>
  <si>
    <t>B - 50%</t>
  </si>
  <si>
    <t>E - Blankets</t>
  </si>
  <si>
    <t>Increase in Accumulated Deferred Income Taxes and Accumulated Depreciation</t>
  </si>
  <si>
    <t>Associated with Eligible Infrastructure System Replacements which are included in a</t>
  </si>
  <si>
    <t>Currently Effective ISRS</t>
  </si>
  <si>
    <t>Total Incremental Accumulated Depreciation</t>
  </si>
  <si>
    <t>Total Incremental Accumulated Deferred Taxes</t>
  </si>
  <si>
    <t>Bonus Code</t>
  </si>
  <si>
    <t>C</t>
  </si>
  <si>
    <t>E</t>
  </si>
  <si>
    <t>Bonus</t>
  </si>
  <si>
    <t>Code</t>
  </si>
  <si>
    <t>A</t>
  </si>
  <si>
    <t>B</t>
  </si>
  <si>
    <t>50% Bonus</t>
  </si>
  <si>
    <t>0% Bonus</t>
  </si>
  <si>
    <t>* Eff. 2/1/08 - All Blankets go to Bonus Code B per Tax Accounting</t>
  </si>
  <si>
    <t>Bonus Depreciation</t>
  </si>
  <si>
    <t>Bonus Depreciation for Period</t>
  </si>
  <si>
    <t xml:space="preserve">Bonus Depreciation for Period </t>
  </si>
  <si>
    <t>For Services, Regulator Stations, and Main Reinforcements</t>
  </si>
  <si>
    <t>Gets 50% bonus code if meets the following criteria:</t>
  </si>
  <si>
    <t>(2) Blanket work order (starts with 69)</t>
  </si>
  <si>
    <t>(1) In service date of Feb-08 or later - to capture month lag convention in Tax.</t>
  </si>
  <si>
    <t>Blanket</t>
  </si>
  <si>
    <t>WO</t>
  </si>
  <si>
    <t>In-Service</t>
  </si>
  <si>
    <t>Date</t>
  </si>
  <si>
    <t>Service Transfer Work Orders</t>
  </si>
  <si>
    <t>Mains Cast Iron Leak Clamps</t>
  </si>
  <si>
    <t>Regulator Stations - Additions</t>
  </si>
  <si>
    <t>Main Reinforcements Related to Other ISRS Projects</t>
  </si>
  <si>
    <t>15-year MACRS</t>
  </si>
  <si>
    <t>20-year MACRS</t>
  </si>
  <si>
    <t>ACCOUNT 376__ PLASTIC MAINS REINFORCEMENT RELATED TO RELOCATION OF GAS MAIN</t>
  </si>
  <si>
    <t>Depreciation for the period</t>
  </si>
  <si>
    <t>Gas Utility Plant Projects - Main Relocations net of Reimbursements:</t>
  </si>
  <si>
    <t>for Plant in Service</t>
  </si>
  <si>
    <t>FISCAL</t>
  </si>
  <si>
    <t>YEAR</t>
  </si>
  <si>
    <t>Distribution Plant - Services - Renewed</t>
  </si>
  <si>
    <t>Distribution Plant - Mains - Replacement</t>
  </si>
  <si>
    <t>BP34</t>
  </si>
  <si>
    <t>Distribution Plant - Mains - Relocation</t>
  </si>
  <si>
    <t>Total Distribution Plant - Mains - Relocation</t>
  </si>
  <si>
    <t>Fiscal</t>
  </si>
  <si>
    <t>Year</t>
  </si>
  <si>
    <t>na</t>
  </si>
  <si>
    <t>ISRS Deferred Taxes — Rate Base Reduction</t>
  </si>
  <si>
    <t>G</t>
  </si>
  <si>
    <t>G - 100%</t>
  </si>
  <si>
    <t>100% Bonus</t>
  </si>
  <si>
    <t>G &amp; E</t>
  </si>
  <si>
    <t>Overall Rate of Return per GR-2010-0171</t>
  </si>
  <si>
    <t>Weighted Cost of Debt per GR-2010-0171</t>
  </si>
  <si>
    <t xml:space="preserve">Laclede Gas Company </t>
  </si>
  <si>
    <t xml:space="preserve"> ISRS Calculation of Property Taxes</t>
  </si>
  <si>
    <t>DISTRIBUTION REAL ESTATE</t>
  </si>
  <si>
    <t>Service Additions</t>
  </si>
  <si>
    <t>Total Service Additions</t>
  </si>
  <si>
    <t>Specific Real Additions</t>
  </si>
  <si>
    <t>376.10</t>
  </si>
  <si>
    <t>Mains - 376s</t>
  </si>
  <si>
    <t>Total Specific Additions</t>
  </si>
  <si>
    <t>Mains - Cast Iron</t>
  </si>
  <si>
    <t>Mains - Steel</t>
  </si>
  <si>
    <t>Mains - Plastic</t>
  </si>
  <si>
    <t>Net Real Estate</t>
  </si>
  <si>
    <t>Assessment Rate</t>
  </si>
  <si>
    <t>Assessed Value</t>
  </si>
  <si>
    <t>Real Estate Rate/$100</t>
  </si>
  <si>
    <t>Real Estate Taxes</t>
  </si>
  <si>
    <t>DISTRIBUTION PERSONAL PROPERTY</t>
  </si>
  <si>
    <t>378.00</t>
  </si>
  <si>
    <t>379.00</t>
  </si>
  <si>
    <t>Total Specific Personal</t>
  </si>
  <si>
    <t>Specific Personal Retirements</t>
  </si>
  <si>
    <t>Net Personal Property</t>
  </si>
  <si>
    <t>Personal Prop. Rate/$100</t>
  </si>
  <si>
    <t>Personal Property Taxes</t>
  </si>
  <si>
    <t>Total Property Taxes</t>
  </si>
  <si>
    <t>REAL ESTATE, PERSONAL PROPERTY AND MANUFACTURERS TAXES</t>
  </si>
  <si>
    <t>ASSESSED VALUE</t>
  </si>
  <si>
    <t>CITY OF ST LOUIS:</t>
  </si>
  <si>
    <t>REAL PROPERTY</t>
  </si>
  <si>
    <t>PERSONAL PROPERTY</t>
  </si>
  <si>
    <t>SUBTOTAL CITY</t>
  </si>
  <si>
    <t>ST LOUIS COUNTY:</t>
  </si>
  <si>
    <t>REAL ESTATE</t>
  </si>
  <si>
    <t>DIST. PROP. - RE</t>
  </si>
  <si>
    <t>CHESTERFIELD/MONARCH LEVEE</t>
  </si>
  <si>
    <t>HOWARD BEND LEVEE</t>
  </si>
  <si>
    <t>RIVERPORT LEVEE</t>
  </si>
  <si>
    <t>CITY AND VILLAGE PP</t>
  </si>
  <si>
    <t>SUBTOTAL COUNTY</t>
  </si>
  <si>
    <t>ST CHARLES COUNTY:</t>
  </si>
  <si>
    <t>NORTH COUNTY LEVEE</t>
  </si>
  <si>
    <t>SUBTOTAL STC CNTY</t>
  </si>
  <si>
    <t>ST CHARLES DIVISION</t>
  </si>
  <si>
    <t>WARREN COUNTY</t>
  </si>
  <si>
    <t>MONAT DIVISION:</t>
  </si>
  <si>
    <t>FRANKLIN COUNTY:</t>
  </si>
  <si>
    <t>DIST. PROP. - PP</t>
  </si>
  <si>
    <t>MIDWEST DIVISION</t>
  </si>
  <si>
    <t>MFGR. LICENSE:</t>
  </si>
  <si>
    <t>COUNTY (UTIL AMT ONLY)</t>
  </si>
  <si>
    <t>CITY (UTIL AMT ONLY)</t>
  </si>
  <si>
    <t>SUBTOTAL AD VALOREM</t>
  </si>
  <si>
    <t>LACLEDE PIPELINE</t>
  </si>
  <si>
    <t>CITY REAL ESTATE</t>
  </si>
  <si>
    <t>COUNTY REAL ESTATE</t>
  </si>
  <si>
    <t>COUNTY PERSONAL PROPERTY</t>
  </si>
  <si>
    <t>TOTAL PIPELINE</t>
  </si>
  <si>
    <t>LACLEDE ENERGY</t>
  </si>
  <si>
    <t>CITY PERSONAL PROPERTY</t>
  </si>
  <si>
    <t>LACLEDE VENTURE</t>
  </si>
  <si>
    <t>COUNTY MFGRS/PERS. PROP.</t>
  </si>
  <si>
    <t>TOTAL ALL</t>
  </si>
  <si>
    <t>Assessed</t>
  </si>
  <si>
    <t>Subs</t>
  </si>
  <si>
    <t>RATES</t>
  </si>
  <si>
    <t>APPURTENANCES (RE)</t>
  </si>
  <si>
    <t>CITY AND VILLAGE</t>
  </si>
  <si>
    <t>Total Real Estate</t>
  </si>
  <si>
    <t>FRANKLIN DIVISION:</t>
  </si>
  <si>
    <t>DIST PROP. - PP</t>
  </si>
  <si>
    <t>Total Personal Property</t>
  </si>
  <si>
    <t>Taxes</t>
  </si>
  <si>
    <t>ACCOUNT 37800 MEASURING &amp; REGULATING STATION EQUIPMENT</t>
  </si>
  <si>
    <t>Deferred Income Taxes (@38.5272%)</t>
  </si>
  <si>
    <t>MACRS Rates</t>
  </si>
  <si>
    <t>Year 1</t>
  </si>
  <si>
    <t>Year 2</t>
  </si>
  <si>
    <t>Year 3</t>
  </si>
  <si>
    <t>Year 4</t>
  </si>
  <si>
    <t>15 yr</t>
  </si>
  <si>
    <t>20 yr</t>
  </si>
  <si>
    <t>#Months</t>
  </si>
  <si>
    <t># Months</t>
  </si>
  <si>
    <t>Page 12 of 15</t>
  </si>
  <si>
    <t>Case GR-2013-0171</t>
  </si>
  <si>
    <t>* Reflects Stipulation and Agreement in GR-2013-0171, Late Filed Exhibit 1</t>
  </si>
  <si>
    <t>376300-Mains - Plastic</t>
  </si>
  <si>
    <t>3301L</t>
  </si>
  <si>
    <t>698000</t>
  </si>
  <si>
    <t>69800 MAIN VAR INST MTCE</t>
  </si>
  <si>
    <t>376100-Mains - Steel</t>
  </si>
  <si>
    <t>699220</t>
  </si>
  <si>
    <t>69922 MAIN PLS INST MTCE</t>
  </si>
  <si>
    <t>699500</t>
  </si>
  <si>
    <t>69950 MAIN STL INST MTCE</t>
  </si>
  <si>
    <t>699720</t>
  </si>
  <si>
    <t>69972 MAIN PLS INST MTCE</t>
  </si>
  <si>
    <t>3304L</t>
  </si>
  <si>
    <t>3303L</t>
  </si>
  <si>
    <t>3403L</t>
  </si>
  <si>
    <t>376200-Mains - Cast Iron</t>
  </si>
  <si>
    <t>699010</t>
  </si>
  <si>
    <t>3503L</t>
  </si>
  <si>
    <t>69901 MN LEAK CLAMPS CTY</t>
  </si>
  <si>
    <t>699510</t>
  </si>
  <si>
    <t>69951 MN LEAK CLAMPS CO</t>
  </si>
  <si>
    <t>697390</t>
  </si>
  <si>
    <t>3501M</t>
  </si>
  <si>
    <t>69739 CATHODIC PROT MAIN</t>
  </si>
  <si>
    <t>ACCOUNT 37620 MAINS CAST IRON LEAK CLAMPS</t>
  </si>
  <si>
    <t>ACCOUNT 37670 MAINS CATHODIC PROTECTION</t>
  </si>
  <si>
    <t>3403M</t>
  </si>
  <si>
    <t>3401L</t>
  </si>
  <si>
    <t>ACCOUNT 38020 SERVICES PLASTIC &amp; COPPER</t>
  </si>
  <si>
    <t>380200-Services - Plastic &amp; Copper</t>
  </si>
  <si>
    <t>695300</t>
  </si>
  <si>
    <t>69530 SVC REN 1/2 PL SO</t>
  </si>
  <si>
    <t>695310</t>
  </si>
  <si>
    <t>69531 SV REN 1IN PL SO</t>
  </si>
  <si>
    <t>695320</t>
  </si>
  <si>
    <t>69532 SV REN 1 1/4 PL SO</t>
  </si>
  <si>
    <t>695330</t>
  </si>
  <si>
    <t>69533 SV REN 2&amp;OVR PL SO</t>
  </si>
  <si>
    <t>695800</t>
  </si>
  <si>
    <t>69580 SVC REN 1/2 PL NO</t>
  </si>
  <si>
    <t>695810</t>
  </si>
  <si>
    <t>69581 SV REN 1IN PL NO</t>
  </si>
  <si>
    <t>695820</t>
  </si>
  <si>
    <t>69582 SV REN 1 1/4 PL NO</t>
  </si>
  <si>
    <t>695830</t>
  </si>
  <si>
    <t>69583 SV REN 2&amp;OVR PL NO</t>
  </si>
  <si>
    <t>695840</t>
  </si>
  <si>
    <t>69584 RNW COPPER SVCS-NORTH</t>
  </si>
  <si>
    <t>696400</t>
  </si>
  <si>
    <t>69640 SVC REN COR TRFR MIDW</t>
  </si>
  <si>
    <t>696450</t>
  </si>
  <si>
    <t>69645 SVC REN 1/2 PL MW</t>
  </si>
  <si>
    <t>697450</t>
  </si>
  <si>
    <t>69745 SVC REN 1/2 PL MN</t>
  </si>
  <si>
    <t>697460</t>
  </si>
  <si>
    <t>69746 SVC RNW 1IN PL  MN</t>
  </si>
  <si>
    <t>697480</t>
  </si>
  <si>
    <t>69748 SVC RNW 2" &amp; OVR MN</t>
  </si>
  <si>
    <t>698400</t>
  </si>
  <si>
    <t>69840 SVC RNW COR TRFR STCH</t>
  </si>
  <si>
    <t>698450</t>
  </si>
  <si>
    <t>69845 SVC RNW 1/2 PL  SC</t>
  </si>
  <si>
    <t>698460</t>
  </si>
  <si>
    <t>69846 SVC RNW 1IN PL  SC</t>
  </si>
  <si>
    <t>698470</t>
  </si>
  <si>
    <t>69847 SV RNW 1-1/4 PL SC</t>
  </si>
  <si>
    <t>698480</t>
  </si>
  <si>
    <t>69848 SV RNW 2&amp;OVR PL SC</t>
  </si>
  <si>
    <t>699300</t>
  </si>
  <si>
    <t>69930 SVC REN 1/2 PL CTY</t>
  </si>
  <si>
    <t>699310</t>
  </si>
  <si>
    <t>69931 SVC REN 1IN PL CTY</t>
  </si>
  <si>
    <t>699320</t>
  </si>
  <si>
    <t>69932 SVC REN 1 1/4 PL C</t>
  </si>
  <si>
    <t>699330</t>
  </si>
  <si>
    <t>69933 SVC REN 2&amp;OVR PL C</t>
  </si>
  <si>
    <t>699400</t>
  </si>
  <si>
    <t>69940 SVC REN COR TRANSFER CI</t>
  </si>
  <si>
    <t>699410</t>
  </si>
  <si>
    <t>69941 SVC REN COR TRANSFER CO</t>
  </si>
  <si>
    <t>695160</t>
  </si>
  <si>
    <t>69516 SVC RENEW STEEL SO</t>
  </si>
  <si>
    <t>695660</t>
  </si>
  <si>
    <t>69566 SVC RENEW STEEL NO</t>
  </si>
  <si>
    <t>698300</t>
  </si>
  <si>
    <t>69830 SVC RENEW STEEL SC</t>
  </si>
  <si>
    <t>699160</t>
  </si>
  <si>
    <t>69916 SVC RENEW STEEL C</t>
  </si>
  <si>
    <t>380100-Services - Steel</t>
  </si>
  <si>
    <t>696300</t>
  </si>
  <si>
    <t>69630 SVC RENEW STEEL MW</t>
  </si>
  <si>
    <t>ACCOUNT 38010 SERVICES STEEL</t>
  </si>
  <si>
    <t>ACCOUNT 379000 MEASURING &amp; REGULATING STATION EQUIPMENT - CITY GATE</t>
  </si>
  <si>
    <t>378000-Meas &amp; Reg Station Equipment</t>
  </si>
  <si>
    <t xml:space="preserve"> LACLEDE DIVISION</t>
  </si>
  <si>
    <t>379000-Meas &amp; Reg Station Eqpt-City</t>
  </si>
  <si>
    <t xml:space="preserve">ACCOUNT 38010 SERVICES STEEL </t>
  </si>
  <si>
    <t>3303M</t>
  </si>
  <si>
    <t>ACCOUNT 37900 MEASURING &amp; REGULATING STATION EQUIPMENT - CITY GATE</t>
  </si>
  <si>
    <t>ACTUAL RATE</t>
  </si>
  <si>
    <t>CHESTERFILED/MONARCH LEVEE</t>
  </si>
  <si>
    <t>ST CHARLES COUNTY (Incl. St. Charles Div):</t>
  </si>
  <si>
    <t>REAL ESTATE - ACTUAL</t>
  </si>
  <si>
    <t>MONAT DIVISION</t>
  </si>
  <si>
    <t>SUBTOTAL MONAT</t>
  </si>
  <si>
    <t>FRANKLIN COUNTY</t>
  </si>
  <si>
    <t>SUBTOTAL FRANKLIN COUNTY</t>
  </si>
  <si>
    <t>SUBTOTAL MIDWEST</t>
  </si>
  <si>
    <t>SUBTOTAL MFGR. LICENSE</t>
  </si>
  <si>
    <t>TOTAL LACLEDE ENERGY</t>
  </si>
  <si>
    <t>LER STORAGE SERVICES</t>
  </si>
  <si>
    <t>LOUISIANA BIENVILLE PARISH</t>
  </si>
  <si>
    <t>CITY OF ARCARDIA</t>
  </si>
  <si>
    <t>LOUISIANA PROPERTY</t>
  </si>
  <si>
    <t>CY 2013</t>
  </si>
  <si>
    <t>ACCOUNT 376XX MAINS CAST IRON LEAK CLAMPS AND CATHOTIC PROTECTION LACLEDE DIVISION</t>
  </si>
  <si>
    <t>001172</t>
  </si>
  <si>
    <t>Refresh TM Regulator Stations</t>
  </si>
  <si>
    <t>Upgrade ER System Equipment</t>
  </si>
  <si>
    <t>606330</t>
  </si>
  <si>
    <t>60633 Inst Reg Sta Jefferson-Rut</t>
  </si>
  <si>
    <t/>
  </si>
  <si>
    <t>340RL</t>
  </si>
  <si>
    <t>ISRS Filing</t>
  </si>
  <si>
    <t>Incremental Accumulated Deferred Income Taxes and Accumulated Depreciation</t>
  </si>
  <si>
    <t xml:space="preserve">Accumulated </t>
  </si>
  <si>
    <t>Income Taxes</t>
  </si>
  <si>
    <t>Incremental Change</t>
  </si>
  <si>
    <t>TOTAL INCREMENTAL CHANGE</t>
  </si>
  <si>
    <t>STATE OR FEDERAL</t>
  </si>
  <si>
    <t>STATUTE</t>
  </si>
  <si>
    <t>SAFETY REQUIREMENT</t>
  </si>
  <si>
    <t>a</t>
  </si>
  <si>
    <t xml:space="preserve">A, B, C, K </t>
  </si>
  <si>
    <t>900266</t>
  </si>
  <si>
    <t>Inst 4640F 2P Baden Ph 5C</t>
  </si>
  <si>
    <t>900395</t>
  </si>
  <si>
    <t>900723</t>
  </si>
  <si>
    <t>900508</t>
  </si>
  <si>
    <t>Rel w/ 127F 2P Dearborn</t>
  </si>
  <si>
    <t>900813</t>
  </si>
  <si>
    <t>Rel w/ 700F 2P Froesel</t>
  </si>
  <si>
    <t>900233</t>
  </si>
  <si>
    <t>900147</t>
  </si>
  <si>
    <t>Inst 2270F Route 364-Final Phase</t>
  </si>
  <si>
    <t>900602</t>
  </si>
  <si>
    <t>Rel w/ 24F 8S Natural Bridge</t>
  </si>
  <si>
    <t>647910</t>
  </si>
  <si>
    <t>64791 225F 2P S MAIN ST</t>
  </si>
  <si>
    <t>003304</t>
  </si>
  <si>
    <t>Replace Osceola &amp; Virginia Reg Sta</t>
  </si>
  <si>
    <t>Replace odorant tanks on MoNat Sys</t>
  </si>
  <si>
    <t xml:space="preserve">Rel w/ 1924F 6P Fee Fee Road </t>
  </si>
  <si>
    <t xml:space="preserve">Rel w/ 3350F 2P Valley Park </t>
  </si>
  <si>
    <t>Sept 1 - Sept 30, 2014</t>
  </si>
  <si>
    <t>Oct 1, 2014 - Feb 28, 2015</t>
  </si>
  <si>
    <t>FY 2013</t>
  </si>
  <si>
    <t>Telemetry</t>
  </si>
  <si>
    <t xml:space="preserve">     FY 2013 </t>
  </si>
  <si>
    <t xml:space="preserve">    Fiscal Year 2013 (Sept 1 - Sept 30)</t>
  </si>
  <si>
    <t>OK - WOODS COUNTY</t>
  </si>
  <si>
    <t>LOUISIANA OCACHITA PARISH</t>
  </si>
  <si>
    <t>LOUISIANA FRANKLIN PARISH</t>
  </si>
  <si>
    <t>Additional Depreciation</t>
  </si>
  <si>
    <t>Previous Amount</t>
  </si>
  <si>
    <t>2013 ISRS Property Taxes as Updated</t>
  </si>
  <si>
    <t>Net Property Taxes</t>
  </si>
  <si>
    <t>Legend for State or Federal Safety Requirements</t>
  </si>
  <si>
    <t>Regulatory Section Description</t>
  </si>
  <si>
    <t xml:space="preserve">Description of Capital Expenditure Rehabilitation or Replacement </t>
  </si>
  <si>
    <t>393.130 RSMo</t>
  </si>
  <si>
    <t>Safe and Adequate Service</t>
  </si>
  <si>
    <t>Replace, repair or remove unsafe pipeline segments</t>
  </si>
  <si>
    <t>4 CSR 240-40.030(13)(B)</t>
  </si>
  <si>
    <t>General Requirements for Maintenance</t>
  </si>
  <si>
    <t>4 CSR 240-40.030(15)</t>
  </si>
  <si>
    <t>Replacement Programs</t>
  </si>
  <si>
    <t>Replacement program requirements for certain pipelines</t>
  </si>
  <si>
    <t>D</t>
  </si>
  <si>
    <t>4 CSR 240-40.030(14)</t>
  </si>
  <si>
    <t>Gas Leaks</t>
  </si>
  <si>
    <t>Repair of system leaks through pipeline rehabilitation and replacements</t>
  </si>
  <si>
    <t>4 CSR 240-40.030(9)(T) and (U)</t>
  </si>
  <si>
    <t>Corrosion Control</t>
  </si>
  <si>
    <t>Remedial action in response to graphitization and corrosion through  pipeline rehabilitation and replacements</t>
  </si>
  <si>
    <t>F</t>
  </si>
  <si>
    <t>4 CSR 240-40.030(13)(Z)</t>
  </si>
  <si>
    <t>Protecting or Replacing Disturbed Cast Iron Pipelines</t>
  </si>
  <si>
    <t>Replacement of cast iron pipelines where support has been disturbed</t>
  </si>
  <si>
    <t>4 CSR 240-40.030(7)</t>
  </si>
  <si>
    <t>Construction requirements</t>
  </si>
  <si>
    <t>Construction expense associated with relocating and replacing pipelines</t>
  </si>
  <si>
    <t>H</t>
  </si>
  <si>
    <t>4 CSR 240-40.030(10)</t>
  </si>
  <si>
    <t>Testing Requirements</t>
  </si>
  <si>
    <t>Testing expense associated with relocating and replacing pipelines</t>
  </si>
  <si>
    <t>I</t>
  </si>
  <si>
    <t>4 CSR 240-40.030(13)(Y)</t>
  </si>
  <si>
    <t>Maintenance - Caulked Bell and Spigot Joints</t>
  </si>
  <si>
    <t>Install clamps and other sealing on exposed cast iron joints</t>
  </si>
  <si>
    <t>J</t>
  </si>
  <si>
    <t>4 CSR 240-40.030(16)</t>
  </si>
  <si>
    <t>Gas Transmission Pipeline Integrity Management</t>
  </si>
  <si>
    <t>Replace, repair or remove unsafe transmission pipeline segments</t>
  </si>
  <si>
    <t>K</t>
  </si>
  <si>
    <t>4 CSR 240-40.030(17)</t>
  </si>
  <si>
    <t>Gas Distribution Pipeline Integrity Management</t>
  </si>
  <si>
    <t>Replace, repair or remove unsafe distribution pipeline segments</t>
  </si>
  <si>
    <t>References to state safety rules should be interpreted to include the corresponding federal safety rule.</t>
  </si>
  <si>
    <t>ISRS Statute 393.1009(5):</t>
  </si>
  <si>
    <t>(a)</t>
  </si>
  <si>
    <t>Mains, valves, service lines, regulator stations, vaults and other pipeline system components installed to comply with state or federal safety requirements as replacements for existing facilities that have worn out or are in deteriorated condition;</t>
  </si>
  <si>
    <t>(b)</t>
  </si>
  <si>
    <t>Main relining projects, service line insertion projects, joint encapsulation projects, and other similar projects extending the useful life or enhancing the integrity of pipeline system components undertaken to comply with state or federal safety requirements;</t>
  </si>
  <si>
    <t>( c)</t>
  </si>
  <si>
    <t>Facilities relocations required due to construction or improvement of a highway, road, street, public way, or other public work;</t>
  </si>
  <si>
    <t>b</t>
  </si>
  <si>
    <t>A, B, I, K</t>
  </si>
  <si>
    <t>c</t>
  </si>
  <si>
    <t>L</t>
  </si>
  <si>
    <t>4 CSR 240-40.030(13)(S)(1)</t>
  </si>
  <si>
    <t>Telemetering Requirement</t>
  </si>
  <si>
    <t>Replace Worn or Deteriorated Telemetry/SCADA Equipment</t>
  </si>
  <si>
    <t>M</t>
  </si>
  <si>
    <t>4 CSR 240-40.030(12)(P)(1)</t>
  </si>
  <si>
    <t xml:space="preserve">Requirements for Odorization of Gas </t>
  </si>
  <si>
    <t>Replace Worn or Deteriorated Odorization Equipment</t>
  </si>
  <si>
    <t xml:space="preserve">A, B, C, D, E, K </t>
  </si>
  <si>
    <t xml:space="preserve">A, B, C, F, K </t>
  </si>
  <si>
    <t>900068</t>
  </si>
  <si>
    <t>Repl w/ 1750F 2P Jefferson Ph 2</t>
  </si>
  <si>
    <t>697300</t>
  </si>
  <si>
    <t>69730 SVC RENEW STEEL MN</t>
  </si>
  <si>
    <t>003305</t>
  </si>
  <si>
    <t>Repl Euclid &amp; Hooke Reg Station</t>
  </si>
  <si>
    <t>Repl w/ 2520F 2P Jefferson Ph 6</t>
  </si>
  <si>
    <t>900073</t>
  </si>
  <si>
    <t>900683</t>
  </si>
  <si>
    <t>Inst 1864F 2P Cole &amp; 18th Ph D</t>
  </si>
  <si>
    <t>900685</t>
  </si>
  <si>
    <t>Inst 1550F 2P Cole &amp; 18th PhE</t>
  </si>
  <si>
    <t>900687</t>
  </si>
  <si>
    <t>Inst 1096F 2P Cole &amp; 18th PhF</t>
  </si>
  <si>
    <t>900689</t>
  </si>
  <si>
    <t>Inst 2434F 2P Cole &amp; 18th PhG</t>
  </si>
  <si>
    <t>900691</t>
  </si>
  <si>
    <t>Repl w/ 3458F 2P Cole &amp; 18th Ph H</t>
  </si>
  <si>
    <t>900862</t>
  </si>
  <si>
    <t>900895</t>
  </si>
  <si>
    <t>Repl w/ 828F 2P Marquette</t>
  </si>
  <si>
    <t>900921</t>
  </si>
  <si>
    <t>Repl w/ 2457F 4P&amp;2P Flad AOR</t>
  </si>
  <si>
    <t>Aband 500F 4C Natural Bridge</t>
  </si>
  <si>
    <t>003306</t>
  </si>
  <si>
    <t>RTU Upgrade Phase 4</t>
  </si>
  <si>
    <t>003402</t>
  </si>
  <si>
    <t>005357</t>
  </si>
  <si>
    <t>Refresh Existing TM Stations</t>
  </si>
  <si>
    <t>Dep Rate</t>
  </si>
  <si>
    <t>Per Month</t>
  </si>
  <si>
    <t>Check</t>
  </si>
  <si>
    <t>def tax - main split</t>
  </si>
  <si>
    <t>fef tax - bonus codes</t>
  </si>
  <si>
    <t>Total def tax pages</t>
  </si>
  <si>
    <t>Total from Additions page</t>
  </si>
  <si>
    <t>difference</t>
  </si>
  <si>
    <t>A, B, C, F</t>
  </si>
  <si>
    <t>a, c</t>
  </si>
  <si>
    <t>696480</t>
  </si>
  <si>
    <t>69648 SV REN 2&amp;OVR PL MW</t>
  </si>
  <si>
    <t>694360</t>
  </si>
  <si>
    <t>69436 SVCS RENEW PLS 5/8-1IN</t>
  </si>
  <si>
    <t>900069</t>
  </si>
  <si>
    <t>Inst 3539F 2P Jefferson Ph 3</t>
  </si>
  <si>
    <t>Aband 13120F C Jefferson Ph 6</t>
  </si>
  <si>
    <t>900476</t>
  </si>
  <si>
    <t>Inst 3350F 6P Ivory</t>
  </si>
  <si>
    <t>900558</t>
  </si>
  <si>
    <t>Inst 1859F 2P Walnut Park Ph6B</t>
  </si>
  <si>
    <t>900559</t>
  </si>
  <si>
    <t>Inst 3875F 2P Walnut Park Ph6C</t>
  </si>
  <si>
    <t>900650</t>
  </si>
  <si>
    <t>Inst 3290F 2P St Louis Hills Ph1A</t>
  </si>
  <si>
    <t>900653</t>
  </si>
  <si>
    <t>Inst 2636F 2P St Louis Hills Ph1C</t>
  </si>
  <si>
    <t>900734</t>
  </si>
  <si>
    <t>Repl w/ 1717F 2P Hurck</t>
  </si>
  <si>
    <t>900873</t>
  </si>
  <si>
    <t>Repl w/ 538F 2P Longacre</t>
  </si>
  <si>
    <t>900876</t>
  </si>
  <si>
    <t>Repl w/ 1060F 2P Rauschenbach PVC</t>
  </si>
  <si>
    <t>900893</t>
  </si>
  <si>
    <t>Repl w/ 2486F 6P Arlington</t>
  </si>
  <si>
    <t>900896</t>
  </si>
  <si>
    <t>Repl w/ 2990F 2P 4P Maple</t>
  </si>
  <si>
    <t>901040</t>
  </si>
  <si>
    <t>Repl w/ 315F 2P Amherst Ave</t>
  </si>
  <si>
    <t>901173</t>
  </si>
  <si>
    <t>007132</t>
  </si>
  <si>
    <t>Ph 2 - Replace Monat Odorant Tanks</t>
  </si>
  <si>
    <t>900732</t>
  </si>
  <si>
    <t>Rel w/ 120F 6S DeBaliviere Bridge</t>
  </si>
  <si>
    <t>900866</t>
  </si>
  <si>
    <t>Repl w/ 1480F 6P 4P-IKEA</t>
  </si>
  <si>
    <t>900885</t>
  </si>
  <si>
    <t>Rel w/ 293F 2S Spellman Ph2</t>
  </si>
  <si>
    <t>901022</t>
  </si>
  <si>
    <t>Rel w/ 427F 2P Valley Park SE</t>
  </si>
  <si>
    <t>901106</t>
  </si>
  <si>
    <t>Rel w/ 38F 4P Compton AOR</t>
  </si>
  <si>
    <t>002139</t>
  </si>
  <si>
    <t>Inst 3278F 2P MLK -Wellston 1B</t>
  </si>
  <si>
    <t>900458</t>
  </si>
  <si>
    <t>Repl w/ 2796F 2P Wellington Grd Ph4</t>
  </si>
  <si>
    <t>900520</t>
  </si>
  <si>
    <t>Repl w/ 6590F 2P Maplewood Ph1C</t>
  </si>
  <si>
    <t>900625</t>
  </si>
  <si>
    <t>Inst 4530F 8P Newstead</t>
  </si>
  <si>
    <t>900789</t>
  </si>
  <si>
    <t>Inst 3104F 8P Hampton Header</t>
  </si>
  <si>
    <t>900945</t>
  </si>
  <si>
    <t>Inst 3920F 8P Hampton&amp;Sulpher Headr</t>
  </si>
  <si>
    <t>900978</t>
  </si>
  <si>
    <t>Inst 3875F 8P Brannon Ave-Header</t>
  </si>
  <si>
    <t>901025</t>
  </si>
  <si>
    <t>Repl w/ 85F 2P Walnut Park</t>
  </si>
  <si>
    <t>900071</t>
  </si>
  <si>
    <t>Repl w/ 4240F 2-4P Jefferson Ph5</t>
  </si>
  <si>
    <t>900272</t>
  </si>
  <si>
    <t>Inst 4170F 2P Walnut Park Ph 5D</t>
  </si>
  <si>
    <t>900273</t>
  </si>
  <si>
    <t>Repl w/ 4565F 2P Walnut Park Ph5E</t>
  </si>
  <si>
    <t>900523</t>
  </si>
  <si>
    <t>Repl w/ 5304F 2P Maplewood Ph1D</t>
  </si>
  <si>
    <t>900546</t>
  </si>
  <si>
    <t>Inst 5691F 2P Wellston Ph2F</t>
  </si>
  <si>
    <t>900548</t>
  </si>
  <si>
    <t>Inst 6712F 2P Wellston Ph2H</t>
  </si>
  <si>
    <t>900556</t>
  </si>
  <si>
    <t>Inst 5130F 2P Walnut Park Ph 5F</t>
  </si>
  <si>
    <t>900560</t>
  </si>
  <si>
    <t>Inst 4705F 2P Walnut Park Ph6D</t>
  </si>
  <si>
    <t>900561</t>
  </si>
  <si>
    <t>Repl w/ 6270F 2P Walnut Park Ph6E</t>
  </si>
  <si>
    <t>900603</t>
  </si>
  <si>
    <t>Inst 4300F 2P Maplewood Ph2A</t>
  </si>
  <si>
    <t>900605</t>
  </si>
  <si>
    <t>Inst 2020F 2P Maplewood Ph 2B</t>
  </si>
  <si>
    <t>900607</t>
  </si>
  <si>
    <t>Inst 3183F 2P Maplewood Ph2C</t>
  </si>
  <si>
    <t>900649</t>
  </si>
  <si>
    <t>Inst 5308F 8P Manchester Header</t>
  </si>
  <si>
    <t>Repl w/ 4552F 2P Broadway AOR</t>
  </si>
  <si>
    <t>900871</t>
  </si>
  <si>
    <t>Repl w/ 3201F 2P Baden Ph6F</t>
  </si>
  <si>
    <t>900923</t>
  </si>
  <si>
    <t>Repl w/ 54F 6P West Florissant</t>
  </si>
  <si>
    <t>900952</t>
  </si>
  <si>
    <t>Repl w/ 2606F 2P Clifton Heights-1B</t>
  </si>
  <si>
    <t>900979</t>
  </si>
  <si>
    <t>Inst 2254F 8P Brannon</t>
  </si>
  <si>
    <t>900983</t>
  </si>
  <si>
    <t>Repl w/ 3143F 2P 4P Shaw AOR</t>
  </si>
  <si>
    <t>900988</t>
  </si>
  <si>
    <t>Repl w/ 3840F 2P Earthquake Zn Ph2B</t>
  </si>
  <si>
    <t>900993</t>
  </si>
  <si>
    <t>Repl w/ 2220F 2P CentralWestEndPh1G</t>
  </si>
  <si>
    <t>901059</t>
  </si>
  <si>
    <t>Repl w/ 680' 2P Gregg</t>
  </si>
  <si>
    <t>901070</t>
  </si>
  <si>
    <t>Repl w/ 4194F 6P Eichelberger heade</t>
  </si>
  <si>
    <t>901084</t>
  </si>
  <si>
    <t>Inst 4297F 8P Fair Ave header</t>
  </si>
  <si>
    <t>901088</t>
  </si>
  <si>
    <t>Repl w/ 4597F 2P U-City Ph1B</t>
  </si>
  <si>
    <t>901111</t>
  </si>
  <si>
    <t>Repl w/ 955F 2P Hickory</t>
  </si>
  <si>
    <t>901114</t>
  </si>
  <si>
    <t>Repl w/ 1630F 2P Maffitt</t>
  </si>
  <si>
    <t>901139</t>
  </si>
  <si>
    <t>Repl w/ 901F 2P Suburban Ave</t>
  </si>
  <si>
    <t>901161</t>
  </si>
  <si>
    <t>Repl w/ 535F 2P Grantsview</t>
  </si>
  <si>
    <t>901162</t>
  </si>
  <si>
    <t>Repl w/ 210F 2P St. Leonard Ct.</t>
  </si>
  <si>
    <t>901178</t>
  </si>
  <si>
    <t>Repl w/ 185F 2P Evans</t>
  </si>
  <si>
    <t>901220</t>
  </si>
  <si>
    <t>001337</t>
  </si>
  <si>
    <t>009113</t>
  </si>
  <si>
    <t>Rel w/ 210F 4P W Congress MN</t>
  </si>
  <si>
    <t>900104</t>
  </si>
  <si>
    <t>Rel w/ 3018F Var-Kingshighway Bridg</t>
  </si>
  <si>
    <t>901063</t>
  </si>
  <si>
    <t>Rel w/ 1307F 4P Bessie AOR</t>
  </si>
  <si>
    <t>901081</t>
  </si>
  <si>
    <t>Rel w/ 970F 6P Pralle Lane</t>
  </si>
  <si>
    <t>Rel w/ 260F 6P Vandeventer</t>
  </si>
  <si>
    <t>001878</t>
  </si>
  <si>
    <t>Relocate main at Westwood and Katy</t>
  </si>
  <si>
    <t>900498</t>
  </si>
  <si>
    <t>Rel w/ 1150F 6P Saline Road</t>
  </si>
  <si>
    <t>900868</t>
  </si>
  <si>
    <t>Rel w/ 210F 2P Vance -Valley Park</t>
  </si>
  <si>
    <t>900967</t>
  </si>
  <si>
    <t>Rel w/ 200F 2P Fawnvalley Bridge</t>
  </si>
  <si>
    <t>900973</t>
  </si>
  <si>
    <t>Rel w/ 28F 2S Terrie Ln</t>
  </si>
  <si>
    <t>901085</t>
  </si>
  <si>
    <t>Rel w/ 490F 2P Spencer Creek Ctr</t>
  </si>
  <si>
    <t>901248</t>
  </si>
  <si>
    <t>Rel 29F 4PDenmarkFrkln CntySEENOTE</t>
  </si>
  <si>
    <t>901308</t>
  </si>
  <si>
    <t>Rel w/ 400F 2P Bismark Ave</t>
  </si>
  <si>
    <t>694250</t>
  </si>
  <si>
    <t>69425 SVC RNW PLS 5/8IN</t>
  </si>
  <si>
    <t>007427</t>
  </si>
  <si>
    <t>RTU Upgrade Phase 5</t>
  </si>
  <si>
    <t>005312</t>
  </si>
  <si>
    <t>3602L</t>
  </si>
  <si>
    <t>Rtr Reg Stn - Rosalie &amp; Shreve</t>
  </si>
  <si>
    <t>Current ISRS</t>
  </si>
  <si>
    <t>July 2015 ISRS - ISRS Appendix B  - Prop thru Aug 15, Deferred Taxes thru Nov 15, 2015 With Cites - August 2015 Telemetry</t>
  </si>
  <si>
    <t>Budget</t>
  </si>
  <si>
    <t>699390</t>
  </si>
  <si>
    <t>3502L</t>
  </si>
  <si>
    <t>671960</t>
  </si>
  <si>
    <t>900325</t>
  </si>
  <si>
    <t>January 2015 ISRS - ISRS Appendix B  - Prop thru Feb 15, Deferred Taxes thru May 15, 2015 With Cites February no regulators</t>
  </si>
  <si>
    <t>599540</t>
  </si>
  <si>
    <t>59954 STEEL MAINS CO</t>
  </si>
  <si>
    <t>599660</t>
  </si>
  <si>
    <t>59966 SVC RENEW STL CO</t>
  </si>
  <si>
    <t>599730</t>
  </si>
  <si>
    <t>59973 PARTIAL CPR SVC - SOUTH</t>
  </si>
  <si>
    <t>695340</t>
  </si>
  <si>
    <t>69534 RENEW COPPER SVCS-SOUTH</t>
  </si>
  <si>
    <t>900665</t>
  </si>
  <si>
    <t>Rel w/ 2612F 2P Blaine AOR</t>
  </si>
  <si>
    <t>900455</t>
  </si>
  <si>
    <t>Inst 322F 2P Spring Ave</t>
  </si>
  <si>
    <t>900659</t>
  </si>
  <si>
    <t>Rel w/ 509F 2P Tower Grove AOR</t>
  </si>
  <si>
    <t>900770</t>
  </si>
  <si>
    <t>Inst 80F 2S Oak Street</t>
  </si>
  <si>
    <t>Rel w/ 300F 2P Edgewood CJ</t>
  </si>
  <si>
    <t>3401M</t>
  </si>
  <si>
    <t>N/A</t>
  </si>
  <si>
    <t>59804 MAINS STEEL SC</t>
  </si>
  <si>
    <t>624250</t>
  </si>
  <si>
    <t>62425 285F 4P MCNUTT RD</t>
  </si>
  <si>
    <t xml:space="preserve">Rel w/ 525F 2P Clay St </t>
  </si>
  <si>
    <t xml:space="preserve"> REAL ESTATE (Actual)</t>
  </si>
  <si>
    <t>MGE</t>
  </si>
  <si>
    <t>MISSOURI</t>
  </si>
  <si>
    <t>OKLAHOMA</t>
  </si>
  <si>
    <t>KANSAS</t>
  </si>
  <si>
    <t>KANSAS (Amortizantion) 1.6M</t>
  </si>
  <si>
    <t>SUBTOTAL MGE</t>
  </si>
  <si>
    <t>OK - HUGHES COUNTY</t>
  </si>
  <si>
    <t>KS - MEADE CO</t>
  </si>
  <si>
    <t>SC - SPARTANBURG COUNTY</t>
  </si>
  <si>
    <t>Laclede Gas Company - Laclede Operating Unit</t>
  </si>
  <si>
    <t>CY 2015</t>
  </si>
  <si>
    <t>CY 2014</t>
  </si>
  <si>
    <t>ISRS Revenue Undercollection January 2014 through December 2015</t>
  </si>
  <si>
    <t>Fiscal 2016</t>
  </si>
  <si>
    <t>900446</t>
  </si>
  <si>
    <t>Repl w/ 2998F 2P Maplewood 1E</t>
  </si>
  <si>
    <t>900547</t>
  </si>
  <si>
    <t>Inst 4609F 2P Wellston Ph 2G</t>
  </si>
  <si>
    <t>900836</t>
  </si>
  <si>
    <t>Repl w/ 4556F 2P Baden Ph6C</t>
  </si>
  <si>
    <t>900953</t>
  </si>
  <si>
    <t>Repl w/ 3565F 2P Union Blvd</t>
  </si>
  <si>
    <t>901069</t>
  </si>
  <si>
    <t>Inst 5610F 12P Obear - Header</t>
  </si>
  <si>
    <t>901163</t>
  </si>
  <si>
    <t>Rel w/ 1995F 2P Hebert AOR</t>
  </si>
  <si>
    <t>901149</t>
  </si>
  <si>
    <t>Rel w/ 300F 4P Sutters Mill Bridge</t>
  </si>
  <si>
    <t>901209</t>
  </si>
  <si>
    <t>Rel w/ 1145F 2P Cambury</t>
  </si>
  <si>
    <t>900076</t>
  </si>
  <si>
    <t>900609</t>
  </si>
  <si>
    <t>Inst 2646F 2P Maplewood Ph2D</t>
  </si>
  <si>
    <t>900611</t>
  </si>
  <si>
    <t>Repl w/ 2410F 2P Mitchell</t>
  </si>
  <si>
    <t>900618</t>
  </si>
  <si>
    <t>Repl w/ 1907F 2P Maplewood Ph3B</t>
  </si>
  <si>
    <t>Repl w/ 4530F 8P Newstead</t>
  </si>
  <si>
    <t>900647</t>
  </si>
  <si>
    <t>Inst 3654F 8P Park-Tamm to Sublette</t>
  </si>
  <si>
    <t>900747</t>
  </si>
  <si>
    <t>Inst 7015F 2P Jefferson Ph7</t>
  </si>
  <si>
    <t>900835</t>
  </si>
  <si>
    <t>Repl w/ 2510F 4P Baden Ph6B</t>
  </si>
  <si>
    <t>900951</t>
  </si>
  <si>
    <t>Repl w/ 4063F 4P Clifton Heights-1A</t>
  </si>
  <si>
    <t>901039</t>
  </si>
  <si>
    <t>Inst 2180F 8P Magnolia header</t>
  </si>
  <si>
    <t>901073</t>
  </si>
  <si>
    <t>Inst 3615F 12P Rosalie/CarterHeader</t>
  </si>
  <si>
    <t>901080</t>
  </si>
  <si>
    <t>Repl w/ 5080F 8P Rosalie header</t>
  </si>
  <si>
    <t>901087</t>
  </si>
  <si>
    <t>Repl w/ 2235F 2P U-City Ph1A</t>
  </si>
  <si>
    <t>901100</t>
  </si>
  <si>
    <t>Repl w/ 3712F 6P McDonald header</t>
  </si>
  <si>
    <t>901187</t>
  </si>
  <si>
    <t>Repl w/ 1280F 2P Dryden</t>
  </si>
  <si>
    <t>69939 CATHODIC PROT MAIN</t>
  </si>
  <si>
    <t>900869</t>
  </si>
  <si>
    <t>Repl w/ 1804F 2P JeffersonPh9</t>
  </si>
  <si>
    <t>Repl w/ 3047F 2P Baden Ph6D</t>
  </si>
  <si>
    <t>900870</t>
  </si>
  <si>
    <t>Repl w/ 3500F 2P Baden Ph6E</t>
  </si>
  <si>
    <t>900878</t>
  </si>
  <si>
    <t>Repl w/ 3163F 4P Baden Ph7B</t>
  </si>
  <si>
    <t>901381</t>
  </si>
  <si>
    <t>Repl w/ 300F 2S I-270 East Hwy 367</t>
  </si>
  <si>
    <t>900527</t>
  </si>
  <si>
    <t>Inst 3770F 2P Maplewood 1F</t>
  </si>
  <si>
    <t>900954</t>
  </si>
  <si>
    <t>Repl w/ 1398F Clifton Heights Ph1C</t>
  </si>
  <si>
    <t>900971</t>
  </si>
  <si>
    <t>Repl w/ 6421F 4P Central WestEnd-1A</t>
  </si>
  <si>
    <t>900980</t>
  </si>
  <si>
    <t>Inst 4932F 8P Sidney Header</t>
  </si>
  <si>
    <t>901041</t>
  </si>
  <si>
    <t>Repl w/ 1895F 2P Soulard Ph1A</t>
  </si>
  <si>
    <t>901057</t>
  </si>
  <si>
    <t>Repl w/ 5323F 8P Morganford header</t>
  </si>
  <si>
    <t>901102</t>
  </si>
  <si>
    <t>Repl w/ 5725F 6P Wyoming header</t>
  </si>
  <si>
    <t>901180</t>
  </si>
  <si>
    <t>Repl w/ 3284F 2P 14th St.</t>
  </si>
  <si>
    <t>901230</t>
  </si>
  <si>
    <t>Repl w/ 3412F 2P PagedalePhB</t>
  </si>
  <si>
    <t>900075</t>
  </si>
  <si>
    <t>Repl w/ 6927F 2P Jefferson Ph8</t>
  </si>
  <si>
    <t>900630</t>
  </si>
  <si>
    <t>Inst 4385F 8P Swan &amp; Newstead</t>
  </si>
  <si>
    <t>900974</t>
  </si>
  <si>
    <t>Repl w/ 4197F 2P Central WestEnd-1B</t>
  </si>
  <si>
    <t>900987</t>
  </si>
  <si>
    <t>Repl w/3777 2P Central West EndPh1C</t>
  </si>
  <si>
    <t>901056</t>
  </si>
  <si>
    <t>Repl w/ 5F 8P Magnolia Blvd header</t>
  </si>
  <si>
    <t>901066</t>
  </si>
  <si>
    <t>Repl w/ 15F 8P Oak Hill</t>
  </si>
  <si>
    <t>901090</t>
  </si>
  <si>
    <t>Repl w/ 4625F 2-4P U-City Ph1D</t>
  </si>
  <si>
    <t>901181</t>
  </si>
  <si>
    <t>Repl w/ 1535F 2P Montgomery</t>
  </si>
  <si>
    <t>901183</t>
  </si>
  <si>
    <t>Repl w/ 1276F 2-4P Liberty</t>
  </si>
  <si>
    <t>901191</t>
  </si>
  <si>
    <t>Repl w/ 1025F 2P Pernod-Stl City</t>
  </si>
  <si>
    <t>901197</t>
  </si>
  <si>
    <t>Repl w/ 1462F 2P Cora</t>
  </si>
  <si>
    <t>901200</t>
  </si>
  <si>
    <t>Repl w/ 1315 2P Haven St</t>
  </si>
  <si>
    <t>901204</t>
  </si>
  <si>
    <t>Repl w/ 1185F 2P Sigel</t>
  </si>
  <si>
    <t>901217</t>
  </si>
  <si>
    <t>Repl w/ 446F 4P Boone's Lick Rd.</t>
  </si>
  <si>
    <t>Rel w/ 8F 3P Marcus AOR</t>
  </si>
  <si>
    <t>901289</t>
  </si>
  <si>
    <t>Repl w/ 300F 4P Park Hills Alley</t>
  </si>
  <si>
    <t>901365</t>
  </si>
  <si>
    <t>Repl w/459F 2P Missouri &amp; Broadway</t>
  </si>
  <si>
    <t>901445</t>
  </si>
  <si>
    <t>Repl w/ 650F 2P 11th MN</t>
  </si>
  <si>
    <t>901213</t>
  </si>
  <si>
    <t>Rel w/ 340F 2P Hwy 94</t>
  </si>
  <si>
    <t>900889</t>
  </si>
  <si>
    <t>Rel w/ 2530F 4P IndependencePh3 CJ</t>
  </si>
  <si>
    <t>901421</t>
  </si>
  <si>
    <t>Rel w/ 265F 2P Mississippi MN</t>
  </si>
  <si>
    <t>901266</t>
  </si>
  <si>
    <t>Rel w/ 190F 4P Greentrails</t>
  </si>
  <si>
    <t>901060</t>
  </si>
  <si>
    <t>Rel w/ 360F 4P Parker Rd Bridge</t>
  </si>
  <si>
    <t>901436</t>
  </si>
  <si>
    <t>Rel w/ 100F 2S Fee Fee Ph2</t>
  </si>
  <si>
    <t>Aband 2616F 4C Baden Grid Phase 5B</t>
  </si>
  <si>
    <t>Aband 1947F 4C Wellston Ph2C</t>
  </si>
  <si>
    <t>Aband 7597 C Baden Ph5C</t>
  </si>
  <si>
    <t>Aband 4680F 6C Baden Ph5E</t>
  </si>
  <si>
    <t>Aband 1273F 12C Baden Ph5F</t>
  </si>
  <si>
    <t>Aband 2493F 6C Walnut Park Ph 4C</t>
  </si>
  <si>
    <t>Aband 168F 4C Walnut Park Ph4E</t>
  </si>
  <si>
    <t>Aband 11629F CI Wellston Ph2D</t>
  </si>
  <si>
    <t>900530</t>
  </si>
  <si>
    <t>900549</t>
  </si>
  <si>
    <t>900550</t>
  </si>
  <si>
    <t>900531</t>
  </si>
  <si>
    <t>900539</t>
  </si>
  <si>
    <t>900537</t>
  </si>
  <si>
    <t>3802L</t>
  </si>
  <si>
    <t>900532</t>
  </si>
  <si>
    <t>Aband 4402F 6C Baden Ph5D</t>
  </si>
  <si>
    <t>900533</t>
  </si>
  <si>
    <t>900544</t>
  </si>
  <si>
    <t>Aband 5943F CI Wellington Ph4E</t>
  </si>
  <si>
    <t>900534</t>
  </si>
  <si>
    <t>900551</t>
  </si>
  <si>
    <t>Aband 4802F 4C Wellston Ph2E</t>
  </si>
  <si>
    <t>901194</t>
  </si>
  <si>
    <t>Aband 436F 20C Newstead</t>
  </si>
  <si>
    <t>599520</t>
  </si>
  <si>
    <t>59952 MAIN PLASTIC CNTY</t>
  </si>
  <si>
    <t>599700</t>
  </si>
  <si>
    <t>59970 CPR SVCS - NO DISTRICT</t>
  </si>
  <si>
    <t>003469</t>
  </si>
  <si>
    <t>Ret Reg Stn - Goodfellow/Florissant</t>
  </si>
  <si>
    <t>009653</t>
  </si>
  <si>
    <t>Retire reg station-Pennsyl &amp; Robbin</t>
  </si>
  <si>
    <t>003465</t>
  </si>
  <si>
    <t>Ret Reg Stn-Jamieson &amp; Plainview</t>
  </si>
  <si>
    <t>001894</t>
  </si>
  <si>
    <t>Retire Reg Stn Manch/McCausland</t>
  </si>
  <si>
    <t>At December 1, 2016</t>
  </si>
  <si>
    <t>900070</t>
  </si>
  <si>
    <t>Repl w/ 6893F 2P Jefferson Ph4</t>
  </si>
  <si>
    <t>900716</t>
  </si>
  <si>
    <t>Rel w/ 128F 8S Conway Bdg No 206</t>
  </si>
  <si>
    <t>900872</t>
  </si>
  <si>
    <t>Repl w/ 3539F 2P Baden Ph6G</t>
  </si>
  <si>
    <t>900877</t>
  </si>
  <si>
    <t>Repl w/ 3898F 2P Baden Ph7A</t>
  </si>
  <si>
    <t>900879</t>
  </si>
  <si>
    <t>Repl w/ 3717F 2P Baden Ph7C</t>
  </si>
  <si>
    <t>900880</t>
  </si>
  <si>
    <t>Repl w/ 4875F 2P Baden Ph7D</t>
  </si>
  <si>
    <t>900881</t>
  </si>
  <si>
    <t>Repl w/ 3369F 2P Baden Ph7E</t>
  </si>
  <si>
    <t>900882</t>
  </si>
  <si>
    <t>Repl w/ 2190F 2P Baden Ph7F</t>
  </si>
  <si>
    <t>900883</t>
  </si>
  <si>
    <t>Repl w/ 4685F 2P Baden Ph7G</t>
  </si>
  <si>
    <t>900884</t>
  </si>
  <si>
    <t>Repl w/ 3398F2P Baden Ph7H</t>
  </si>
  <si>
    <t>900955</t>
  </si>
  <si>
    <t>Repl w/4300F 2P Clifton HeightsPh1D</t>
  </si>
  <si>
    <t>900956</t>
  </si>
  <si>
    <t>Repl w/1661F 2PClifton Heights Ph1E</t>
  </si>
  <si>
    <t>900957</t>
  </si>
  <si>
    <t>Repl w/ 1778F 2PClifton HeightsPh1F</t>
  </si>
  <si>
    <t>900990</t>
  </si>
  <si>
    <t>Repl w/ 3572F 2PCentralWest EndPh1E</t>
  </si>
  <si>
    <t>901001</t>
  </si>
  <si>
    <t>Rel w/ 30F 6P Independence RdPh3 CJ</t>
  </si>
  <si>
    <t>901078</t>
  </si>
  <si>
    <t>Inst 3167F 6P Eichelberger Header</t>
  </si>
  <si>
    <t>901089</t>
  </si>
  <si>
    <t>Repl w/ 5240F 2P U-City Ph1C</t>
  </si>
  <si>
    <t>901179</t>
  </si>
  <si>
    <t>Repl w/ 1125F 2P Lemp Ave</t>
  </si>
  <si>
    <t>901186</t>
  </si>
  <si>
    <t>Repl w/ 3916F 2-4P Taylor</t>
  </si>
  <si>
    <t>901189</t>
  </si>
  <si>
    <t>Repl w/ 2418F 4P Mardel</t>
  </si>
  <si>
    <t>901190</t>
  </si>
  <si>
    <t>Hancock Mandated Replacement</t>
  </si>
  <si>
    <t>901193</t>
  </si>
  <si>
    <t>Repl w/ 4318F 2-4P Sublette</t>
  </si>
  <si>
    <t>901199</t>
  </si>
  <si>
    <t>Repl w/ 711F 2P West Ave</t>
  </si>
  <si>
    <t>901201</t>
  </si>
  <si>
    <t>Repl w/ 1751F 4P Odell</t>
  </si>
  <si>
    <t>901202</t>
  </si>
  <si>
    <t>Repl w/ 1660F 4P Keokuk</t>
  </si>
  <si>
    <t>901203</t>
  </si>
  <si>
    <t>Repl w/ 1047F 4P Cottage</t>
  </si>
  <si>
    <t>901205</t>
  </si>
  <si>
    <t>Repl w/ 3052F 2P 4P Watson Rd</t>
  </si>
  <si>
    <t>Repl w/ 446F 4P Boone's Lick Rd STC</t>
  </si>
  <si>
    <t>901229</t>
  </si>
  <si>
    <t>Repl w/ 4469F 2P Pagedale Ph1A</t>
  </si>
  <si>
    <t>901278</t>
  </si>
  <si>
    <t>Inst 4094F 8P St Louis Ave 3304L</t>
  </si>
  <si>
    <t>901297</t>
  </si>
  <si>
    <t>Rel w/ 315F 6P Prairie Dell Ph2 MN</t>
  </si>
  <si>
    <t>901326</t>
  </si>
  <si>
    <t>Rel w/ 70F 2S DeSoto 5th St MN</t>
  </si>
  <si>
    <t>901374</t>
  </si>
  <si>
    <t>Repl w/ 70F 2P Gregg Ave</t>
  </si>
  <si>
    <t>901451</t>
  </si>
  <si>
    <t>Repl w/ 1120F 2P Davis MN</t>
  </si>
  <si>
    <t>901455</t>
  </si>
  <si>
    <t>Rel w/ 150F 2P Malan Plaza</t>
  </si>
  <si>
    <t>901498</t>
  </si>
  <si>
    <t>Rel w/ 28F 4P Longfellow AOR</t>
  </si>
  <si>
    <t>901499</t>
  </si>
  <si>
    <t>Repl w/ 30F 4P Lynch &amp; JeffersonAOR</t>
  </si>
  <si>
    <t>Repl w/ 2020F 4P Hancock</t>
  </si>
  <si>
    <t>Repl w/ 3770F 2P Maplewood 1F</t>
  </si>
  <si>
    <t>001893</t>
  </si>
  <si>
    <t>Retire Reg Stn Park/Grattan</t>
  </si>
  <si>
    <t>Repl w/  3770F 2P Maplewood 1F</t>
  </si>
  <si>
    <t>598010</t>
  </si>
  <si>
    <t>59801 MAIN CAST IRON SC</t>
  </si>
  <si>
    <t>Mar - Sep</t>
  </si>
  <si>
    <t>2016 - 2017</t>
  </si>
  <si>
    <t>Oct</t>
  </si>
  <si>
    <t>SERVICE RENEWALS</t>
  </si>
  <si>
    <t xml:space="preserve">A, B, K, M </t>
  </si>
  <si>
    <t>Calendar 2015</t>
  </si>
  <si>
    <t>Fiscal 2017</t>
  </si>
  <si>
    <t>Fiscal Year 2017 (Oct 1 - Nov 30)</t>
  </si>
  <si>
    <t>Mar 1 - Dec 1</t>
  </si>
  <si>
    <t>Fiscal Year 2016 (Oct 1 - Sep 30)</t>
  </si>
  <si>
    <t>Number of Pages</t>
  </si>
  <si>
    <t>*Average customers - Calendar 2015</t>
  </si>
  <si>
    <t>900733</t>
  </si>
  <si>
    <t>Repl w/ 2070F 2P Folsom Ave</t>
  </si>
  <si>
    <t>900981</t>
  </si>
  <si>
    <t>Inst 3598F 8P Magnolia Header</t>
  </si>
  <si>
    <t>901101</t>
  </si>
  <si>
    <t>Inst 6910F 6P Fyler&amp;Wyoming header</t>
  </si>
  <si>
    <t>901182</t>
  </si>
  <si>
    <t>Repl w/ 4088F 2-4P Wilmington</t>
  </si>
  <si>
    <t>901188</t>
  </si>
  <si>
    <t>Repl w/ 1458F Pls Tyrolean Ave</t>
  </si>
  <si>
    <t>901196</t>
  </si>
  <si>
    <t>Repl w/ 1028F 4P January</t>
  </si>
  <si>
    <t>901198</t>
  </si>
  <si>
    <t>Repl w/ 3442F 2P 4P 6P Henry</t>
  </si>
  <si>
    <t>901277</t>
  </si>
  <si>
    <t>Repl w/ 5989F 12P Header</t>
  </si>
  <si>
    <t>901510</t>
  </si>
  <si>
    <t>Repl w/ 780F 2P S Taylor &amp; Clayton</t>
  </si>
  <si>
    <t>901444</t>
  </si>
  <si>
    <t>Rel w/ 10F 4P Macklind AOR</t>
  </si>
  <si>
    <t>901533</t>
  </si>
  <si>
    <t>Rel w/ 230F 6P Saline Rd Ph2</t>
  </si>
  <si>
    <t>901252</t>
  </si>
  <si>
    <t>Rel w/ 1297F 6S 6P Shackelford</t>
  </si>
  <si>
    <t>901500</t>
  </si>
  <si>
    <t>Rel w/ 87F 4P Magnolia &amp; SulphurAOR</t>
  </si>
  <si>
    <t>003472</t>
  </si>
  <si>
    <t>Ret Reg Stn - Riverview/McLaren</t>
  </si>
  <si>
    <t>003471</t>
  </si>
  <si>
    <t>Ret Reg Stn - Goodfellow/McLaren</t>
  </si>
  <si>
    <t>008433</t>
  </si>
  <si>
    <t>Rtr reg station - Pershing/Jackson</t>
  </si>
  <si>
    <t>005350</t>
  </si>
  <si>
    <t>Retire Reg Station - Famous/Knox</t>
  </si>
  <si>
    <t>900621</t>
  </si>
  <si>
    <t>Repl w/ 4991F 2-4PMaplewoodPh3 CITY</t>
  </si>
  <si>
    <t>901124</t>
  </si>
  <si>
    <t>Inst w/ 3878F 6PCompton Heights PhA</t>
  </si>
  <si>
    <t>901435</t>
  </si>
  <si>
    <t>Repl w/ 400F 8P New Halls Ferry</t>
  </si>
  <si>
    <t>901501</t>
  </si>
  <si>
    <t>Repl w/ 70F 3P Illinois&amp;ArsenalAOR</t>
  </si>
  <si>
    <t>901508</t>
  </si>
  <si>
    <t>Rel w/ 490F 2P Montbrook Dr</t>
  </si>
  <si>
    <t>901514</t>
  </si>
  <si>
    <t>Repl w/ 377F 6P Crittenden</t>
  </si>
  <si>
    <t>901515</t>
  </si>
  <si>
    <t>Repl w/ 1103F 2P Chippewa&amp;Brannon</t>
  </si>
  <si>
    <t>901353</t>
  </si>
  <si>
    <t>Rel w/ 75F 2P Lindenwood Ave</t>
  </si>
  <si>
    <t>901478</t>
  </si>
  <si>
    <t>Rel w/ 60F 4P Mid Rivers &amp; Ohmes Rd</t>
  </si>
  <si>
    <t>Repl w/ 1804F 2P Jefferson Grid Ph9</t>
  </si>
  <si>
    <t>Inst 622F 4P Shenandoah CJ</t>
  </si>
  <si>
    <t>Rel w/ 3047F 2P Baden Ph6D</t>
  </si>
  <si>
    <t>901195</t>
  </si>
  <si>
    <t>Aband 458F 4C 6C Belt Ave</t>
  </si>
  <si>
    <t>Previous Property Tax</t>
  </si>
  <si>
    <t>2014 ISRS Property Taxes as Updated</t>
  </si>
  <si>
    <t>2013 ISRS Property Taxes as Updated - GO-2016-0196</t>
  </si>
  <si>
    <t>2014 ISRS Property Taxes As Filed - GO-2016-0196</t>
  </si>
  <si>
    <t>2015 ISRS Property Taxes As Filed - GO-2016-0196</t>
  </si>
  <si>
    <t>At May 1, 2017</t>
  </si>
  <si>
    <t>LAKESIDE 370 LEVEE / LAKE ST LOUIS</t>
  </si>
  <si>
    <t>TX  - INVENTORY STORAGE</t>
  </si>
  <si>
    <t>CHAPTER 100 - LAMBERT CNG STATION</t>
  </si>
  <si>
    <t>TX PROPERTY</t>
  </si>
  <si>
    <t>PP - DISASTER RECOVERY SITE</t>
  </si>
  <si>
    <t>Louisiana + CY 2016 Estimate</t>
  </si>
  <si>
    <t>Louisiana - CY 2015 Actual</t>
  </si>
  <si>
    <t>FY 2016 LACLEDE COMPANIES</t>
  </si>
  <si>
    <t>ACTUAL TAXES</t>
  </si>
  <si>
    <t>Inst 3878F 6PCompton Heights PhA</t>
  </si>
  <si>
    <t>901042</t>
  </si>
  <si>
    <t>Repl w/ 2380F 2P Soulard 1B</t>
  </si>
  <si>
    <t>901091</t>
  </si>
  <si>
    <t>Repl w/ 2775F 2P U-City Ph1E</t>
  </si>
  <si>
    <t>901269</t>
  </si>
  <si>
    <t>Repl w/ 3608F 2P Wellston Ph3A</t>
  </si>
  <si>
    <t>901287</t>
  </si>
  <si>
    <t>Repl w/ 4069F 2-4P Wellston Ph3C</t>
  </si>
  <si>
    <t>901288</t>
  </si>
  <si>
    <t>Repl w/ 6024F 2-4P Wellston Ph 3D</t>
  </si>
  <si>
    <t>901396</t>
  </si>
  <si>
    <t>Repl w/ 2630F 4P Kingsbury PhB</t>
  </si>
  <si>
    <t>901517</t>
  </si>
  <si>
    <t>Repl w/ 350F 2P Morganford &amp; Taft</t>
  </si>
  <si>
    <t>901710</t>
  </si>
  <si>
    <t>Repl w/ 100F 4P Broadway &amp; Pine</t>
  </si>
  <si>
    <t>900821</t>
  </si>
  <si>
    <t>Rel w/ 113F 6S&amp;10S Manchester Ph 3</t>
  </si>
  <si>
    <t>901003</t>
  </si>
  <si>
    <t>Rel w/ 346F 4S Adie Rd Ph3</t>
  </si>
  <si>
    <t>Rel w/ 2530F 4P IndependencePh3CJ</t>
  </si>
  <si>
    <t>2015 ISRS Property Taxes as Updated</t>
  </si>
  <si>
    <t>Cap (10% of Base Tariff Revenues in GR-2013-017</t>
  </si>
  <si>
    <t>Less:  Current Authorized Cumulative ISRS</t>
  </si>
  <si>
    <t>Incremental ISRS - Up to the Cap</t>
  </si>
  <si>
    <t>Proposed ISRS Revenues</t>
  </si>
  <si>
    <t>900823</t>
  </si>
  <si>
    <t>Repl w/ 659F 2P Baden Ph6A</t>
  </si>
  <si>
    <t>901096</t>
  </si>
  <si>
    <t>Repl w/ 7666F 6P Fyler header</t>
  </si>
  <si>
    <t>901099</t>
  </si>
  <si>
    <t>Repl w/ 6650F 8PEichelberger header</t>
  </si>
  <si>
    <t>901440</t>
  </si>
  <si>
    <t>Repl w/ 1500F 4P Deer Run MN</t>
  </si>
  <si>
    <t>901664</t>
  </si>
  <si>
    <t>Repl w/ 682F 2P &amp; 12P Schirmer</t>
  </si>
  <si>
    <t>901616</t>
  </si>
  <si>
    <t>Rel w/405F 2P Jefferson Valley Park</t>
  </si>
  <si>
    <t>005392</t>
  </si>
  <si>
    <t>Rel w/ 210F 12S Highway PP</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</si>
</sst>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3" formatCode="_(* #,##0.00_);_(* \(#,##0.00\);_(* &quot;-&quot;??_);_(@_)"/>
    <numFmt numFmtId="164" formatCode="0.0%"/>
    <numFmt numFmtId="165" formatCode="0.0000%"/>
    <numFmt numFmtId="166" formatCode="0.00000"/>
    <numFmt numFmtId="167" formatCode="#,##0.00000_);\(#,##0.00000\)"/>
    <numFmt numFmtId="168" formatCode="_(* #,##0.0_);_(* \(#,##0.0\);_(* &quot;-&quot;??_);_(@_)"/>
    <numFmt numFmtId="169" formatCode="_(* #,##0_);_(* \(#,##0\);_(* &quot;-&quot;??_);_(@_)"/>
    <numFmt numFmtId="170" formatCode="#,##0.0"/>
    <numFmt numFmtId="171" formatCode="m/d/yy"/>
    <numFmt numFmtId="172" formatCode="0.0000000"/>
    <numFmt numFmtId="173" formatCode="#,##0.0000"/>
    <numFmt numFmtId="174" formatCode="[$-409]mmm\-yy;@"/>
    <numFmt numFmtId="175" formatCode="#,##0.0000_);\(#,##0.0000\)"/>
    <numFmt numFmtId="176" formatCode="_(* #,##0.0000_);_(* \(#,##0.0000\);_(* &quot;-&quot;??_);_(@_)"/>
    <numFmt numFmtId="177" formatCode="0_)"/>
    <numFmt numFmtId="178" formatCode="0.0000_)"/>
    <numFmt numFmtId="179" formatCode=";;;"/>
    <numFmt numFmtId="180" formatCode="_(* #,##0.0000000_);_(* \(#,##0.0000000\);_(* &quot;-&quot;??_);_(@_)"/>
    <numFmt numFmtId="181" formatCode="#,##0.000_);\(#,##0.000\)"/>
    <numFmt numFmtId="182" formatCode="#,##0.000"/>
  </numFmts>
  <fonts count="47">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b/>
      <sz val="10"/>
      <name val="Arial"/>
      <family val="2"/>
    </font>
    <font>
      <b/>
      <u/>
      <sz val="10"/>
      <name val="Arial"/>
      <family val="2"/>
    </font>
    <font>
      <u/>
      <sz val="10"/>
      <name val="Arial"/>
      <family val="2"/>
    </font>
    <font>
      <sz val="10"/>
      <name val="Arial"/>
      <family val="2"/>
    </font>
    <font>
      <sz val="10"/>
      <color indexed="12"/>
      <name val="Arial"/>
      <family val="2"/>
    </font>
    <font>
      <sz val="8"/>
      <name val="Arial"/>
      <family val="2"/>
    </font>
    <font>
      <sz val="10"/>
      <color indexed="12"/>
      <name val="Arial"/>
      <family val="2"/>
    </font>
    <font>
      <sz val="12"/>
      <name val="Arial"/>
      <family val="2"/>
    </font>
    <font>
      <sz val="12"/>
      <name val="SWISS"/>
    </font>
    <font>
      <sz val="12"/>
      <color indexed="12"/>
      <name val="SWISS"/>
    </font>
    <font>
      <b/>
      <sz val="12"/>
      <name val="SWISS"/>
    </font>
    <font>
      <u/>
      <sz val="8"/>
      <name val="Arial"/>
      <family val="2"/>
    </font>
    <font>
      <b/>
      <u/>
      <sz val="8"/>
      <name val="Arial"/>
      <family val="2"/>
    </font>
    <font>
      <sz val="10"/>
      <color indexed="8"/>
      <name val="SWISS"/>
    </font>
    <font>
      <sz val="10"/>
      <color indexed="12"/>
      <name val="SWISS"/>
    </font>
    <font>
      <sz val="10"/>
      <color rgb="FF0000CC"/>
      <name val="SWISS"/>
    </font>
    <font>
      <b/>
      <u/>
      <sz val="10"/>
      <color indexed="8"/>
      <name val="SWISS"/>
    </font>
    <font>
      <sz val="10"/>
      <name val="SWISS"/>
    </font>
    <font>
      <b/>
      <sz val="10"/>
      <color indexed="8"/>
      <name val="SWISS"/>
    </font>
    <font>
      <b/>
      <sz val="10"/>
      <name val="SWISS"/>
    </font>
    <font>
      <b/>
      <sz val="10"/>
      <color rgb="FF0000CC"/>
      <name val="SWISS"/>
    </font>
    <font>
      <sz val="10"/>
      <color indexed="20"/>
      <name val="SWISS"/>
    </font>
    <font>
      <sz val="10"/>
      <color rgb="FF0000CC"/>
      <name val="Arial"/>
      <family val="2"/>
    </font>
    <font>
      <b/>
      <sz val="11"/>
      <name val="Arial"/>
      <family val="2"/>
    </font>
    <font>
      <sz val="10"/>
      <color theme="3" tint="0.39997558519241921"/>
      <name val="Arial"/>
      <family val="2"/>
    </font>
    <font>
      <sz val="11"/>
      <color theme="1"/>
      <name val="Calibri"/>
      <family val="2"/>
    </font>
    <font>
      <sz val="11"/>
      <color theme="1"/>
      <name val="Times New Roman"/>
      <family val="1"/>
    </font>
    <font>
      <b/>
      <sz val="11"/>
      <color theme="1"/>
      <name val="Times New Roman"/>
      <family val="1"/>
    </font>
    <font>
      <sz val="10"/>
      <color rgb="FF000000"/>
      <name val="Calibri"/>
      <family val="2"/>
    </font>
    <font>
      <b/>
      <sz val="11"/>
      <color rgb="FF1F497D"/>
      <name val="Calibri"/>
      <family val="2"/>
    </font>
    <font>
      <sz val="11"/>
      <color rgb="FF1F497D"/>
      <name val="Calibri"/>
      <family val="2"/>
    </font>
    <font>
      <sz val="9"/>
      <color indexed="81"/>
      <name val="Tahoma"/>
      <family val="2"/>
    </font>
    <font>
      <b/>
      <sz val="9"/>
      <color indexed="81"/>
      <name val="Tahoma"/>
      <family val="2"/>
    </font>
    <font>
      <sz val="11"/>
      <name val="Calibri"/>
      <family val="2"/>
      <scheme val="minor"/>
    </font>
    <font>
      <sz val="10"/>
      <name val="Arial"/>
      <family val="2"/>
    </font>
    <font>
      <b/>
      <sz val="12"/>
      <color indexed="8"/>
      <name val="SWISS"/>
    </font>
    <font>
      <b/>
      <sz val="10"/>
      <color indexed="20"/>
      <name val="Arial"/>
      <family val="2"/>
    </font>
    <font>
      <b/>
      <sz val="10"/>
      <color indexed="12"/>
      <name val="Arial"/>
      <family val="2"/>
    </font>
    <font>
      <sz val="10"/>
      <color rgb="FFFF0000"/>
      <name val="SWISS"/>
    </font>
    <font>
      <sz val="12"/>
      <color theme="1"/>
      <name val="Times New Roman"/>
      <family val="2"/>
    </font>
    <font>
      <b/>
      <sz val="12"/>
      <color theme="1"/>
      <name val="Times New Roman"/>
      <family val="2"/>
    </font>
    <font>
      <sz val="10"/>
      <color indexed="20"/>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CC"/>
      </patternFill>
    </fill>
  </fills>
  <borders count="23">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8"/>
      </bottom>
      <diagonal/>
    </border>
    <border>
      <left/>
      <right/>
      <top/>
      <bottom style="double">
        <color indexed="8"/>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4">
    <xf numFmtId="0" fontId="0" fillId="0" borderId="0"/>
    <xf numFmtId="43" fontId="3" fillId="0" borderId="0" applyFont="0" applyFill="0" applyBorder="0" applyAlignment="0" applyProtection="0"/>
    <xf numFmtId="43" fontId="8" fillId="0" borderId="0" applyFont="0" applyFill="0" applyBorder="0" applyAlignment="0" applyProtection="0"/>
    <xf numFmtId="0" fontId="8" fillId="0" borderId="0"/>
    <xf numFmtId="9" fontId="3" fillId="0" borderId="0" applyFont="0" applyFill="0" applyBorder="0" applyAlignment="0" applyProtection="0"/>
    <xf numFmtId="9" fontId="8" fillId="0" borderId="0" applyFont="0" applyFill="0" applyBorder="0" applyAlignment="0" applyProtection="0"/>
    <xf numFmtId="0" fontId="13" fillId="0" borderId="0"/>
    <xf numFmtId="0" fontId="3" fillId="0" borderId="0"/>
    <xf numFmtId="43" fontId="3" fillId="0" borderId="0" applyFont="0" applyFill="0" applyBorder="0" applyAlignment="0" applyProtection="0"/>
    <xf numFmtId="0" fontId="30" fillId="0" borderId="0"/>
    <xf numFmtId="0" fontId="3" fillId="0" borderId="0"/>
    <xf numFmtId="9" fontId="3" fillId="0" borderId="0" applyFont="0" applyFill="0" applyBorder="0" applyAlignment="0" applyProtection="0"/>
    <xf numFmtId="0" fontId="2" fillId="0" borderId="0"/>
    <xf numFmtId="0" fontId="39" fillId="0" borderId="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0" fontId="2" fillId="6" borderId="21" applyNumberFormat="0" applyFont="0" applyAlignment="0" applyProtection="0"/>
    <xf numFmtId="0" fontId="44" fillId="6" borderId="21" applyNumberFormat="0" applyFont="0" applyAlignment="0" applyProtection="0"/>
    <xf numFmtId="0" fontId="3" fillId="6" borderId="21" applyNumberFormat="0" applyFont="0" applyAlignment="0" applyProtection="0"/>
    <xf numFmtId="0" fontId="45" fillId="0" borderId="22" applyNumberFormat="0" applyFill="0" applyAlignment="0" applyProtection="0"/>
    <xf numFmtId="0" fontId="1" fillId="0" borderId="0"/>
    <xf numFmtId="43" fontId="1" fillId="0" borderId="0" applyFont="0" applyFill="0" applyBorder="0" applyAlignment="0" applyProtection="0"/>
  </cellStyleXfs>
  <cellXfs count="867">
    <xf numFmtId="0" fontId="0" fillId="0" borderId="0" xfId="0"/>
    <xf numFmtId="0" fontId="6" fillId="0" borderId="0" xfId="0" applyFont="1"/>
    <xf numFmtId="0" fontId="7" fillId="0" borderId="0" xfId="0" applyFont="1"/>
    <xf numFmtId="43" fontId="0" fillId="0" borderId="1" xfId="0" applyNumberFormat="1" applyBorder="1"/>
    <xf numFmtId="0" fontId="0" fillId="0" borderId="1" xfId="0" applyBorder="1"/>
    <xf numFmtId="0" fontId="0" fillId="0" borderId="0" xfId="0" applyBorder="1"/>
    <xf numFmtId="0" fontId="5" fillId="0" borderId="0" xfId="0" applyFont="1" applyAlignment="1">
      <alignment horizontal="centerContinuous"/>
    </xf>
    <xf numFmtId="0" fontId="8" fillId="0" borderId="0" xfId="0" applyFont="1"/>
    <xf numFmtId="0" fontId="5" fillId="0" borderId="0" xfId="0" applyFont="1" applyBorder="1" applyAlignment="1">
      <alignment horizontal="centerContinuous"/>
    </xf>
    <xf numFmtId="0" fontId="0" fillId="0" borderId="0" xfId="0" applyAlignment="1">
      <alignment horizontal="right"/>
    </xf>
    <xf numFmtId="0" fontId="5" fillId="0" borderId="0" xfId="0" applyFont="1" applyAlignment="1">
      <alignment horizontal="right"/>
    </xf>
    <xf numFmtId="0" fontId="6" fillId="0" borderId="0" xfId="0" applyFont="1" applyAlignment="1">
      <alignment horizontal="right"/>
    </xf>
    <xf numFmtId="37" fontId="5" fillId="0" borderId="0" xfId="0" applyNumberFormat="1" applyFont="1" applyAlignment="1">
      <alignment horizontal="right"/>
    </xf>
    <xf numFmtId="0" fontId="5" fillId="0" borderId="0" xfId="0" applyFont="1" applyAlignment="1">
      <alignment horizontal="centerContinuous" wrapText="1"/>
    </xf>
    <xf numFmtId="0" fontId="0" fillId="0" borderId="0" xfId="0" applyAlignment="1">
      <alignment horizontal="centerContinuous" wrapText="1"/>
    </xf>
    <xf numFmtId="0" fontId="0" fillId="0" borderId="1" xfId="0" applyBorder="1" applyAlignment="1">
      <alignment horizontal="center"/>
    </xf>
    <xf numFmtId="43" fontId="3" fillId="0" borderId="1" xfId="1" applyNumberFormat="1" applyBorder="1"/>
    <xf numFmtId="43" fontId="3" fillId="0" borderId="2" xfId="1" applyNumberFormat="1" applyBorder="1"/>
    <xf numFmtId="0" fontId="7" fillId="0" borderId="0" xfId="0" applyFont="1" applyAlignment="1">
      <alignment horizontal="center"/>
    </xf>
    <xf numFmtId="169" fontId="3" fillId="0" borderId="0" xfId="1" applyNumberFormat="1" applyFont="1"/>
    <xf numFmtId="43" fontId="0" fillId="0" borderId="0" xfId="1" applyFont="1"/>
    <xf numFmtId="0" fontId="0" fillId="0" borderId="0" xfId="0" applyAlignment="1">
      <alignment horizontal="left" indent="1"/>
    </xf>
    <xf numFmtId="43" fontId="3" fillId="0" borderId="0" xfId="1" applyFont="1" applyFill="1"/>
    <xf numFmtId="43" fontId="0" fillId="0" borderId="0" xfId="1" applyFont="1" applyBorder="1"/>
    <xf numFmtId="4" fontId="3" fillId="0" borderId="0" xfId="0" applyNumberFormat="1" applyFont="1"/>
    <xf numFmtId="43" fontId="3" fillId="0" borderId="0" xfId="0" applyNumberFormat="1" applyFont="1"/>
    <xf numFmtId="43" fontId="3" fillId="0" borderId="0" xfId="1" applyFont="1"/>
    <xf numFmtId="169" fontId="3" fillId="0" borderId="0" xfId="1" applyNumberFormat="1" applyFont="1" applyAlignment="1">
      <alignment horizontal="left"/>
    </xf>
    <xf numFmtId="2" fontId="3" fillId="0" borderId="0" xfId="0" applyNumberFormat="1" applyFont="1"/>
    <xf numFmtId="43" fontId="3" fillId="0" borderId="0" xfId="1"/>
    <xf numFmtId="0" fontId="0" fillId="0" borderId="0" xfId="0" applyAlignment="1">
      <alignment horizontal="left" wrapText="1"/>
    </xf>
    <xf numFmtId="43" fontId="0" fillId="0" borderId="1" xfId="1" applyFont="1" applyBorder="1"/>
    <xf numFmtId="43" fontId="8" fillId="0" borderId="0" xfId="1" applyFont="1"/>
    <xf numFmtId="0" fontId="5" fillId="0" borderId="1" xfId="0" applyFont="1" applyBorder="1" applyAlignment="1">
      <alignment horizontal="centerContinuous"/>
    </xf>
    <xf numFmtId="0" fontId="3" fillId="0" borderId="0" xfId="0" applyFont="1" applyFill="1"/>
    <xf numFmtId="0" fontId="3" fillId="0" borderId="0" xfId="0" applyFont="1" applyFill="1" applyAlignment="1">
      <alignment horizontal="centerContinuous" wrapText="1"/>
    </xf>
    <xf numFmtId="0" fontId="3" fillId="0" borderId="0" xfId="0" applyFont="1" applyFill="1" applyAlignment="1">
      <alignment horizontal="center" wrapText="1"/>
    </xf>
    <xf numFmtId="0" fontId="3" fillId="0" borderId="0" xfId="0" applyFont="1" applyFill="1" applyAlignment="1">
      <alignment horizontal="center"/>
    </xf>
    <xf numFmtId="0" fontId="3" fillId="0" borderId="0" xfId="0" applyFont="1" applyFill="1" applyBorder="1" applyAlignment="1">
      <alignment horizontal="center"/>
    </xf>
    <xf numFmtId="0" fontId="3" fillId="0" borderId="0" xfId="0" applyFont="1" applyFill="1" applyBorder="1"/>
    <xf numFmtId="0" fontId="3" fillId="0" borderId="1" xfId="0" applyFont="1" applyFill="1" applyBorder="1" applyAlignment="1">
      <alignment horizontal="center"/>
    </xf>
    <xf numFmtId="0" fontId="3" fillId="0" borderId="0" xfId="0" applyFont="1" applyFill="1" applyAlignment="1">
      <alignment horizontal="left" wrapText="1"/>
    </xf>
    <xf numFmtId="43" fontId="3" fillId="0" borderId="1" xfId="1" applyNumberFormat="1" applyFont="1" applyFill="1" applyBorder="1"/>
    <xf numFmtId="43" fontId="3" fillId="0" borderId="0" xfId="1" applyNumberFormat="1" applyFont="1" applyFill="1"/>
    <xf numFmtId="169" fontId="3" fillId="0" borderId="0" xfId="1" applyNumberFormat="1" applyFont="1" applyFill="1"/>
    <xf numFmtId="169" fontId="3" fillId="0" borderId="0" xfId="1" applyNumberFormat="1" applyFont="1" applyFill="1" applyBorder="1"/>
    <xf numFmtId="0" fontId="8" fillId="0" borderId="0" xfId="0" applyFont="1" applyAlignment="1">
      <alignment horizontal="left"/>
    </xf>
    <xf numFmtId="0" fontId="5" fillId="0" borderId="0" xfId="0" applyFont="1" applyBorder="1" applyAlignment="1">
      <alignment horizontal="left"/>
    </xf>
    <xf numFmtId="43" fontId="11" fillId="0" borderId="0" xfId="1" applyFont="1"/>
    <xf numFmtId="43" fontId="11" fillId="0" borderId="0" xfId="1" applyFont="1" applyFill="1"/>
    <xf numFmtId="0" fontId="0" fillId="0" borderId="1" xfId="0" applyBorder="1" applyAlignment="1">
      <alignment horizontal="centerContinuous"/>
    </xf>
    <xf numFmtId="0" fontId="0" fillId="0" borderId="0" xfId="0" applyBorder="1" applyAlignment="1">
      <alignment horizontal="centerContinuous"/>
    </xf>
    <xf numFmtId="0" fontId="3" fillId="0" borderId="0" xfId="0" applyFont="1" applyFill="1" applyBorder="1" applyAlignment="1">
      <alignment horizontal="centerContinuous"/>
    </xf>
    <xf numFmtId="0" fontId="3" fillId="0" borderId="1" xfId="0" applyFont="1" applyFill="1" applyBorder="1" applyAlignment="1">
      <alignment horizontal="centerContinuous"/>
    </xf>
    <xf numFmtId="43" fontId="3" fillId="0" borderId="0" xfId="1" applyNumberFormat="1" applyFont="1" applyFill="1" applyBorder="1"/>
    <xf numFmtId="43" fontId="11" fillId="0" borderId="0" xfId="1" applyNumberFormat="1" applyFont="1" applyFill="1" applyBorder="1"/>
    <xf numFmtId="169" fontId="11" fillId="0" borderId="0" xfId="1" applyNumberFormat="1" applyFont="1" applyFill="1" applyBorder="1"/>
    <xf numFmtId="0" fontId="8" fillId="0" borderId="0" xfId="0" applyFont="1" applyBorder="1" applyAlignment="1">
      <alignment horizontal="center"/>
    </xf>
    <xf numFmtId="43" fontId="8" fillId="0" borderId="15" xfId="1" applyFont="1" applyBorder="1"/>
    <xf numFmtId="0" fontId="0" fillId="0" borderId="16" xfId="0" applyBorder="1"/>
    <xf numFmtId="0" fontId="0" fillId="0" borderId="9" xfId="0" applyBorder="1"/>
    <xf numFmtId="0" fontId="0" fillId="0" borderId="17" xfId="0" applyBorder="1"/>
    <xf numFmtId="43" fontId="3" fillId="0" borderId="15" xfId="1" applyFont="1" applyBorder="1"/>
    <xf numFmtId="0" fontId="17" fillId="0" borderId="0" xfId="0" applyFont="1"/>
    <xf numFmtId="0" fontId="8" fillId="0" borderId="16" xfId="0" applyFont="1" applyBorder="1" applyAlignment="1">
      <alignment horizontal="center"/>
    </xf>
    <xf numFmtId="0" fontId="8" fillId="0" borderId="0" xfId="0" applyFont="1" applyAlignment="1">
      <alignment horizontal="right"/>
    </xf>
    <xf numFmtId="0" fontId="3" fillId="0" borderId="0" xfId="0" applyFont="1"/>
    <xf numFmtId="0" fontId="6" fillId="2" borderId="0" xfId="0" applyFont="1" applyFill="1"/>
    <xf numFmtId="1" fontId="5" fillId="2" borderId="0" xfId="0" applyNumberFormat="1" applyFont="1" applyFill="1"/>
    <xf numFmtId="0" fontId="5" fillId="2" borderId="0" xfId="0" applyFont="1" applyFill="1"/>
    <xf numFmtId="0" fontId="5" fillId="2" borderId="0" xfId="0" applyNumberFormat="1" applyFont="1" applyFill="1" applyAlignment="1">
      <alignment horizontal="center"/>
    </xf>
    <xf numFmtId="14" fontId="5" fillId="2" borderId="0" xfId="0" applyNumberFormat="1" applyFont="1" applyFill="1" applyAlignment="1">
      <alignment horizontal="center"/>
    </xf>
    <xf numFmtId="0" fontId="5" fillId="2" borderId="0" xfId="0" applyFont="1" applyFill="1" applyAlignment="1">
      <alignment horizontal="center"/>
    </xf>
    <xf numFmtId="1" fontId="5" fillId="2" borderId="0" xfId="0" applyNumberFormat="1" applyFont="1" applyFill="1" applyAlignment="1">
      <alignment horizontal="center"/>
    </xf>
    <xf numFmtId="0" fontId="6" fillId="2" borderId="0" xfId="0" applyFont="1" applyFill="1" applyAlignment="1">
      <alignment horizontal="center"/>
    </xf>
    <xf numFmtId="1" fontId="6" fillId="2" borderId="0" xfId="0" applyNumberFormat="1" applyFont="1" applyFill="1" applyAlignment="1">
      <alignment horizontal="center"/>
    </xf>
    <xf numFmtId="0" fontId="6" fillId="2" borderId="0" xfId="0" applyNumberFormat="1" applyFont="1" applyFill="1" applyAlignment="1">
      <alignment horizontal="center"/>
    </xf>
    <xf numFmtId="0" fontId="6" fillId="2" borderId="0" xfId="0" applyFont="1" applyFill="1" applyBorder="1" applyAlignment="1">
      <alignment horizontal="center"/>
    </xf>
    <xf numFmtId="0" fontId="5" fillId="2" borderId="5" xfId="0" applyFont="1" applyFill="1" applyBorder="1" applyAlignment="1">
      <alignment horizontal="center"/>
    </xf>
    <xf numFmtId="0" fontId="5" fillId="2" borderId="8" xfId="0" applyFont="1" applyFill="1" applyBorder="1"/>
    <xf numFmtId="0" fontId="5" fillId="2" borderId="8" xfId="0" applyFont="1" applyFill="1" applyBorder="1" applyAlignment="1">
      <alignment horizontal="center"/>
    </xf>
    <xf numFmtId="0" fontId="5" fillId="2" borderId="7" xfId="0" applyFont="1" applyFill="1" applyBorder="1" applyAlignment="1">
      <alignment horizontal="center"/>
    </xf>
    <xf numFmtId="43" fontId="3" fillId="2" borderId="4" xfId="1" applyFont="1" applyFill="1" applyBorder="1"/>
    <xf numFmtId="0" fontId="4" fillId="2" borderId="0" xfId="0" applyFont="1" applyFill="1"/>
    <xf numFmtId="0" fontId="5" fillId="2" borderId="0" xfId="0" applyFont="1" applyFill="1" applyAlignment="1">
      <alignment wrapText="1"/>
    </xf>
    <xf numFmtId="17" fontId="5" fillId="2" borderId="7" xfId="0" applyNumberFormat="1" applyFont="1" applyFill="1" applyBorder="1" applyAlignment="1">
      <alignment horizontal="center"/>
    </xf>
    <xf numFmtId="0" fontId="6" fillId="2" borderId="8" xfId="0" applyFont="1" applyFill="1" applyBorder="1" applyAlignment="1">
      <alignment horizontal="center"/>
    </xf>
    <xf numFmtId="0" fontId="6" fillId="2" borderId="9" xfId="0" applyFont="1" applyFill="1" applyBorder="1" applyAlignment="1">
      <alignment horizontal="center"/>
    </xf>
    <xf numFmtId="0" fontId="6" fillId="2" borderId="0" xfId="0" applyFont="1" applyFill="1" applyAlignment="1">
      <alignment horizontal="left"/>
    </xf>
    <xf numFmtId="171" fontId="5" fillId="2" borderId="7" xfId="0" applyNumberFormat="1" applyFont="1" applyFill="1" applyBorder="1" applyAlignment="1">
      <alignment horizontal="center"/>
    </xf>
    <xf numFmtId="43" fontId="5" fillId="2" borderId="7" xfId="1" applyFont="1" applyFill="1" applyBorder="1" applyAlignment="1">
      <alignment horizontal="center"/>
    </xf>
    <xf numFmtId="171" fontId="6" fillId="2" borderId="8" xfId="0" applyNumberFormat="1" applyFont="1" applyFill="1" applyBorder="1" applyAlignment="1">
      <alignment horizontal="center"/>
    </xf>
    <xf numFmtId="43" fontId="6" fillId="2" borderId="8" xfId="1" applyFont="1" applyFill="1" applyBorder="1" applyAlignment="1">
      <alignment horizontal="center"/>
    </xf>
    <xf numFmtId="17" fontId="3" fillId="2" borderId="4" xfId="0" applyNumberFormat="1" applyFont="1" applyFill="1" applyBorder="1" applyAlignment="1">
      <alignment horizontal="center"/>
    </xf>
    <xf numFmtId="17" fontId="5" fillId="2" borderId="0" xfId="0" applyNumberFormat="1" applyFont="1" applyFill="1" applyAlignment="1">
      <alignment horizontal="center"/>
    </xf>
    <xf numFmtId="0" fontId="5" fillId="2" borderId="0" xfId="0" applyFont="1" applyFill="1" applyAlignment="1">
      <alignment horizontal="left"/>
    </xf>
    <xf numFmtId="0" fontId="6" fillId="2" borderId="5" xfId="0" applyFont="1" applyFill="1" applyBorder="1" applyAlignment="1">
      <alignment horizontal="center"/>
    </xf>
    <xf numFmtId="171" fontId="6" fillId="2" borderId="5" xfId="0" applyNumberFormat="1" applyFont="1" applyFill="1" applyBorder="1" applyAlignment="1">
      <alignment horizontal="center"/>
    </xf>
    <xf numFmtId="43" fontId="6" fillId="2" borderId="5" xfId="1" applyFont="1" applyFill="1" applyBorder="1" applyAlignment="1">
      <alignment horizontal="center"/>
    </xf>
    <xf numFmtId="17" fontId="3" fillId="2" borderId="5" xfId="0" applyNumberFormat="1" applyFont="1" applyFill="1" applyBorder="1" applyAlignment="1">
      <alignment horizontal="center"/>
    </xf>
    <xf numFmtId="17" fontId="3" fillId="2" borderId="0" xfId="0" applyNumberFormat="1" applyFont="1" applyFill="1" applyBorder="1" applyAlignment="1">
      <alignment horizontal="center"/>
    </xf>
    <xf numFmtId="0" fontId="3" fillId="2" borderId="0" xfId="0" applyFont="1" applyFill="1"/>
    <xf numFmtId="0" fontId="3" fillId="2" borderId="0" xfId="0" applyFont="1" applyFill="1" applyAlignment="1">
      <alignment horizontal="center"/>
    </xf>
    <xf numFmtId="43" fontId="3" fillId="2" borderId="0" xfId="1" applyFont="1" applyFill="1" applyBorder="1"/>
    <xf numFmtId="43" fontId="3" fillId="2" borderId="1" xfId="1" applyFont="1" applyFill="1" applyBorder="1"/>
    <xf numFmtId="43" fontId="3" fillId="2" borderId="0" xfId="0" applyNumberFormat="1" applyFont="1" applyFill="1"/>
    <xf numFmtId="0" fontId="3" fillId="2" borderId="7" xfId="0" applyFont="1" applyFill="1" applyBorder="1"/>
    <xf numFmtId="43" fontId="3" fillId="2" borderId="4" xfId="1" applyFont="1" applyFill="1" applyBorder="1" applyAlignment="1">
      <alignment horizontal="center"/>
    </xf>
    <xf numFmtId="0" fontId="3" fillId="2" borderId="4" xfId="0" applyFont="1" applyFill="1" applyBorder="1" applyAlignment="1">
      <alignment horizontal="center"/>
    </xf>
    <xf numFmtId="0" fontId="3" fillId="2" borderId="4" xfId="0" applyNumberFormat="1" applyFont="1" applyFill="1" applyBorder="1" applyAlignment="1">
      <alignment horizontal="center"/>
    </xf>
    <xf numFmtId="43" fontId="3" fillId="2" borderId="4" xfId="1" applyFont="1" applyFill="1" applyBorder="1" applyAlignment="1"/>
    <xf numFmtId="0" fontId="3" fillId="2" borderId="5" xfId="0" applyFont="1" applyFill="1" applyBorder="1"/>
    <xf numFmtId="0" fontId="3" fillId="2" borderId="5" xfId="0" applyNumberFormat="1" applyFont="1" applyFill="1" applyBorder="1" applyAlignment="1">
      <alignment horizontal="center"/>
    </xf>
    <xf numFmtId="43" fontId="3" fillId="2" borderId="0" xfId="1" applyFont="1" applyFill="1" applyBorder="1" applyAlignment="1">
      <alignment horizontal="center"/>
    </xf>
    <xf numFmtId="0" fontId="3" fillId="2" borderId="0" xfId="0" applyFont="1" applyFill="1" applyBorder="1" applyAlignment="1">
      <alignment horizontal="center"/>
    </xf>
    <xf numFmtId="43" fontId="3" fillId="2" borderId="0" xfId="1" applyFont="1" applyFill="1" applyBorder="1" applyAlignment="1"/>
    <xf numFmtId="0" fontId="3" fillId="2" borderId="6" xfId="0" applyFont="1" applyFill="1" applyBorder="1"/>
    <xf numFmtId="17" fontId="3" fillId="2" borderId="6" xfId="0" applyNumberFormat="1" applyFont="1" applyFill="1" applyBorder="1" applyAlignment="1">
      <alignment horizontal="center"/>
    </xf>
    <xf numFmtId="0" fontId="3" fillId="2" borderId="0" xfId="0" applyFont="1" applyFill="1" applyAlignment="1"/>
    <xf numFmtId="17" fontId="3" fillId="2" borderId="0" xfId="0" applyNumberFormat="1" applyFont="1" applyFill="1" applyAlignment="1">
      <alignment horizontal="center"/>
    </xf>
    <xf numFmtId="43" fontId="3" fillId="2" borderId="2" xfId="0" applyNumberFormat="1" applyFont="1" applyFill="1" applyBorder="1"/>
    <xf numFmtId="0" fontId="3" fillId="2" borderId="0" xfId="0" applyFont="1" applyFill="1" applyBorder="1"/>
    <xf numFmtId="171" fontId="3" fillId="2" borderId="0" xfId="0" applyNumberFormat="1" applyFont="1" applyFill="1" applyAlignment="1">
      <alignment horizontal="center"/>
    </xf>
    <xf numFmtId="43" fontId="3" fillId="2" borderId="0" xfId="1" applyFont="1" applyFill="1"/>
    <xf numFmtId="0" fontId="3" fillId="2" borderId="1" xfId="0" applyFont="1" applyFill="1" applyBorder="1"/>
    <xf numFmtId="17" fontId="3" fillId="2" borderId="1" xfId="0" applyNumberFormat="1" applyFont="1" applyFill="1" applyBorder="1" applyAlignment="1">
      <alignment horizontal="center"/>
    </xf>
    <xf numFmtId="0" fontId="3" fillId="2" borderId="4" xfId="0" applyFont="1" applyFill="1" applyBorder="1"/>
    <xf numFmtId="0" fontId="3" fillId="2" borderId="3" xfId="0" applyFont="1" applyFill="1" applyBorder="1"/>
    <xf numFmtId="0" fontId="3" fillId="2" borderId="0" xfId="0" applyNumberFormat="1" applyFont="1" applyFill="1" applyBorder="1" applyAlignment="1">
      <alignment horizontal="center"/>
    </xf>
    <xf numFmtId="43" fontId="3" fillId="2" borderId="6" xfId="1" applyFont="1" applyFill="1" applyBorder="1"/>
    <xf numFmtId="43" fontId="3" fillId="2" borderId="2" xfId="1" applyFont="1" applyFill="1" applyBorder="1"/>
    <xf numFmtId="0" fontId="3" fillId="2" borderId="0" xfId="0" applyFont="1" applyFill="1" applyBorder="1" applyAlignment="1"/>
    <xf numFmtId="172" fontId="3" fillId="2" borderId="0" xfId="0" applyNumberFormat="1" applyFont="1" applyFill="1" applyBorder="1"/>
    <xf numFmtId="0" fontId="3" fillId="2" borderId="8" xfId="0" applyFont="1" applyFill="1" applyBorder="1" applyAlignment="1">
      <alignment horizontal="center"/>
    </xf>
    <xf numFmtId="0" fontId="3" fillId="2" borderId="8" xfId="0" applyFont="1" applyFill="1" applyBorder="1" applyAlignment="1">
      <alignment horizontal="left"/>
    </xf>
    <xf numFmtId="43" fontId="3" fillId="2" borderId="8" xfId="1" applyFont="1" applyFill="1" applyBorder="1" applyAlignment="1">
      <alignment horizontal="center"/>
    </xf>
    <xf numFmtId="17" fontId="3" fillId="2" borderId="7" xfId="0" applyNumberFormat="1" applyFont="1" applyFill="1" applyBorder="1" applyAlignment="1">
      <alignment horizontal="center"/>
    </xf>
    <xf numFmtId="0" fontId="3" fillId="2" borderId="8" xfId="0" applyFont="1" applyFill="1" applyBorder="1"/>
    <xf numFmtId="17" fontId="3" fillId="2" borderId="8" xfId="0" applyNumberFormat="1" applyFont="1" applyFill="1" applyBorder="1" applyAlignment="1">
      <alignment horizontal="center"/>
    </xf>
    <xf numFmtId="0" fontId="3" fillId="0" borderId="0" xfId="0" applyFont="1" applyAlignment="1">
      <alignment horizontal="centerContinuous"/>
    </xf>
    <xf numFmtId="174" fontId="3" fillId="0" borderId="0" xfId="0" applyNumberFormat="1" applyFont="1"/>
    <xf numFmtId="174" fontId="7" fillId="0" borderId="0" xfId="0" applyNumberFormat="1" applyFont="1" applyAlignment="1">
      <alignment horizontal="center"/>
    </xf>
    <xf numFmtId="169" fontId="3" fillId="0" borderId="5" xfId="0" applyNumberFormat="1" applyFont="1" applyBorder="1"/>
    <xf numFmtId="169" fontId="3" fillId="0" borderId="0" xfId="0" applyNumberFormat="1" applyFont="1"/>
    <xf numFmtId="169" fontId="3" fillId="0" borderId="3" xfId="1" applyNumberFormat="1" applyFont="1" applyBorder="1"/>
    <xf numFmtId="169" fontId="3" fillId="0" borderId="4" xfId="0" applyNumberFormat="1" applyFont="1" applyBorder="1"/>
    <xf numFmtId="1" fontId="5" fillId="2" borderId="7" xfId="0" applyNumberFormat="1" applyFont="1" applyFill="1" applyBorder="1" applyAlignment="1">
      <alignment horizontal="center"/>
    </xf>
    <xf numFmtId="168" fontId="5" fillId="2" borderId="7" xfId="1" applyNumberFormat="1" applyFont="1" applyFill="1" applyBorder="1" applyAlignment="1">
      <alignment horizontal="center"/>
    </xf>
    <xf numFmtId="1" fontId="6" fillId="2" borderId="8" xfId="0" applyNumberFormat="1" applyFont="1" applyFill="1" applyBorder="1" applyAlignment="1">
      <alignment horizontal="center"/>
    </xf>
    <xf numFmtId="168" fontId="6" fillId="2" borderId="8" xfId="1" applyNumberFormat="1" applyFont="1" applyFill="1" applyBorder="1" applyAlignment="1">
      <alignment horizontal="center"/>
    </xf>
    <xf numFmtId="1" fontId="6" fillId="2" borderId="5" xfId="0" applyNumberFormat="1" applyFont="1" applyFill="1" applyBorder="1" applyAlignment="1">
      <alignment horizontal="center"/>
    </xf>
    <xf numFmtId="168" fontId="6" fillId="2" borderId="5" xfId="1" applyNumberFormat="1" applyFont="1" applyFill="1" applyBorder="1" applyAlignment="1">
      <alignment horizontal="center"/>
    </xf>
    <xf numFmtId="1" fontId="3" fillId="2" borderId="0" xfId="0" applyNumberFormat="1" applyFont="1" applyFill="1" applyAlignment="1">
      <alignment horizontal="center"/>
    </xf>
    <xf numFmtId="168" fontId="3" fillId="2" borderId="0" xfId="1" applyNumberFormat="1" applyFont="1" applyFill="1" applyAlignment="1">
      <alignment horizontal="center"/>
    </xf>
    <xf numFmtId="1" fontId="3" fillId="2" borderId="0" xfId="0" applyNumberFormat="1" applyFont="1" applyFill="1"/>
    <xf numFmtId="43" fontId="3" fillId="2" borderId="4" xfId="2" applyFont="1" applyFill="1" applyBorder="1"/>
    <xf numFmtId="172" fontId="3" fillId="2" borderId="3" xfId="0" applyNumberFormat="1" applyFont="1" applyFill="1" applyBorder="1"/>
    <xf numFmtId="43" fontId="3" fillId="2" borderId="3" xfId="1" applyFont="1" applyFill="1" applyBorder="1"/>
    <xf numFmtId="43" fontId="3" fillId="2" borderId="11" xfId="1" applyFont="1" applyFill="1" applyBorder="1"/>
    <xf numFmtId="1" fontId="3" fillId="2" borderId="4" xfId="0" applyNumberFormat="1" applyFont="1" applyFill="1" applyBorder="1" applyAlignment="1">
      <alignment horizontal="center"/>
    </xf>
    <xf numFmtId="0" fontId="3" fillId="2" borderId="12" xfId="0" applyFont="1" applyFill="1" applyBorder="1"/>
    <xf numFmtId="0" fontId="3" fillId="2" borderId="6" xfId="0" applyFont="1" applyFill="1" applyBorder="1" applyAlignment="1">
      <alignment horizontal="center"/>
    </xf>
    <xf numFmtId="0" fontId="3" fillId="2" borderId="3" xfId="0" applyFont="1" applyFill="1" applyBorder="1" applyAlignment="1">
      <alignment horizontal="center"/>
    </xf>
    <xf numFmtId="43" fontId="3" fillId="2" borderId="3" xfId="2" applyFont="1" applyFill="1" applyBorder="1"/>
    <xf numFmtId="1" fontId="3" fillId="2" borderId="0" xfId="0" applyNumberFormat="1" applyFont="1" applyFill="1" applyBorder="1" applyAlignment="1">
      <alignment horizontal="center"/>
    </xf>
    <xf numFmtId="39" fontId="3" fillId="2" borderId="0" xfId="1" applyNumberFormat="1" applyFont="1" applyFill="1" applyBorder="1" applyAlignment="1"/>
    <xf numFmtId="168" fontId="3" fillId="2" borderId="0" xfId="1" applyNumberFormat="1" applyFont="1" applyFill="1" applyBorder="1" applyAlignment="1">
      <alignment horizontal="center"/>
    </xf>
    <xf numFmtId="43" fontId="3" fillId="2" borderId="2" xfId="1" applyFont="1" applyFill="1" applyBorder="1" applyAlignment="1"/>
    <xf numFmtId="172" fontId="3" fillId="2" borderId="4" xfId="0" applyNumberFormat="1" applyFont="1" applyFill="1" applyBorder="1"/>
    <xf numFmtId="43" fontId="3" fillId="2" borderId="0" xfId="0" applyNumberFormat="1" applyFont="1" applyFill="1" applyBorder="1" applyAlignment="1">
      <alignment horizontal="center"/>
    </xf>
    <xf numFmtId="168" fontId="3" fillId="2" borderId="4" xfId="1" applyNumberFormat="1" applyFont="1" applyFill="1" applyBorder="1" applyAlignment="1">
      <alignment horizontal="center"/>
    </xf>
    <xf numFmtId="43" fontId="3" fillId="2" borderId="0" xfId="0" applyNumberFormat="1" applyFont="1" applyFill="1" applyBorder="1"/>
    <xf numFmtId="1" fontId="3" fillId="2" borderId="8" xfId="0" applyNumberFormat="1" applyFont="1" applyFill="1" applyBorder="1" applyAlignment="1">
      <alignment horizontal="center"/>
    </xf>
    <xf numFmtId="43" fontId="3" fillId="2" borderId="12" xfId="1" applyFont="1" applyFill="1" applyBorder="1"/>
    <xf numFmtId="1" fontId="3" fillId="2" borderId="3" xfId="0" applyNumberFormat="1" applyFont="1" applyFill="1" applyBorder="1" applyAlignment="1">
      <alignment horizontal="center"/>
    </xf>
    <xf numFmtId="43" fontId="3" fillId="2" borderId="3" xfId="1" applyFont="1" applyFill="1" applyBorder="1" applyAlignment="1"/>
    <xf numFmtId="168" fontId="3" fillId="2" borderId="0" xfId="1" applyNumberFormat="1" applyFont="1" applyFill="1" applyAlignment="1"/>
    <xf numFmtId="168" fontId="5" fillId="2" borderId="7" xfId="1" applyNumberFormat="1" applyFont="1" applyFill="1" applyBorder="1" applyAlignment="1"/>
    <xf numFmtId="1" fontId="3" fillId="2" borderId="4" xfId="0" applyNumberFormat="1" applyFont="1" applyFill="1" applyBorder="1"/>
    <xf numFmtId="168" fontId="6" fillId="2" borderId="5" xfId="1" applyNumberFormat="1" applyFont="1" applyFill="1" applyBorder="1" applyAlignment="1"/>
    <xf numFmtId="168" fontId="3" fillId="2" borderId="4" xfId="1" applyNumberFormat="1" applyFont="1" applyFill="1" applyBorder="1"/>
    <xf numFmtId="168" fontId="3" fillId="2" borderId="0" xfId="1" applyNumberFormat="1" applyFont="1" applyFill="1" applyBorder="1" applyAlignment="1"/>
    <xf numFmtId="168" fontId="6" fillId="2" borderId="8" xfId="1" applyNumberFormat="1" applyFont="1" applyFill="1" applyBorder="1" applyAlignment="1"/>
    <xf numFmtId="43" fontId="5" fillId="2" borderId="0" xfId="1" applyFont="1" applyFill="1" applyBorder="1" applyAlignment="1">
      <alignment horizontal="left"/>
    </xf>
    <xf numFmtId="168" fontId="3" fillId="2" borderId="0" xfId="1" applyNumberFormat="1" applyFont="1" applyFill="1" applyBorder="1"/>
    <xf numFmtId="1" fontId="5" fillId="2" borderId="0" xfId="0" applyNumberFormat="1" applyFont="1" applyFill="1" applyBorder="1" applyAlignment="1">
      <alignment horizontal="center"/>
    </xf>
    <xf numFmtId="0" fontId="3" fillId="2" borderId="0" xfId="0" quotePrefix="1" applyFont="1" applyFill="1" applyAlignment="1">
      <alignment horizontal="left"/>
    </xf>
    <xf numFmtId="0" fontId="4" fillId="2" borderId="0" xfId="0" applyFont="1" applyFill="1" applyAlignment="1">
      <alignment horizontal="centerContinuous"/>
    </xf>
    <xf numFmtId="0" fontId="7" fillId="2" borderId="0" xfId="0" applyFont="1" applyFill="1"/>
    <xf numFmtId="0" fontId="3" fillId="2" borderId="0" xfId="0" applyFont="1" applyFill="1" applyAlignment="1">
      <alignment horizontal="centerContinuous"/>
    </xf>
    <xf numFmtId="4" fontId="3" fillId="2" borderId="0" xfId="0" applyNumberFormat="1" applyFont="1" applyFill="1"/>
    <xf numFmtId="169" fontId="3" fillId="2" borderId="0" xfId="0" applyNumberFormat="1" applyFont="1" applyFill="1"/>
    <xf numFmtId="169" fontId="3" fillId="2" borderId="0" xfId="0" applyNumberFormat="1" applyFont="1" applyFill="1" applyBorder="1"/>
    <xf numFmtId="169" fontId="3" fillId="2" borderId="1" xfId="0" applyNumberFormat="1" applyFont="1" applyFill="1" applyBorder="1"/>
    <xf numFmtId="3" fontId="3" fillId="2" borderId="0" xfId="0" applyNumberFormat="1" applyFont="1" applyFill="1"/>
    <xf numFmtId="165" fontId="3" fillId="2" borderId="1" xfId="0" applyNumberFormat="1" applyFont="1" applyFill="1" applyBorder="1"/>
    <xf numFmtId="167" fontId="3" fillId="2" borderId="0" xfId="0" applyNumberFormat="1" applyFont="1" applyFill="1"/>
    <xf numFmtId="169" fontId="3" fillId="2" borderId="3" xfId="0" applyNumberFormat="1" applyFont="1" applyFill="1" applyBorder="1"/>
    <xf numFmtId="165" fontId="3" fillId="2" borderId="1" xfId="4" applyNumberFormat="1" applyFont="1" applyFill="1" applyBorder="1"/>
    <xf numFmtId="167" fontId="3" fillId="2" borderId="1" xfId="0" applyNumberFormat="1" applyFont="1" applyFill="1" applyBorder="1"/>
    <xf numFmtId="169" fontId="3" fillId="2" borderId="2" xfId="0" applyNumberFormat="1" applyFont="1" applyFill="1" applyBorder="1"/>
    <xf numFmtId="169" fontId="3" fillId="2" borderId="10" xfId="0" applyNumberFormat="1" applyFont="1" applyFill="1" applyBorder="1"/>
    <xf numFmtId="0" fontId="3" fillId="2" borderId="0" xfId="0" applyFont="1" applyFill="1" applyAlignment="1">
      <alignment horizontal="right"/>
    </xf>
    <xf numFmtId="0" fontId="5" fillId="2" borderId="0" xfId="0" applyFont="1" applyFill="1" applyAlignment="1">
      <alignment horizontal="centerContinuous"/>
    </xf>
    <xf numFmtId="0" fontId="7" fillId="2" borderId="0" xfId="0" applyFont="1" applyFill="1" applyAlignment="1">
      <alignment horizontal="left"/>
    </xf>
    <xf numFmtId="0" fontId="7" fillId="2" borderId="0" xfId="0" applyFont="1" applyFill="1" applyAlignment="1">
      <alignment horizontal="center"/>
    </xf>
    <xf numFmtId="0" fontId="3" fillId="2" borderId="0" xfId="0" applyFont="1" applyFill="1" applyAlignment="1">
      <alignment horizontal="left"/>
    </xf>
    <xf numFmtId="0" fontId="3" fillId="2" borderId="0" xfId="0" quotePrefix="1" applyFont="1" applyFill="1"/>
    <xf numFmtId="9" fontId="3" fillId="2" borderId="1" xfId="4" applyFont="1" applyFill="1" applyBorder="1"/>
    <xf numFmtId="43" fontId="3" fillId="2" borderId="0" xfId="1" applyNumberFormat="1" applyFont="1" applyFill="1"/>
    <xf numFmtId="176" fontId="3" fillId="2" borderId="1" xfId="1" applyNumberFormat="1" applyFont="1" applyFill="1" applyBorder="1"/>
    <xf numFmtId="169" fontId="3" fillId="2" borderId="0" xfId="1" applyNumberFormat="1" applyFont="1" applyFill="1"/>
    <xf numFmtId="43" fontId="3" fillId="2" borderId="1" xfId="0" applyNumberFormat="1" applyFont="1" applyFill="1" applyBorder="1"/>
    <xf numFmtId="10" fontId="3" fillId="2" borderId="1" xfId="4" applyNumberFormat="1" applyFont="1" applyFill="1" applyBorder="1"/>
    <xf numFmtId="43" fontId="3" fillId="2" borderId="10" xfId="0" applyNumberFormat="1" applyFont="1" applyFill="1" applyBorder="1"/>
    <xf numFmtId="176" fontId="3" fillId="2" borderId="0" xfId="1" applyNumberFormat="1" applyFont="1" applyFill="1"/>
    <xf numFmtId="43" fontId="3" fillId="2" borderId="0" xfId="0" applyNumberFormat="1" applyFont="1" applyFill="1" applyAlignment="1">
      <alignment horizontal="right"/>
    </xf>
    <xf numFmtId="0" fontId="16" fillId="2" borderId="0" xfId="0" applyFont="1" applyFill="1"/>
    <xf numFmtId="0" fontId="6" fillId="2" borderId="15" xfId="0" applyFont="1" applyFill="1" applyBorder="1" applyAlignment="1">
      <alignment horizontal="center"/>
    </xf>
    <xf numFmtId="0" fontId="7" fillId="2" borderId="0" xfId="0" applyFont="1" applyFill="1" applyBorder="1" applyAlignment="1">
      <alignment horizontal="center"/>
    </xf>
    <xf numFmtId="0" fontId="7" fillId="2" borderId="16" xfId="0" applyFont="1" applyFill="1" applyBorder="1" applyAlignment="1">
      <alignment horizontal="center"/>
    </xf>
    <xf numFmtId="0" fontId="5" fillId="2" borderId="0" xfId="0" applyFont="1" applyFill="1" applyAlignment="1">
      <alignment horizontal="centerContinuous" wrapText="1"/>
    </xf>
    <xf numFmtId="0" fontId="3" fillId="2" borderId="0" xfId="0" applyFont="1" applyFill="1" applyAlignment="1">
      <alignment horizontal="centerContinuous" wrapText="1"/>
    </xf>
    <xf numFmtId="0" fontId="3" fillId="2" borderId="0" xfId="0" applyFont="1" applyFill="1" applyAlignment="1">
      <alignment horizontal="center" wrapText="1"/>
    </xf>
    <xf numFmtId="0" fontId="3" fillId="2" borderId="0" xfId="0" applyFont="1" applyFill="1" applyAlignment="1">
      <alignment horizontal="left" wrapText="1"/>
    </xf>
    <xf numFmtId="0" fontId="3" fillId="2" borderId="0" xfId="0" applyFont="1" applyFill="1" applyBorder="1" applyAlignment="1">
      <alignment horizontal="centerContinuous" wrapText="1"/>
    </xf>
    <xf numFmtId="0" fontId="3" fillId="2" borderId="0" xfId="0" applyFont="1" applyFill="1" applyBorder="1" applyAlignment="1">
      <alignment horizontal="centerContinuous"/>
    </xf>
    <xf numFmtId="0" fontId="3" fillId="2" borderId="1" xfId="0" applyFont="1" applyFill="1" applyBorder="1" applyAlignment="1">
      <alignment horizontal="centerContinuous"/>
    </xf>
    <xf numFmtId="43" fontId="3" fillId="2" borderId="15" xfId="1" applyFont="1" applyFill="1" applyBorder="1"/>
    <xf numFmtId="0" fontId="3" fillId="2" borderId="16" xfId="0" applyFont="1" applyFill="1" applyBorder="1"/>
    <xf numFmtId="0" fontId="3" fillId="2" borderId="9" xfId="0" applyFont="1" applyFill="1" applyBorder="1"/>
    <xf numFmtId="0" fontId="3" fillId="2" borderId="17" xfId="0" applyFont="1" applyFill="1" applyBorder="1"/>
    <xf numFmtId="39" fontId="3" fillId="2" borderId="0" xfId="0" applyNumberFormat="1" applyFont="1" applyFill="1"/>
    <xf numFmtId="0" fontId="3" fillId="2" borderId="0" xfId="0" applyFont="1" applyFill="1" applyAlignment="1">
      <alignment horizontal="left" indent="1"/>
    </xf>
    <xf numFmtId="169" fontId="3" fillId="2" borderId="0" xfId="1" applyNumberFormat="1" applyFont="1" applyFill="1" applyBorder="1"/>
    <xf numFmtId="43" fontId="3" fillId="2" borderId="1" xfId="1" applyNumberFormat="1" applyFont="1" applyFill="1" applyBorder="1"/>
    <xf numFmtId="43" fontId="3" fillId="2" borderId="2" xfId="1" applyNumberFormat="1" applyFont="1" applyFill="1" applyBorder="1"/>
    <xf numFmtId="0" fontId="17" fillId="2" borderId="0" xfId="0" applyFont="1" applyFill="1"/>
    <xf numFmtId="0" fontId="7" fillId="2" borderId="0" xfId="0" applyFont="1" applyFill="1" applyAlignment="1">
      <alignment horizontal="right"/>
    </xf>
    <xf numFmtId="166" fontId="3" fillId="2" borderId="0" xfId="0" applyNumberFormat="1" applyFont="1" applyFill="1"/>
    <xf numFmtId="43" fontId="3" fillId="2" borderId="0" xfId="1" applyNumberFormat="1" applyFont="1" applyFill="1" applyBorder="1"/>
    <xf numFmtId="0" fontId="3" fillId="2" borderId="0" xfId="0" quotePrefix="1" applyFont="1" applyFill="1" applyAlignment="1">
      <alignment horizontal="left" indent="1"/>
    </xf>
    <xf numFmtId="0" fontId="3" fillId="4" borderId="4" xfId="0" applyFont="1" applyFill="1" applyBorder="1"/>
    <xf numFmtId="0" fontId="3" fillId="4" borderId="4" xfId="0" applyFont="1" applyFill="1" applyBorder="1" applyAlignment="1">
      <alignment horizontal="center"/>
    </xf>
    <xf numFmtId="1" fontId="3" fillId="4" borderId="4" xfId="0" applyNumberFormat="1" applyFont="1" applyFill="1" applyBorder="1" applyAlignment="1">
      <alignment horizontal="center"/>
    </xf>
    <xf numFmtId="43" fontId="3" fillId="4" borderId="4" xfId="1" applyFont="1" applyFill="1" applyBorder="1" applyAlignment="1"/>
    <xf numFmtId="172" fontId="3" fillId="4" borderId="4" xfId="0" applyNumberFormat="1" applyFont="1" applyFill="1" applyBorder="1"/>
    <xf numFmtId="43" fontId="3" fillId="4" borderId="4" xfId="1" applyFont="1" applyFill="1" applyBorder="1"/>
    <xf numFmtId="0" fontId="3" fillId="4" borderId="8" xfId="0" applyFont="1" applyFill="1" applyBorder="1" applyAlignment="1">
      <alignment horizontal="center"/>
    </xf>
    <xf numFmtId="0" fontId="3" fillId="4" borderId="8" xfId="0" applyFont="1" applyFill="1" applyBorder="1" applyAlignment="1">
      <alignment horizontal="left"/>
    </xf>
    <xf numFmtId="1" fontId="3" fillId="4" borderId="8" xfId="0" applyNumberFormat="1" applyFont="1" applyFill="1" applyBorder="1" applyAlignment="1">
      <alignment horizontal="center"/>
    </xf>
    <xf numFmtId="43" fontId="3" fillId="4" borderId="8" xfId="1" applyFont="1" applyFill="1" applyBorder="1" applyAlignment="1">
      <alignment horizontal="center"/>
    </xf>
    <xf numFmtId="168" fontId="3" fillId="4" borderId="4" xfId="1" applyNumberFormat="1" applyFont="1" applyFill="1" applyBorder="1"/>
    <xf numFmtId="43" fontId="3" fillId="2" borderId="0" xfId="1" applyNumberFormat="1" applyFont="1" applyFill="1" applyAlignment="1"/>
    <xf numFmtId="0" fontId="6" fillId="4" borderId="4" xfId="0" applyFont="1" applyFill="1" applyBorder="1" applyAlignment="1">
      <alignment horizontal="center"/>
    </xf>
    <xf numFmtId="0" fontId="3" fillId="0" borderId="4" xfId="0" applyFont="1" applyBorder="1"/>
    <xf numFmtId="0" fontId="5" fillId="0" borderId="0" xfId="0" applyFont="1"/>
    <xf numFmtId="0" fontId="3" fillId="0" borderId="4" xfId="0" applyFont="1" applyBorder="1" applyAlignment="1">
      <alignment horizontal="center"/>
    </xf>
    <xf numFmtId="0" fontId="4" fillId="0" borderId="0" xfId="7" applyFont="1" applyAlignment="1">
      <alignment horizontal="centerContinuous"/>
    </xf>
    <xf numFmtId="0" fontId="28" fillId="0" borderId="0" xfId="7" applyFont="1" applyAlignment="1">
      <alignment horizontal="centerContinuous"/>
    </xf>
    <xf numFmtId="0" fontId="6" fillId="0" borderId="0" xfId="7" applyFont="1"/>
    <xf numFmtId="0" fontId="5" fillId="0" borderId="0" xfId="7" applyFont="1" applyAlignment="1">
      <alignment horizontal="center"/>
    </xf>
    <xf numFmtId="4" fontId="5" fillId="0" borderId="0" xfId="7" applyNumberFormat="1" applyFont="1" applyAlignment="1">
      <alignment horizontal="center"/>
    </xf>
    <xf numFmtId="4" fontId="6" fillId="0" borderId="0" xfId="7" applyNumberFormat="1" applyFont="1" applyAlignment="1">
      <alignment horizontal="center"/>
    </xf>
    <xf numFmtId="0" fontId="7" fillId="0" borderId="0" xfId="7" applyFont="1" applyAlignment="1">
      <alignment horizontal="center"/>
    </xf>
    <xf numFmtId="0" fontId="6" fillId="0" borderId="0" xfId="7" applyFont="1" applyAlignment="1">
      <alignment horizontal="center"/>
    </xf>
    <xf numFmtId="0" fontId="5" fillId="0" borderId="0" xfId="7" applyFont="1"/>
    <xf numFmtId="0" fontId="3" fillId="2" borderId="0" xfId="0" applyFont="1" applyFill="1" applyBorder="1" applyAlignment="1">
      <alignment horizontal="center"/>
    </xf>
    <xf numFmtId="0" fontId="3" fillId="2" borderId="1" xfId="0" applyFont="1" applyFill="1" applyBorder="1" applyAlignment="1">
      <alignment horizontal="center"/>
    </xf>
    <xf numFmtId="0" fontId="3" fillId="0" borderId="4" xfId="0" applyFont="1" applyFill="1" applyBorder="1" applyAlignment="1">
      <alignment horizontal="center"/>
    </xf>
    <xf numFmtId="0" fontId="3" fillId="0" borderId="0" xfId="0" applyFont="1" applyAlignment="1">
      <alignment horizontal="right"/>
    </xf>
    <xf numFmtId="0" fontId="3" fillId="0" borderId="0" xfId="0" applyFont="1" applyAlignment="1">
      <alignment horizontal="center"/>
    </xf>
    <xf numFmtId="43" fontId="3" fillId="0" borderId="0" xfId="0" applyNumberFormat="1" applyFont="1" applyFill="1"/>
    <xf numFmtId="43" fontId="3" fillId="0" borderId="0" xfId="0" applyNumberFormat="1" applyFont="1" applyBorder="1"/>
    <xf numFmtId="43" fontId="3" fillId="0" borderId="1" xfId="0" applyNumberFormat="1" applyFont="1" applyBorder="1"/>
    <xf numFmtId="43" fontId="3" fillId="0" borderId="1" xfId="0" applyNumberFormat="1" applyFont="1" applyFill="1" applyBorder="1"/>
    <xf numFmtId="43" fontId="3" fillId="0" borderId="2" xfId="0" applyNumberFormat="1" applyFont="1" applyBorder="1"/>
    <xf numFmtId="0" fontId="3" fillId="0" borderId="0" xfId="7" applyFont="1" applyAlignment="1">
      <alignment horizontal="centerContinuous"/>
    </xf>
    <xf numFmtId="4" fontId="3" fillId="0" borderId="0" xfId="7" applyNumberFormat="1" applyFont="1" applyAlignment="1">
      <alignment horizontal="centerContinuous"/>
    </xf>
    <xf numFmtId="0" fontId="3" fillId="0" borderId="0" xfId="7" applyFont="1" applyFill="1" applyAlignment="1">
      <alignment horizontal="left"/>
    </xf>
    <xf numFmtId="0" fontId="3" fillId="0" borderId="0" xfId="7" applyFont="1"/>
    <xf numFmtId="4" fontId="3" fillId="0" borderId="0" xfId="7" applyNumberFormat="1" applyFont="1" applyAlignment="1">
      <alignment horizontal="center"/>
    </xf>
    <xf numFmtId="0" fontId="3" fillId="0" borderId="0" xfId="7" applyFont="1" applyAlignment="1">
      <alignment horizontal="center"/>
    </xf>
    <xf numFmtId="0" fontId="3" fillId="0" borderId="0" xfId="7" applyFont="1" applyFill="1"/>
    <xf numFmtId="4" fontId="3" fillId="0" borderId="0" xfId="7" applyNumberFormat="1" applyFont="1" applyBorder="1"/>
    <xf numFmtId="43" fontId="3" fillId="0" borderId="0" xfId="1" applyFont="1" applyBorder="1"/>
    <xf numFmtId="4" fontId="3" fillId="0" borderId="0" xfId="7" applyNumberFormat="1" applyFont="1"/>
    <xf numFmtId="4" fontId="3" fillId="0" borderId="0" xfId="7" applyNumberFormat="1" applyFont="1" applyAlignment="1">
      <alignment horizontal="right"/>
    </xf>
    <xf numFmtId="0" fontId="3" fillId="0" borderId="0" xfId="0" applyFont="1" applyBorder="1" applyAlignment="1">
      <alignment horizontal="center"/>
    </xf>
    <xf numFmtId="10" fontId="3" fillId="0" borderId="0" xfId="4" applyNumberFormat="1" applyFont="1" applyAlignment="1">
      <alignment horizontal="center"/>
    </xf>
    <xf numFmtId="165" fontId="3" fillId="0" borderId="0" xfId="0" applyNumberFormat="1" applyFont="1" applyAlignment="1">
      <alignment horizontal="center"/>
    </xf>
    <xf numFmtId="10" fontId="3" fillId="0" borderId="0" xfId="0" applyNumberFormat="1" applyFont="1" applyBorder="1" applyAlignment="1">
      <alignment horizontal="center"/>
    </xf>
    <xf numFmtId="164" fontId="3" fillId="0" borderId="0" xfId="0" applyNumberFormat="1" applyFont="1" applyAlignment="1">
      <alignment horizontal="center"/>
    </xf>
    <xf numFmtId="165" fontId="3" fillId="0" borderId="10" xfId="0" applyNumberFormat="1" applyFont="1" applyBorder="1" applyAlignment="1">
      <alignment horizontal="center"/>
    </xf>
    <xf numFmtId="10" fontId="3" fillId="0" borderId="0" xfId="0" applyNumberFormat="1" applyFont="1"/>
    <xf numFmtId="0" fontId="3" fillId="0" borderId="0" xfId="0" applyFont="1" applyBorder="1"/>
    <xf numFmtId="10" fontId="3" fillId="0" borderId="0" xfId="4" applyNumberFormat="1" applyFont="1"/>
    <xf numFmtId="165" fontId="3" fillId="0" borderId="0" xfId="4" applyNumberFormat="1" applyFont="1"/>
    <xf numFmtId="37" fontId="3" fillId="0" borderId="0" xfId="0" applyNumberFormat="1" applyFont="1"/>
    <xf numFmtId="3" fontId="3" fillId="0" borderId="0" xfId="0" applyNumberFormat="1" applyFont="1"/>
    <xf numFmtId="173" fontId="3" fillId="0" borderId="0" xfId="0" applyNumberFormat="1" applyFont="1"/>
    <xf numFmtId="3" fontId="3" fillId="0" borderId="1" xfId="0" applyNumberFormat="1" applyFont="1" applyBorder="1"/>
    <xf numFmtId="165" fontId="3" fillId="0" borderId="1" xfId="4" applyNumberFormat="1" applyFont="1" applyBorder="1"/>
    <xf numFmtId="37" fontId="3" fillId="0" borderId="1" xfId="0" applyNumberFormat="1" applyFont="1" applyBorder="1"/>
    <xf numFmtId="3" fontId="3" fillId="0" borderId="0" xfId="0" applyNumberFormat="1" applyFont="1" applyBorder="1"/>
    <xf numFmtId="170" fontId="3" fillId="0" borderId="0" xfId="0" applyNumberFormat="1" applyFont="1"/>
    <xf numFmtId="165" fontId="3" fillId="0" borderId="0" xfId="4" applyNumberFormat="1" applyFont="1" applyBorder="1"/>
    <xf numFmtId="37" fontId="3" fillId="0" borderId="0" xfId="0" applyNumberFormat="1" applyFont="1" applyBorder="1"/>
    <xf numFmtId="165" fontId="3" fillId="0" borderId="0" xfId="0" applyNumberFormat="1" applyFont="1"/>
    <xf numFmtId="3" fontId="3" fillId="0" borderId="2" xfId="0" applyNumberFormat="1" applyFont="1" applyBorder="1"/>
    <xf numFmtId="0" fontId="3" fillId="2" borderId="0" xfId="0" applyNumberFormat="1" applyFont="1" applyFill="1" applyAlignment="1">
      <alignment horizontal="center"/>
    </xf>
    <xf numFmtId="1" fontId="3" fillId="2" borderId="4" xfId="1" applyNumberFormat="1" applyFont="1" applyFill="1" applyBorder="1" applyAlignment="1">
      <alignment horizontal="center"/>
    </xf>
    <xf numFmtId="169" fontId="3" fillId="2" borderId="4" xfId="1" applyNumberFormat="1" applyFont="1" applyFill="1" applyBorder="1"/>
    <xf numFmtId="43" fontId="3" fillId="2" borderId="7" xfId="1" applyFont="1" applyFill="1" applyBorder="1"/>
    <xf numFmtId="43" fontId="3" fillId="2" borderId="5" xfId="1" applyFont="1" applyFill="1" applyBorder="1"/>
    <xf numFmtId="43" fontId="3" fillId="2" borderId="8" xfId="1" applyFont="1" applyFill="1" applyBorder="1"/>
    <xf numFmtId="39" fontId="3" fillId="2" borderId="0" xfId="0" applyNumberFormat="1" applyFont="1" applyFill="1" applyBorder="1"/>
    <xf numFmtId="0" fontId="3" fillId="2" borderId="0" xfId="1" applyNumberFormat="1" applyFont="1" applyFill="1" applyBorder="1" applyAlignment="1">
      <alignment horizontal="center"/>
    </xf>
    <xf numFmtId="43" fontId="3" fillId="2" borderId="0" xfId="0" applyNumberFormat="1" applyFont="1" applyFill="1" applyAlignment="1">
      <alignment horizontal="center"/>
    </xf>
    <xf numFmtId="0" fontId="3" fillId="0" borderId="3" xfId="0" applyFont="1" applyBorder="1" applyAlignment="1">
      <alignment horizontal="centerContinuous"/>
    </xf>
    <xf numFmtId="0" fontId="3" fillId="0" borderId="0" xfId="0" applyFont="1" applyBorder="1" applyAlignment="1">
      <alignment horizontal="left"/>
    </xf>
    <xf numFmtId="0" fontId="3" fillId="0" borderId="11" xfId="0" applyFont="1" applyBorder="1" applyAlignment="1">
      <alignment horizontal="centerContinuous"/>
    </xf>
    <xf numFmtId="0" fontId="3" fillId="0" borderId="12" xfId="0" applyFont="1" applyBorder="1" applyAlignment="1">
      <alignment horizontal="centerContinuous"/>
    </xf>
    <xf numFmtId="0" fontId="3" fillId="0" borderId="1" xfId="0" applyFont="1" applyBorder="1" applyAlignment="1">
      <alignment horizontal="center"/>
    </xf>
    <xf numFmtId="49" fontId="3" fillId="0" borderId="4" xfId="0" applyNumberFormat="1" applyFont="1" applyBorder="1" applyAlignment="1">
      <alignment horizontal="center"/>
    </xf>
    <xf numFmtId="43" fontId="3" fillId="0" borderId="4" xfId="1" applyFont="1" applyBorder="1"/>
    <xf numFmtId="0" fontId="3" fillId="0" borderId="4" xfId="0" applyFont="1" applyBorder="1" applyAlignment="1">
      <alignment horizontal="left"/>
    </xf>
    <xf numFmtId="0" fontId="7" fillId="0" borderId="0" xfId="0" applyFont="1" applyFill="1" applyBorder="1" applyAlignment="1">
      <alignment horizontal="center"/>
    </xf>
    <xf numFmtId="0" fontId="3" fillId="0" borderId="6" xfId="0" applyFont="1" applyBorder="1"/>
    <xf numFmtId="0" fontId="3" fillId="0" borderId="6" xfId="0" applyFont="1" applyBorder="1" applyAlignment="1">
      <alignment horizontal="center"/>
    </xf>
    <xf numFmtId="0" fontId="3" fillId="0" borderId="1" xfId="0" applyFont="1" applyBorder="1"/>
    <xf numFmtId="0" fontId="3" fillId="2" borderId="1" xfId="0" applyFont="1" applyFill="1" applyBorder="1" applyAlignment="1">
      <alignment horizontal="center"/>
    </xf>
    <xf numFmtId="0" fontId="0" fillId="0" borderId="4" xfId="0" applyBorder="1"/>
    <xf numFmtId="0" fontId="0" fillId="0" borderId="4" xfId="0" applyBorder="1" applyAlignment="1">
      <alignment horizontal="center"/>
    </xf>
    <xf numFmtId="43" fontId="0" fillId="0" borderId="4" xfId="1" applyFont="1" applyBorder="1"/>
    <xf numFmtId="0" fontId="3" fillId="0" borderId="4" xfId="0" applyFont="1" applyFill="1" applyBorder="1"/>
    <xf numFmtId="172" fontId="0" fillId="0" borderId="3" xfId="0" applyNumberFormat="1" applyBorder="1"/>
    <xf numFmtId="1" fontId="3" fillId="0" borderId="4" xfId="0" applyNumberFormat="1" applyFont="1" applyFill="1" applyBorder="1" applyAlignment="1">
      <alignment horizontal="center"/>
    </xf>
    <xf numFmtId="43" fontId="3" fillId="0" borderId="4" xfId="1" applyFont="1" applyFill="1" applyBorder="1"/>
    <xf numFmtId="168" fontId="3" fillId="0" borderId="4" xfId="1" applyNumberFormat="1" applyFont="1" applyFill="1" applyBorder="1"/>
    <xf numFmtId="172" fontId="3" fillId="0" borderId="4" xfId="0" applyNumberFormat="1" applyFont="1" applyFill="1" applyBorder="1"/>
    <xf numFmtId="0" fontId="5" fillId="2" borderId="14" xfId="0" applyFont="1" applyFill="1" applyBorder="1" applyAlignment="1">
      <alignment horizontal="center"/>
    </xf>
    <xf numFmtId="0" fontId="5" fillId="2" borderId="15" xfId="0" applyFont="1" applyFill="1" applyBorder="1" applyAlignment="1">
      <alignment horizontal="center"/>
    </xf>
    <xf numFmtId="0" fontId="5" fillId="2" borderId="9" xfId="0" applyFont="1" applyFill="1" applyBorder="1" applyAlignment="1">
      <alignment horizontal="center"/>
    </xf>
    <xf numFmtId="43" fontId="3" fillId="2" borderId="18" xfId="1" applyFont="1" applyFill="1" applyBorder="1"/>
    <xf numFmtId="43" fontId="3" fillId="2" borderId="16" xfId="1" applyFont="1" applyFill="1" applyBorder="1"/>
    <xf numFmtId="43" fontId="3" fillId="2" borderId="17" xfId="1" applyFont="1" applyFill="1" applyBorder="1"/>
    <xf numFmtId="0" fontId="3" fillId="0" borderId="11" xfId="0" applyFont="1" applyBorder="1" applyAlignment="1">
      <alignment horizontal="center"/>
    </xf>
    <xf numFmtId="0" fontId="29" fillId="2" borderId="0" xfId="0" applyFont="1" applyFill="1"/>
    <xf numFmtId="0" fontId="5" fillId="2" borderId="0" xfId="7" applyFont="1" applyFill="1" applyAlignment="1">
      <alignment horizontal="centerContinuous"/>
    </xf>
    <xf numFmtId="0" fontId="3" fillId="2" borderId="0" xfId="7" applyFont="1" applyFill="1"/>
    <xf numFmtId="0" fontId="5" fillId="2" borderId="0" xfId="7" applyFont="1" applyFill="1"/>
    <xf numFmtId="0" fontId="7" fillId="2" borderId="0" xfId="7" applyFont="1" applyFill="1" applyAlignment="1">
      <alignment horizontal="left"/>
    </xf>
    <xf numFmtId="0" fontId="3" fillId="2" borderId="0" xfId="7" applyFont="1" applyFill="1" applyAlignment="1">
      <alignment horizontal="left"/>
    </xf>
    <xf numFmtId="0" fontId="7" fillId="2" borderId="0" xfId="7" applyFont="1" applyFill="1" applyAlignment="1">
      <alignment horizontal="center"/>
    </xf>
    <xf numFmtId="43" fontId="3" fillId="2" borderId="0" xfId="7" applyNumberFormat="1" applyFont="1" applyFill="1" applyBorder="1"/>
    <xf numFmtId="43" fontId="3" fillId="2" borderId="0" xfId="7" applyNumberFormat="1" applyFont="1" applyFill="1"/>
    <xf numFmtId="0" fontId="3" fillId="2" borderId="0" xfId="7" quotePrefix="1" applyFont="1" applyFill="1"/>
    <xf numFmtId="0" fontId="3" fillId="2" borderId="0" xfId="7" applyFont="1" applyFill="1" applyAlignment="1">
      <alignment horizontal="right"/>
    </xf>
    <xf numFmtId="43" fontId="3" fillId="2" borderId="1" xfId="7" applyNumberFormat="1" applyFont="1" applyFill="1" applyBorder="1"/>
    <xf numFmtId="175" fontId="3" fillId="2" borderId="1" xfId="7" applyNumberFormat="1" applyFont="1" applyFill="1" applyBorder="1"/>
    <xf numFmtId="43" fontId="3" fillId="2" borderId="10" xfId="7" applyNumberFormat="1" applyFont="1" applyFill="1" applyBorder="1"/>
    <xf numFmtId="43" fontId="3" fillId="2" borderId="0" xfId="7" applyNumberFormat="1" applyFont="1" applyFill="1" applyAlignment="1">
      <alignment horizontal="right"/>
    </xf>
    <xf numFmtId="0" fontId="31" fillId="0" borderId="0" xfId="9" applyFont="1"/>
    <xf numFmtId="0" fontId="31" fillId="0" borderId="0" xfId="9" applyFont="1" applyAlignment="1">
      <alignment wrapText="1"/>
    </xf>
    <xf numFmtId="0" fontId="30" fillId="0" borderId="0" xfId="9"/>
    <xf numFmtId="0" fontId="32" fillId="0" borderId="0" xfId="9" applyFont="1" applyAlignment="1">
      <alignment wrapText="1"/>
    </xf>
    <xf numFmtId="0" fontId="32" fillId="0" borderId="0" xfId="9" applyFont="1" applyAlignment="1">
      <alignment horizontal="center"/>
    </xf>
    <xf numFmtId="0" fontId="33" fillId="0" borderId="0" xfId="9" applyFont="1" applyAlignment="1"/>
    <xf numFmtId="0" fontId="30" fillId="0" borderId="0" xfId="9" applyAlignment="1">
      <alignment wrapText="1"/>
    </xf>
    <xf numFmtId="0" fontId="34" fillId="0" borderId="0" xfId="9" applyFont="1" applyAlignment="1">
      <alignment vertical="center"/>
    </xf>
    <xf numFmtId="0" fontId="35" fillId="0" borderId="0" xfId="9" applyFont="1" applyAlignment="1">
      <alignment vertical="center"/>
    </xf>
    <xf numFmtId="0" fontId="30" fillId="0" borderId="0" xfId="9" applyAlignment="1">
      <alignment horizontal="right" vertical="top"/>
    </xf>
    <xf numFmtId="0" fontId="35" fillId="0" borderId="0" xfId="9" applyFont="1" applyAlignment="1">
      <alignment vertical="top" wrapText="1"/>
    </xf>
    <xf numFmtId="0" fontId="3" fillId="0" borderId="8" xfId="0" applyFont="1" applyFill="1" applyBorder="1" applyAlignment="1">
      <alignment horizontal="center"/>
    </xf>
    <xf numFmtId="0" fontId="3" fillId="0" borderId="8" xfId="0" applyFont="1" applyFill="1" applyBorder="1" applyAlignment="1">
      <alignment horizontal="left"/>
    </xf>
    <xf numFmtId="1" fontId="3" fillId="0" borderId="8" xfId="0" applyNumberFormat="1" applyFont="1" applyFill="1" applyBorder="1" applyAlignment="1">
      <alignment horizontal="center"/>
    </xf>
    <xf numFmtId="43" fontId="3" fillId="0" borderId="8" xfId="1" applyFont="1" applyFill="1" applyBorder="1" applyAlignment="1">
      <alignment horizontal="center"/>
    </xf>
    <xf numFmtId="43" fontId="3" fillId="0" borderId="3" xfId="1" applyFont="1" applyFill="1" applyBorder="1"/>
    <xf numFmtId="43" fontId="3" fillId="0" borderId="11" xfId="1" applyFont="1" applyFill="1" applyBorder="1"/>
    <xf numFmtId="0" fontId="0" fillId="0" borderId="4" xfId="0" applyFill="1" applyBorder="1" applyAlignment="1">
      <alignment horizontal="center"/>
    </xf>
    <xf numFmtId="172" fontId="0" fillId="0" borderId="4" xfId="0" applyNumberFormat="1" applyBorder="1"/>
    <xf numFmtId="0" fontId="3" fillId="2" borderId="0" xfId="7" applyFont="1" applyFill="1" applyAlignment="1">
      <alignment horizontal="center"/>
    </xf>
    <xf numFmtId="1" fontId="3" fillId="2" borderId="0" xfId="7" applyNumberFormat="1" applyFont="1" applyFill="1" applyAlignment="1">
      <alignment horizontal="center"/>
    </xf>
    <xf numFmtId="0" fontId="5" fillId="0" borderId="7" xfId="10" applyFont="1" applyFill="1" applyBorder="1" applyAlignment="1">
      <alignment horizontal="center"/>
    </xf>
    <xf numFmtId="0" fontId="5" fillId="0" borderId="8" xfId="10" applyFont="1" applyFill="1" applyBorder="1" applyAlignment="1">
      <alignment horizontal="center"/>
    </xf>
    <xf numFmtId="0" fontId="3" fillId="0" borderId="4" xfId="10" applyFont="1" applyFill="1" applyBorder="1" applyAlignment="1">
      <alignment horizontal="center"/>
    </xf>
    <xf numFmtId="169" fontId="3" fillId="0" borderId="0" xfId="0" applyNumberFormat="1" applyFont="1" applyFill="1" applyBorder="1"/>
    <xf numFmtId="169" fontId="3" fillId="0" borderId="0" xfId="1" applyNumberFormat="1" applyFont="1" applyBorder="1"/>
    <xf numFmtId="169" fontId="3" fillId="0" borderId="0" xfId="1" quotePrefix="1" applyNumberFormat="1" applyFont="1" applyBorder="1"/>
    <xf numFmtId="169" fontId="3" fillId="0" borderId="0" xfId="0" applyNumberFormat="1" applyFont="1" applyBorder="1"/>
    <xf numFmtId="43" fontId="29" fillId="2" borderId="0" xfId="1" applyFont="1" applyFill="1"/>
    <xf numFmtId="0" fontId="29" fillId="2" borderId="0" xfId="0" applyFont="1" applyFill="1" applyAlignment="1">
      <alignment horizontal="centerContinuous" wrapText="1"/>
    </xf>
    <xf numFmtId="43" fontId="0" fillId="0" borderId="11" xfId="1" applyFont="1" applyBorder="1"/>
    <xf numFmtId="0" fontId="0" fillId="0" borderId="4" xfId="0" applyFill="1" applyBorder="1"/>
    <xf numFmtId="43" fontId="0" fillId="0" borderId="4" xfId="1" applyFont="1" applyFill="1" applyBorder="1"/>
    <xf numFmtId="172" fontId="0" fillId="0" borderId="3" xfId="0" applyNumberFormat="1" applyFill="1" applyBorder="1"/>
    <xf numFmtId="43" fontId="0" fillId="0" borderId="11" xfId="1" applyFont="1" applyFill="1" applyBorder="1"/>
    <xf numFmtId="43" fontId="0" fillId="0" borderId="3" xfId="1" applyFont="1" applyBorder="1"/>
    <xf numFmtId="0" fontId="0" fillId="0" borderId="4" xfId="0" applyBorder="1" applyAlignment="1">
      <alignment horizontal="left"/>
    </xf>
    <xf numFmtId="172" fontId="0" fillId="0" borderId="4" xfId="0" applyNumberFormat="1" applyFill="1" applyBorder="1"/>
    <xf numFmtId="43" fontId="0" fillId="0" borderId="3" xfId="1" applyFont="1" applyFill="1" applyBorder="1"/>
    <xf numFmtId="0" fontId="0" fillId="0" borderId="4" xfId="0" applyNumberFormat="1" applyBorder="1" applyAlignment="1">
      <alignment horizontal="center"/>
    </xf>
    <xf numFmtId="0" fontId="0" fillId="0" borderId="0" xfId="0" applyBorder="1" applyAlignment="1">
      <alignment horizontal="center"/>
    </xf>
    <xf numFmtId="0" fontId="0" fillId="3" borderId="4" xfId="0" applyFill="1" applyBorder="1"/>
    <xf numFmtId="0" fontId="0" fillId="5" borderId="4" xfId="0" applyFill="1" applyBorder="1"/>
    <xf numFmtId="0" fontId="0" fillId="5" borderId="4" xfId="0" applyFill="1" applyBorder="1" applyAlignment="1">
      <alignment horizontal="center"/>
    </xf>
    <xf numFmtId="43" fontId="0" fillId="5" borderId="4" xfId="1" applyFont="1" applyFill="1" applyBorder="1"/>
    <xf numFmtId="172" fontId="0" fillId="5" borderId="3" xfId="0" applyNumberFormat="1" applyFill="1" applyBorder="1"/>
    <xf numFmtId="43" fontId="0" fillId="5" borderId="11" xfId="1" applyFont="1" applyFill="1" applyBorder="1"/>
    <xf numFmtId="0" fontId="3" fillId="5" borderId="4" xfId="0" applyFont="1" applyFill="1" applyBorder="1"/>
    <xf numFmtId="0" fontId="3" fillId="5" borderId="4" xfId="0" applyFont="1" applyFill="1" applyBorder="1" applyAlignment="1">
      <alignment horizontal="center"/>
    </xf>
    <xf numFmtId="43" fontId="3" fillId="5" borderId="4" xfId="1" applyFont="1" applyFill="1" applyBorder="1"/>
    <xf numFmtId="180" fontId="3" fillId="2" borderId="0" xfId="1" applyNumberFormat="1" applyFont="1" applyFill="1"/>
    <xf numFmtId="0" fontId="3" fillId="2" borderId="0" xfId="0" applyNumberFormat="1" applyFont="1" applyFill="1" applyAlignment="1">
      <alignment horizontal="left"/>
    </xf>
    <xf numFmtId="1" fontId="3" fillId="5" borderId="4" xfId="0" applyNumberFormat="1" applyFont="1" applyFill="1" applyBorder="1" applyAlignment="1">
      <alignment horizontal="center"/>
    </xf>
    <xf numFmtId="0" fontId="3" fillId="0" borderId="8" xfId="10" applyFont="1" applyFill="1" applyBorder="1" applyAlignment="1">
      <alignment horizontal="center"/>
    </xf>
    <xf numFmtId="0" fontId="6" fillId="0" borderId="8" xfId="0" applyFont="1" applyFill="1" applyBorder="1" applyAlignment="1">
      <alignment horizontal="center"/>
    </xf>
    <xf numFmtId="172" fontId="3" fillId="0" borderId="0" xfId="0" applyNumberFormat="1" applyFont="1" applyFill="1" applyBorder="1"/>
    <xf numFmtId="172" fontId="0" fillId="0" borderId="0" xfId="0" applyNumberFormat="1" applyBorder="1"/>
    <xf numFmtId="43" fontId="0" fillId="5" borderId="3" xfId="1" applyFont="1" applyFill="1" applyBorder="1"/>
    <xf numFmtId="0" fontId="0" fillId="0" borderId="3" xfId="0" applyBorder="1"/>
    <xf numFmtId="43" fontId="0" fillId="0" borderId="0" xfId="1" applyFont="1" applyFill="1" applyBorder="1"/>
    <xf numFmtId="0" fontId="0" fillId="0" borderId="4" xfId="0" applyFont="1" applyBorder="1" applyAlignment="1">
      <alignment horizontal="center"/>
    </xf>
    <xf numFmtId="0" fontId="38" fillId="0" borderId="4" xfId="0" applyFont="1" applyBorder="1" applyAlignment="1">
      <alignment horizontal="center"/>
    </xf>
    <xf numFmtId="172" fontId="0" fillId="0" borderId="11" xfId="0" applyNumberFormat="1" applyBorder="1"/>
    <xf numFmtId="0" fontId="0" fillId="4" borderId="4" xfId="0" applyFill="1" applyBorder="1"/>
    <xf numFmtId="43" fontId="0" fillId="4" borderId="4" xfId="1" applyFont="1" applyFill="1" applyBorder="1"/>
    <xf numFmtId="0" fontId="38" fillId="0" borderId="4" xfId="0" applyFont="1" applyFill="1" applyBorder="1" applyAlignment="1">
      <alignment horizontal="center"/>
    </xf>
    <xf numFmtId="0" fontId="0" fillId="0" borderId="4" xfId="0" applyFont="1" applyFill="1" applyBorder="1" applyAlignment="1">
      <alignment horizontal="center"/>
    </xf>
    <xf numFmtId="172" fontId="0" fillId="4" borderId="4" xfId="0" applyNumberFormat="1" applyFill="1" applyBorder="1"/>
    <xf numFmtId="43" fontId="0" fillId="0" borderId="4" xfId="1" applyFont="1" applyBorder="1" applyAlignment="1">
      <alignment horizontal="center"/>
    </xf>
    <xf numFmtId="0" fontId="6" fillId="0" borderId="4" xfId="0" applyFont="1" applyBorder="1" applyAlignment="1">
      <alignment horizontal="left" vertical="center"/>
    </xf>
    <xf numFmtId="0" fontId="6" fillId="0" borderId="4" xfId="0" applyFont="1" applyBorder="1" applyAlignment="1">
      <alignment horizontal="center" vertical="center"/>
    </xf>
    <xf numFmtId="43" fontId="6" fillId="0" borderId="4" xfId="1" applyFont="1" applyBorder="1" applyAlignment="1">
      <alignment horizontal="center" vertical="center"/>
    </xf>
    <xf numFmtId="0" fontId="0" fillId="4" borderId="4" xfId="0" applyFill="1" applyBorder="1" applyAlignment="1">
      <alignment horizontal="center"/>
    </xf>
    <xf numFmtId="49" fontId="3" fillId="0" borderId="4" xfId="0" applyNumberFormat="1" applyFont="1" applyFill="1" applyBorder="1" applyAlignment="1">
      <alignment horizontal="center"/>
    </xf>
    <xf numFmtId="43" fontId="3" fillId="2" borderId="0" xfId="0" quotePrefix="1" applyNumberFormat="1" applyFont="1" applyFill="1"/>
    <xf numFmtId="168" fontId="3" fillId="2" borderId="0" xfId="1" applyNumberFormat="1" applyFont="1" applyFill="1" applyAlignment="1">
      <alignment horizontal="left"/>
    </xf>
    <xf numFmtId="0" fontId="3" fillId="2" borderId="0" xfId="0" applyFont="1" applyFill="1"/>
    <xf numFmtId="0" fontId="3" fillId="2" borderId="0" xfId="0" applyFont="1" applyFill="1" applyBorder="1"/>
    <xf numFmtId="0" fontId="3" fillId="2" borderId="4" xfId="0" applyFont="1" applyFill="1" applyBorder="1"/>
    <xf numFmtId="0" fontId="3" fillId="0" borderId="4" xfId="0" applyFont="1" applyBorder="1" applyAlignment="1">
      <alignment horizontal="center"/>
    </xf>
    <xf numFmtId="0" fontId="0" fillId="0" borderId="4" xfId="0" applyBorder="1"/>
    <xf numFmtId="0" fontId="0" fillId="0" borderId="4" xfId="0" applyBorder="1" applyAlignment="1">
      <alignment horizontal="center"/>
    </xf>
    <xf numFmtId="43" fontId="0" fillId="0" borderId="4" xfId="1" applyFont="1" applyBorder="1"/>
    <xf numFmtId="172" fontId="0" fillId="0" borderId="3" xfId="0" applyNumberFormat="1" applyBorder="1"/>
    <xf numFmtId="0" fontId="0" fillId="0" borderId="4" xfId="0" applyFill="1" applyBorder="1" applyAlignment="1">
      <alignment horizontal="center"/>
    </xf>
    <xf numFmtId="43" fontId="0" fillId="0" borderId="11" xfId="1" applyFont="1" applyBorder="1"/>
    <xf numFmtId="0" fontId="0" fillId="0" borderId="4" xfId="0" applyFill="1" applyBorder="1"/>
    <xf numFmtId="43" fontId="0" fillId="0" borderId="4" xfId="1" applyFont="1" applyFill="1" applyBorder="1"/>
    <xf numFmtId="172" fontId="0" fillId="0" borderId="3" xfId="0" applyNumberFormat="1" applyFill="1" applyBorder="1"/>
    <xf numFmtId="43" fontId="0" fillId="0" borderId="11" xfId="1" applyFont="1" applyFill="1" applyBorder="1"/>
    <xf numFmtId="0" fontId="3" fillId="0" borderId="3" xfId="0" applyFont="1" applyBorder="1"/>
    <xf numFmtId="43" fontId="0" fillId="5" borderId="11" xfId="1" applyFont="1" applyFill="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4" xfId="0" applyNumberFormat="1" applyBorder="1"/>
    <xf numFmtId="0" fontId="0" fillId="5" borderId="4" xfId="0" applyFill="1" applyBorder="1"/>
    <xf numFmtId="0" fontId="0" fillId="5" borderId="4" xfId="0" applyFill="1" applyBorder="1" applyAlignment="1">
      <alignment horizontal="center"/>
    </xf>
    <xf numFmtId="43" fontId="0" fillId="5" borderId="4" xfId="1" applyFont="1" applyFill="1" applyBorder="1"/>
    <xf numFmtId="0" fontId="3" fillId="5" borderId="4" xfId="0" applyFont="1" applyFill="1" applyBorder="1"/>
    <xf numFmtId="0" fontId="3" fillId="5" borderId="4" xfId="0" applyFont="1" applyFill="1" applyBorder="1" applyAlignment="1">
      <alignment horizontal="center"/>
    </xf>
    <xf numFmtId="43" fontId="3" fillId="5" borderId="4" xfId="1" applyFont="1" applyFill="1" applyBorder="1"/>
    <xf numFmtId="1" fontId="3" fillId="5" borderId="4" xfId="0" applyNumberFormat="1" applyFont="1" applyFill="1" applyBorder="1" applyAlignment="1">
      <alignment horizontal="center"/>
    </xf>
    <xf numFmtId="172" fontId="0" fillId="5" borderId="4" xfId="0" applyNumberFormat="1" applyFill="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4" xfId="0" applyNumberFormat="1" applyBorder="1"/>
    <xf numFmtId="0" fontId="3" fillId="2" borderId="0" xfId="0" applyFont="1" applyFill="1"/>
    <xf numFmtId="0" fontId="3" fillId="0" borderId="4" xfId="0" applyFont="1" applyBorder="1"/>
    <xf numFmtId="0" fontId="3" fillId="0" borderId="4" xfId="0" applyFont="1" applyBorder="1" applyAlignment="1">
      <alignment horizontal="center"/>
    </xf>
    <xf numFmtId="43" fontId="3" fillId="0" borderId="4" xfId="1" applyFont="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4" xfId="0" applyNumberFormat="1" applyBorder="1"/>
    <xf numFmtId="0" fontId="3" fillId="5" borderId="4" xfId="0" applyFont="1" applyFill="1" applyBorder="1"/>
    <xf numFmtId="43" fontId="3" fillId="5" borderId="4" xfId="1" applyFont="1" applyFill="1" applyBorder="1"/>
    <xf numFmtId="0" fontId="0" fillId="0" borderId="4" xfId="0" applyFill="1" applyBorder="1"/>
    <xf numFmtId="43" fontId="0" fillId="0" borderId="4" xfId="1" applyFont="1" applyFill="1" applyBorder="1"/>
    <xf numFmtId="43" fontId="0" fillId="3" borderId="4" xfId="1" applyFont="1" applyFill="1" applyBorder="1"/>
    <xf numFmtId="43" fontId="0" fillId="0" borderId="0" xfId="1" applyFont="1"/>
    <xf numFmtId="0" fontId="0" fillId="0" borderId="4" xfId="0" applyFill="1" applyBorder="1" applyAlignment="1">
      <alignment horizontal="center"/>
    </xf>
    <xf numFmtId="172" fontId="0" fillId="0" borderId="4" xfId="0" applyNumberFormat="1" applyBorder="1"/>
    <xf numFmtId="0" fontId="0" fillId="0" borderId="8" xfId="0" applyBorder="1" applyAlignment="1">
      <alignment horizontal="center"/>
    </xf>
    <xf numFmtId="0" fontId="0" fillId="0" borderId="8" xfId="0" applyBorder="1"/>
    <xf numFmtId="43" fontId="0" fillId="0" borderId="8" xfId="1" applyFont="1" applyBorder="1"/>
    <xf numFmtId="0" fontId="3" fillId="0" borderId="4" xfId="0" applyFont="1" applyBorder="1" applyAlignment="1">
      <alignment horizontal="center"/>
    </xf>
    <xf numFmtId="43" fontId="0" fillId="0" borderId="3" xfId="1" applyFont="1" applyBorder="1"/>
    <xf numFmtId="0" fontId="0" fillId="5" borderId="4" xfId="0" applyFill="1" applyBorder="1"/>
    <xf numFmtId="43" fontId="0" fillId="5" borderId="4" xfId="1" applyFont="1" applyFill="1" applyBorder="1"/>
    <xf numFmtId="172" fontId="0" fillId="5" borderId="3" xfId="0" applyNumberFormat="1" applyFill="1" applyBorder="1"/>
    <xf numFmtId="0" fontId="3" fillId="5" borderId="4" xfId="0" applyFont="1" applyFill="1" applyBorder="1" applyAlignment="1">
      <alignment horizontal="center"/>
    </xf>
    <xf numFmtId="0" fontId="0" fillId="0" borderId="3" xfId="0" applyBorder="1"/>
    <xf numFmtId="0" fontId="3" fillId="2" borderId="0" xfId="0" applyFont="1" applyFill="1"/>
    <xf numFmtId="43" fontId="3" fillId="2" borderId="0" xfId="0" applyNumberFormat="1" applyFont="1" applyFill="1"/>
    <xf numFmtId="0" fontId="3" fillId="2" borderId="4" xfId="0" applyFont="1" applyFill="1" applyBorder="1" applyAlignment="1">
      <alignment horizontal="center"/>
    </xf>
    <xf numFmtId="0" fontId="3" fillId="2" borderId="4" xfId="0" applyFont="1" applyFill="1" applyBorder="1"/>
    <xf numFmtId="172" fontId="3" fillId="2" borderId="3" xfId="0" applyNumberFormat="1" applyFont="1" applyFill="1" applyBorder="1"/>
    <xf numFmtId="43" fontId="3" fillId="2" borderId="3" xfId="1" applyFont="1" applyFill="1" applyBorder="1"/>
    <xf numFmtId="43" fontId="3" fillId="2" borderId="11" xfId="1" applyFont="1" applyFill="1" applyBorder="1"/>
    <xf numFmtId="172" fontId="3" fillId="2" borderId="3" xfId="0" applyNumberFormat="1" applyFont="1" applyFill="1" applyBorder="1"/>
    <xf numFmtId="43" fontId="3" fillId="2" borderId="3" xfId="1" applyFont="1" applyFill="1" applyBorder="1"/>
    <xf numFmtId="43" fontId="3" fillId="2" borderId="11" xfId="1" applyFont="1" applyFill="1" applyBorder="1"/>
    <xf numFmtId="0" fontId="3" fillId="4" borderId="4" xfId="0" applyFont="1" applyFill="1" applyBorder="1"/>
    <xf numFmtId="0" fontId="3" fillId="4" borderId="4" xfId="0" applyFont="1" applyFill="1" applyBorder="1" applyAlignment="1">
      <alignment horizontal="center"/>
    </xf>
    <xf numFmtId="43" fontId="3" fillId="4" borderId="4" xfId="1" applyFont="1" applyFill="1" applyBorder="1"/>
    <xf numFmtId="0" fontId="3" fillId="2" borderId="0" xfId="0" applyFont="1" applyFill="1"/>
    <xf numFmtId="43" fontId="3" fillId="2" borderId="3" xfId="1" applyFont="1" applyFill="1" applyBorder="1"/>
    <xf numFmtId="43" fontId="3" fillId="2" borderId="11" xfId="1" applyFont="1" applyFill="1" applyBorder="1"/>
    <xf numFmtId="0" fontId="3" fillId="4" borderId="4" xfId="0" applyFont="1" applyFill="1" applyBorder="1"/>
    <xf numFmtId="0" fontId="3" fillId="4" borderId="4" xfId="0" applyFont="1" applyFill="1" applyBorder="1" applyAlignment="1">
      <alignment horizontal="center"/>
    </xf>
    <xf numFmtId="43" fontId="3" fillId="4" borderId="3" xfId="1" applyFont="1" applyFill="1" applyBorder="1"/>
    <xf numFmtId="43" fontId="3" fillId="4" borderId="11" xfId="1" applyFont="1" applyFill="1" applyBorder="1"/>
    <xf numFmtId="43" fontId="3" fillId="4" borderId="4" xfId="1" applyFont="1" applyFill="1" applyBorder="1" applyAlignment="1">
      <alignment horizontal="center"/>
    </xf>
    <xf numFmtId="1" fontId="3" fillId="4" borderId="4" xfId="0" applyNumberFormat="1" applyFont="1" applyFill="1" applyBorder="1" applyAlignment="1">
      <alignment horizontal="center"/>
    </xf>
    <xf numFmtId="43" fontId="3" fillId="4" borderId="4" xfId="1" applyFont="1" applyFill="1" applyBorder="1" applyAlignment="1"/>
    <xf numFmtId="172" fontId="3" fillId="4" borderId="4" xfId="0" applyNumberFormat="1" applyFont="1" applyFill="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3" xfId="0" applyNumberFormat="1" applyBorder="1"/>
    <xf numFmtId="43" fontId="3" fillId="2" borderId="4" xfId="1" applyFont="1" applyFill="1" applyBorder="1"/>
    <xf numFmtId="0" fontId="3" fillId="2" borderId="4" xfId="0" applyFont="1" applyFill="1" applyBorder="1" applyAlignment="1">
      <alignment horizontal="center"/>
    </xf>
    <xf numFmtId="0" fontId="3" fillId="2" borderId="4" xfId="0" applyFont="1" applyFill="1" applyBorder="1"/>
    <xf numFmtId="43" fontId="3" fillId="2" borderId="3" xfId="1" applyFont="1" applyFill="1" applyBorder="1"/>
    <xf numFmtId="43" fontId="3" fillId="2" borderId="11" xfId="1" applyFont="1" applyFill="1" applyBorder="1"/>
    <xf numFmtId="1" fontId="3" fillId="2" borderId="4" xfId="0" applyNumberFormat="1" applyFont="1" applyFill="1" applyBorder="1" applyAlignment="1">
      <alignment horizontal="center"/>
    </xf>
    <xf numFmtId="172" fontId="3" fillId="2" borderId="4" xfId="0" applyNumberFormat="1" applyFont="1" applyFill="1" applyBorder="1"/>
    <xf numFmtId="43" fontId="3" fillId="2" borderId="4" xfId="1" applyFont="1" applyFill="1" applyBorder="1"/>
    <xf numFmtId="0" fontId="3" fillId="2" borderId="0" xfId="0" applyFont="1" applyFill="1"/>
    <xf numFmtId="0" fontId="3" fillId="2" borderId="4" xfId="0" applyFont="1" applyFill="1" applyBorder="1" applyAlignment="1">
      <alignment horizontal="center"/>
    </xf>
    <xf numFmtId="0" fontId="3" fillId="2" borderId="4" xfId="0" applyFont="1" applyFill="1" applyBorder="1"/>
    <xf numFmtId="43" fontId="3" fillId="2" borderId="3" xfId="1" applyFont="1" applyFill="1" applyBorder="1"/>
    <xf numFmtId="43" fontId="3" fillId="2" borderId="11" xfId="1" applyFont="1" applyFill="1" applyBorder="1"/>
    <xf numFmtId="1" fontId="3" fillId="2" borderId="4" xfId="0" applyNumberFormat="1" applyFont="1" applyFill="1" applyBorder="1" applyAlignment="1">
      <alignment horizontal="center"/>
    </xf>
    <xf numFmtId="43" fontId="3" fillId="2" borderId="4" xfId="1" applyFont="1" applyFill="1" applyBorder="1"/>
    <xf numFmtId="0" fontId="3" fillId="2" borderId="0" xfId="0" applyFont="1" applyFill="1"/>
    <xf numFmtId="0" fontId="3" fillId="2" borderId="4" xfId="0" applyFont="1" applyFill="1" applyBorder="1" applyAlignment="1">
      <alignment horizontal="center"/>
    </xf>
    <xf numFmtId="0" fontId="3" fillId="2" borderId="4" xfId="0" applyFont="1" applyFill="1" applyBorder="1"/>
    <xf numFmtId="43" fontId="3" fillId="2" borderId="3" xfId="1" applyFont="1" applyFill="1" applyBorder="1"/>
    <xf numFmtId="43" fontId="3" fillId="2" borderId="11" xfId="1" applyFont="1" applyFill="1" applyBorder="1"/>
    <xf numFmtId="1" fontId="3" fillId="2" borderId="4" xfId="0" applyNumberFormat="1" applyFont="1" applyFill="1" applyBorder="1" applyAlignment="1">
      <alignment horizontal="center"/>
    </xf>
    <xf numFmtId="172" fontId="3" fillId="2" borderId="4" xfId="0" applyNumberFormat="1" applyFont="1" applyFill="1" applyBorder="1"/>
    <xf numFmtId="0" fontId="3" fillId="2" borderId="0" xfId="0" applyFont="1" applyFill="1"/>
    <xf numFmtId="0" fontId="3" fillId="2" borderId="4" xfId="0" applyFont="1" applyFill="1" applyBorder="1" applyAlignment="1">
      <alignment horizontal="center"/>
    </xf>
    <xf numFmtId="0" fontId="3" fillId="2" borderId="4" xfId="0" applyFont="1" applyFill="1" applyBorder="1"/>
    <xf numFmtId="0" fontId="3" fillId="2" borderId="8" xfId="0" applyFont="1" applyFill="1" applyBorder="1" applyAlignment="1">
      <alignment horizontal="center"/>
    </xf>
    <xf numFmtId="0" fontId="3" fillId="2" borderId="8" xfId="0" applyFont="1" applyFill="1" applyBorder="1" applyAlignment="1">
      <alignment horizontal="left"/>
    </xf>
    <xf numFmtId="43" fontId="3" fillId="2" borderId="8" xfId="1" applyFont="1" applyFill="1" applyBorder="1" applyAlignment="1">
      <alignment horizontal="center"/>
    </xf>
    <xf numFmtId="43" fontId="3" fillId="2" borderId="3" xfId="1" applyFont="1" applyFill="1" applyBorder="1"/>
    <xf numFmtId="43" fontId="3" fillId="2" borderId="11" xfId="1" applyFont="1" applyFill="1" applyBorder="1"/>
    <xf numFmtId="1" fontId="3" fillId="2" borderId="4" xfId="0" applyNumberFormat="1" applyFont="1" applyFill="1" applyBorder="1" applyAlignment="1">
      <alignment horizontal="center"/>
    </xf>
    <xf numFmtId="172" fontId="3" fillId="2" borderId="4" xfId="0" applyNumberFormat="1" applyFont="1" applyFill="1" applyBorder="1"/>
    <xf numFmtId="1" fontId="3" fillId="2" borderId="8" xfId="0" applyNumberFormat="1" applyFont="1" applyFill="1" applyBorder="1" applyAlignment="1">
      <alignment horizontal="center"/>
    </xf>
    <xf numFmtId="1" fontId="3" fillId="4" borderId="4" xfId="0" applyNumberFormat="1" applyFont="1" applyFill="1" applyBorder="1" applyAlignment="1">
      <alignment horizontal="center"/>
    </xf>
    <xf numFmtId="0" fontId="3" fillId="2" borderId="0" xfId="0" applyFont="1" applyFill="1"/>
    <xf numFmtId="0" fontId="3" fillId="2" borderId="4" xfId="0" applyFont="1" applyFill="1" applyBorder="1" applyAlignment="1">
      <alignment horizontal="center"/>
    </xf>
    <xf numFmtId="0" fontId="3" fillId="2" borderId="4" xfId="0" applyFont="1" applyFill="1" applyBorder="1"/>
    <xf numFmtId="0" fontId="3" fillId="2" borderId="8" xfId="0" applyFont="1" applyFill="1" applyBorder="1" applyAlignment="1">
      <alignment horizontal="center"/>
    </xf>
    <xf numFmtId="0" fontId="3" fillId="2" borderId="8" xfId="0" applyFont="1" applyFill="1" applyBorder="1" applyAlignment="1">
      <alignment horizontal="left"/>
    </xf>
    <xf numFmtId="43" fontId="3" fillId="2" borderId="8" xfId="1" applyFont="1" applyFill="1" applyBorder="1" applyAlignment="1">
      <alignment horizontal="center"/>
    </xf>
    <xf numFmtId="43" fontId="3" fillId="2" borderId="3" xfId="1" applyFont="1" applyFill="1" applyBorder="1"/>
    <xf numFmtId="43" fontId="3" fillId="2" borderId="11" xfId="1" applyFont="1" applyFill="1" applyBorder="1"/>
    <xf numFmtId="172" fontId="3" fillId="2" borderId="4" xfId="0" applyNumberFormat="1" applyFont="1" applyFill="1" applyBorder="1"/>
    <xf numFmtId="1" fontId="3" fillId="2" borderId="8" xfId="0" applyNumberFormat="1" applyFont="1" applyFill="1" applyBorder="1" applyAlignment="1">
      <alignment horizontal="center"/>
    </xf>
    <xf numFmtId="0" fontId="3" fillId="4" borderId="4" xfId="0" applyFont="1" applyFill="1" applyBorder="1"/>
    <xf numFmtId="0" fontId="3" fillId="4" borderId="4" xfId="0" applyFont="1" applyFill="1" applyBorder="1" applyAlignment="1">
      <alignment horizontal="center"/>
    </xf>
    <xf numFmtId="43" fontId="3" fillId="4" borderId="3" xfId="1" applyFont="1" applyFill="1" applyBorder="1"/>
    <xf numFmtId="43" fontId="3" fillId="4" borderId="11" xfId="1" applyFont="1" applyFill="1" applyBorder="1"/>
    <xf numFmtId="172" fontId="3" fillId="4" borderId="4" xfId="0" applyNumberFormat="1" applyFont="1" applyFill="1" applyBorder="1"/>
    <xf numFmtId="0" fontId="3" fillId="4" borderId="8" xfId="0" applyFont="1" applyFill="1" applyBorder="1" applyAlignment="1">
      <alignment horizontal="center"/>
    </xf>
    <xf numFmtId="0" fontId="3" fillId="4" borderId="8" xfId="0" applyFont="1" applyFill="1" applyBorder="1" applyAlignment="1">
      <alignment horizontal="left"/>
    </xf>
    <xf numFmtId="1" fontId="3" fillId="4" borderId="8" xfId="0" applyNumberFormat="1" applyFont="1" applyFill="1" applyBorder="1" applyAlignment="1">
      <alignment horizontal="center"/>
    </xf>
    <xf numFmtId="43" fontId="3" fillId="4" borderId="8" xfId="1" applyFont="1" applyFill="1" applyBorder="1" applyAlignment="1">
      <alignment horizontal="center"/>
    </xf>
    <xf numFmtId="0" fontId="3" fillId="4" borderId="4" xfId="0" applyFont="1" applyFill="1" applyBorder="1"/>
    <xf numFmtId="0" fontId="3" fillId="4" borderId="4" xfId="0" applyFont="1" applyFill="1" applyBorder="1" applyAlignment="1">
      <alignment horizontal="center"/>
    </xf>
    <xf numFmtId="43" fontId="3" fillId="4" borderId="3" xfId="1" applyFont="1" applyFill="1" applyBorder="1"/>
    <xf numFmtId="43" fontId="3" fillId="4" borderId="11" xfId="1" applyFont="1" applyFill="1" applyBorder="1"/>
    <xf numFmtId="172" fontId="3" fillId="4" borderId="4" xfId="0" applyNumberFormat="1" applyFont="1" applyFill="1" applyBorder="1"/>
    <xf numFmtId="0" fontId="3" fillId="4" borderId="8" xfId="0" applyFont="1" applyFill="1" applyBorder="1" applyAlignment="1">
      <alignment horizontal="center"/>
    </xf>
    <xf numFmtId="0" fontId="3" fillId="4" borderId="8" xfId="0" applyFont="1" applyFill="1" applyBorder="1" applyAlignment="1">
      <alignment horizontal="left"/>
    </xf>
    <xf numFmtId="1" fontId="3" fillId="4" borderId="8" xfId="0" applyNumberFormat="1" applyFont="1" applyFill="1" applyBorder="1" applyAlignment="1">
      <alignment horizontal="center"/>
    </xf>
    <xf numFmtId="43" fontId="3" fillId="4" borderId="8" xfId="1" applyFont="1" applyFill="1" applyBorder="1" applyAlignment="1">
      <alignment horizontal="center"/>
    </xf>
    <xf numFmtId="0" fontId="3" fillId="0" borderId="4" xfId="0" applyFont="1" applyFill="1" applyBorder="1" applyAlignment="1">
      <alignment horizontal="center"/>
    </xf>
    <xf numFmtId="0" fontId="3" fillId="0" borderId="4" xfId="0" applyFont="1" applyFill="1" applyBorder="1"/>
    <xf numFmtId="43" fontId="3" fillId="2" borderId="4" xfId="1" applyFont="1" applyFill="1" applyBorder="1"/>
    <xf numFmtId="0" fontId="3" fillId="2" borderId="4" xfId="0" applyFont="1" applyFill="1" applyBorder="1"/>
    <xf numFmtId="0" fontId="3" fillId="2" borderId="3" xfId="0" applyFont="1" applyFill="1" applyBorder="1"/>
    <xf numFmtId="172" fontId="3" fillId="2" borderId="3" xfId="0" applyNumberFormat="1" applyFont="1" applyFill="1" applyBorder="1"/>
    <xf numFmtId="0" fontId="3" fillId="2" borderId="6" xfId="0" applyFont="1" applyFill="1" applyBorder="1" applyAlignment="1">
      <alignment horizontal="center"/>
    </xf>
    <xf numFmtId="0" fontId="3" fillId="2" borderId="3" xfId="0" applyFont="1" applyFill="1" applyBorder="1" applyAlignment="1">
      <alignment horizontal="center"/>
    </xf>
    <xf numFmtId="43" fontId="3" fillId="2" borderId="12" xfId="1" applyFont="1" applyFill="1" applyBorder="1"/>
    <xf numFmtId="1" fontId="3" fillId="2" borderId="3" xfId="0" applyNumberFormat="1" applyFont="1" applyFill="1" applyBorder="1" applyAlignment="1">
      <alignment horizontal="center"/>
    </xf>
    <xf numFmtId="43" fontId="3" fillId="2" borderId="3" xfId="1" applyFont="1" applyFill="1" applyBorder="1" applyAlignment="1"/>
    <xf numFmtId="0" fontId="3" fillId="4" borderId="4" xfId="0" applyFont="1" applyFill="1" applyBorder="1"/>
    <xf numFmtId="172" fontId="3" fillId="4" borderId="3" xfId="0" applyNumberFormat="1" applyFont="1" applyFill="1" applyBorder="1"/>
    <xf numFmtId="43" fontId="3" fillId="4" borderId="4" xfId="1" applyFont="1" applyFill="1" applyBorder="1"/>
    <xf numFmtId="43" fontId="3" fillId="4" borderId="12" xfId="1" applyFont="1" applyFill="1" applyBorder="1"/>
    <xf numFmtId="0" fontId="3" fillId="4" borderId="6" xfId="0" applyFont="1" applyFill="1" applyBorder="1" applyAlignment="1">
      <alignment horizontal="center"/>
    </xf>
    <xf numFmtId="0" fontId="3" fillId="4" borderId="3" xfId="0" applyFont="1" applyFill="1" applyBorder="1" applyAlignment="1">
      <alignment horizontal="center"/>
    </xf>
    <xf numFmtId="0" fontId="3" fillId="4" borderId="3" xfId="0" applyFont="1" applyFill="1" applyBorder="1"/>
    <xf numFmtId="1" fontId="3" fillId="4" borderId="3" xfId="0" applyNumberFormat="1" applyFont="1" applyFill="1" applyBorder="1" applyAlignment="1">
      <alignment horizontal="center"/>
    </xf>
    <xf numFmtId="43" fontId="3" fillId="4" borderId="3" xfId="1" applyFont="1" applyFill="1" applyBorder="1" applyAlignment="1"/>
    <xf numFmtId="43" fontId="3" fillId="2" borderId="2" xfId="0" applyNumberFormat="1" applyFont="1" applyFill="1" applyBorder="1"/>
    <xf numFmtId="0" fontId="3" fillId="5" borderId="4" xfId="0" applyFont="1" applyFill="1" applyBorder="1" applyAlignment="1">
      <alignment horizontal="left"/>
    </xf>
    <xf numFmtId="0" fontId="3" fillId="0" borderId="4" xfId="0" applyNumberFormat="1" applyFont="1" applyBorder="1" applyAlignment="1">
      <alignment horizontal="center"/>
    </xf>
    <xf numFmtId="0" fontId="0" fillId="0" borderId="4" xfId="0" applyBorder="1" applyAlignment="1"/>
    <xf numFmtId="172" fontId="3" fillId="0" borderId="4" xfId="0" applyNumberFormat="1" applyFont="1" applyBorder="1"/>
    <xf numFmtId="43" fontId="3" fillId="0" borderId="4" xfId="1" applyFont="1" applyBorder="1" applyAlignment="1">
      <alignment horizontal="center"/>
    </xf>
    <xf numFmtId="49" fontId="3" fillId="0" borderId="4" xfId="0" quotePrefix="1" applyNumberFormat="1" applyFont="1" applyBorder="1" applyAlignment="1">
      <alignment horizontal="center"/>
    </xf>
    <xf numFmtId="0" fontId="40" fillId="0" borderId="0" xfId="6" quotePrefix="1" applyFont="1" applyAlignment="1" applyProtection="1">
      <alignment horizontal="left"/>
    </xf>
    <xf numFmtId="0" fontId="40" fillId="0" borderId="0" xfId="6" applyFont="1" applyAlignment="1" applyProtection="1">
      <alignment horizontal="center"/>
    </xf>
    <xf numFmtId="0" fontId="40" fillId="0" borderId="0" xfId="6" applyFont="1" applyFill="1" applyAlignment="1" applyProtection="1">
      <alignment horizontal="center"/>
    </xf>
    <xf numFmtId="0" fontId="2" fillId="0" borderId="0" xfId="12"/>
    <xf numFmtId="0" fontId="40" fillId="0" borderId="0" xfId="6" applyFont="1" applyAlignment="1" applyProtection="1">
      <alignment horizontal="left"/>
    </xf>
    <xf numFmtId="0" fontId="18" fillId="0" borderId="0" xfId="6" applyFont="1" applyFill="1" applyProtection="1"/>
    <xf numFmtId="0" fontId="18" fillId="0" borderId="0" xfId="6" applyFont="1" applyFill="1" applyAlignment="1" applyProtection="1">
      <alignment horizontal="left" vertical="center"/>
    </xf>
    <xf numFmtId="0" fontId="39" fillId="0" borderId="0" xfId="13" applyFill="1"/>
    <xf numFmtId="177" fontId="20" fillId="0" borderId="0" xfId="6" applyNumberFormat="1" applyFont="1" applyFill="1" applyAlignment="1" applyProtection="1">
      <alignment horizontal="center"/>
    </xf>
    <xf numFmtId="37" fontId="18" fillId="0" borderId="0" xfId="6" applyNumberFormat="1" applyFont="1" applyFill="1" applyAlignment="1" applyProtection="1">
      <alignment horizontal="center"/>
    </xf>
    <xf numFmtId="0" fontId="23" fillId="0" borderId="0" xfId="6" applyFont="1" applyFill="1" applyProtection="1"/>
    <xf numFmtId="0" fontId="23" fillId="0" borderId="0" xfId="6" applyFont="1" applyFill="1" applyAlignment="1" applyProtection="1">
      <alignment horizontal="left" vertical="center"/>
    </xf>
    <xf numFmtId="37" fontId="23" fillId="0" borderId="0" xfId="6" applyNumberFormat="1" applyFont="1" applyFill="1" applyAlignment="1" applyProtection="1">
      <alignment horizontal="center"/>
    </xf>
    <xf numFmtId="177" fontId="25" fillId="0" borderId="0" xfId="6" applyNumberFormat="1" applyFont="1" applyFill="1" applyAlignment="1" applyProtection="1">
      <alignment horizontal="center"/>
    </xf>
    <xf numFmtId="37" fontId="23" fillId="0" borderId="1" xfId="6" applyNumberFormat="1" applyFont="1" applyFill="1" applyBorder="1" applyAlignment="1" applyProtection="1">
      <alignment horizontal="center"/>
    </xf>
    <xf numFmtId="178" fontId="25" fillId="0" borderId="1" xfId="6" applyNumberFormat="1" applyFont="1" applyFill="1" applyBorder="1" applyAlignment="1" applyProtection="1">
      <alignment horizontal="center"/>
    </xf>
    <xf numFmtId="0" fontId="21" fillId="0" borderId="0" xfId="6" applyFont="1" applyFill="1" applyProtection="1"/>
    <xf numFmtId="39" fontId="18" fillId="0" borderId="0" xfId="6" applyNumberFormat="1" applyFont="1" applyFill="1" applyProtection="1"/>
    <xf numFmtId="0" fontId="20" fillId="0" borderId="0" xfId="6" applyFont="1" applyFill="1" applyAlignment="1" applyProtection="1">
      <alignment horizontal="center"/>
    </xf>
    <xf numFmtId="37" fontId="19" fillId="0" borderId="0" xfId="6" applyNumberFormat="1" applyFont="1" applyFill="1" applyAlignment="1" applyProtection="1">
      <alignment horizontal="right"/>
      <protection locked="0"/>
    </xf>
    <xf numFmtId="165" fontId="22" fillId="0" borderId="0" xfId="14" applyNumberFormat="1" applyFont="1" applyFill="1" applyAlignment="1" applyProtection="1">
      <alignment horizontal="center"/>
    </xf>
    <xf numFmtId="39" fontId="20" fillId="0" borderId="0" xfId="6" applyNumberFormat="1" applyFont="1" applyFill="1" applyProtection="1"/>
    <xf numFmtId="0" fontId="18" fillId="0" borderId="0" xfId="6" applyFont="1" applyFill="1" applyAlignment="1" applyProtection="1">
      <alignment horizontal="right"/>
    </xf>
    <xf numFmtId="37" fontId="24" fillId="0" borderId="6" xfId="6" applyNumberFormat="1" applyFont="1" applyFill="1" applyBorder="1" applyProtection="1"/>
    <xf numFmtId="37" fontId="24" fillId="0" borderId="0" xfId="6" applyNumberFormat="1" applyFont="1" applyFill="1" applyBorder="1" applyProtection="1"/>
    <xf numFmtId="165" fontId="25" fillId="0" borderId="0" xfId="14" applyNumberFormat="1" applyFont="1" applyFill="1" applyAlignment="1" applyProtection="1">
      <alignment horizontal="center"/>
    </xf>
    <xf numFmtId="39" fontId="24" fillId="0" borderId="6" xfId="6" applyNumberFormat="1" applyFont="1" applyFill="1" applyBorder="1" applyProtection="1"/>
    <xf numFmtId="178" fontId="20" fillId="0" borderId="0" xfId="6" applyNumberFormat="1" applyFont="1" applyFill="1" applyAlignment="1" applyProtection="1">
      <alignment horizontal="center"/>
    </xf>
    <xf numFmtId="0" fontId="22" fillId="0" borderId="0" xfId="6" applyFont="1" applyFill="1" applyProtection="1"/>
    <xf numFmtId="39" fontId="22" fillId="0" borderId="0" xfId="6" applyNumberFormat="1" applyFont="1" applyFill="1" applyProtection="1"/>
    <xf numFmtId="37" fontId="20" fillId="0" borderId="0" xfId="6" applyNumberFormat="1" applyFont="1" applyFill="1" applyAlignment="1" applyProtection="1">
      <alignment horizontal="right"/>
      <protection locked="0"/>
    </xf>
    <xf numFmtId="165" fontId="20" fillId="0" borderId="0" xfId="14" applyNumberFormat="1" applyFont="1" applyFill="1" applyAlignment="1" applyProtection="1">
      <alignment horizontal="center"/>
    </xf>
    <xf numFmtId="39" fontId="19" fillId="0" borderId="0" xfId="6" applyNumberFormat="1" applyFont="1" applyFill="1" applyProtection="1"/>
    <xf numFmtId="37" fontId="20" fillId="0" borderId="0" xfId="6" applyNumberFormat="1" applyFont="1" applyFill="1" applyBorder="1" applyAlignment="1" applyProtection="1">
      <alignment horizontal="right"/>
    </xf>
    <xf numFmtId="37" fontId="19" fillId="0" borderId="0" xfId="6" applyNumberFormat="1" applyFont="1" applyFill="1" applyBorder="1" applyAlignment="1" applyProtection="1">
      <alignment horizontal="right"/>
      <protection locked="0"/>
    </xf>
    <xf numFmtId="37" fontId="22" fillId="0" borderId="0" xfId="6" applyNumberFormat="1" applyFont="1" applyFill="1" applyProtection="1"/>
    <xf numFmtId="37" fontId="20" fillId="0" borderId="0" xfId="6" applyNumberFormat="1" applyFont="1" applyFill="1" applyBorder="1" applyAlignment="1" applyProtection="1">
      <alignment horizontal="right"/>
      <protection locked="0"/>
    </xf>
    <xf numFmtId="39" fontId="24" fillId="0" borderId="0" xfId="6" applyNumberFormat="1" applyFont="1" applyFill="1" applyBorder="1" applyProtection="1"/>
    <xf numFmtId="37" fontId="20" fillId="0" borderId="19" xfId="6" applyNumberFormat="1" applyFont="1" applyFill="1" applyBorder="1" applyAlignment="1" applyProtection="1">
      <alignment horizontal="right"/>
      <protection locked="0"/>
    </xf>
    <xf numFmtId="37" fontId="19" fillId="0" borderId="19" xfId="6" applyNumberFormat="1" applyFont="1" applyFill="1" applyBorder="1" applyAlignment="1" applyProtection="1">
      <alignment horizontal="right"/>
      <protection locked="0"/>
    </xf>
    <xf numFmtId="37" fontId="26" fillId="0" borderId="1" xfId="6" applyNumberFormat="1" applyFont="1" applyFill="1" applyBorder="1" applyAlignment="1" applyProtection="1">
      <alignment horizontal="right"/>
      <protection locked="0"/>
    </xf>
    <xf numFmtId="37" fontId="26" fillId="0" borderId="0" xfId="6" applyNumberFormat="1" applyFont="1" applyFill="1" applyBorder="1" applyAlignment="1" applyProtection="1">
      <alignment horizontal="right"/>
      <protection locked="0"/>
    </xf>
    <xf numFmtId="37" fontId="22" fillId="0" borderId="1" xfId="6" applyNumberFormat="1" applyFont="1" applyFill="1" applyBorder="1" applyAlignment="1" applyProtection="1">
      <alignment horizontal="right"/>
      <protection locked="0"/>
    </xf>
    <xf numFmtId="37" fontId="25" fillId="0" borderId="6" xfId="6" applyNumberFormat="1" applyFont="1" applyFill="1" applyBorder="1" applyProtection="1"/>
    <xf numFmtId="43" fontId="24" fillId="0" borderId="6" xfId="15" applyFont="1" applyFill="1" applyBorder="1" applyProtection="1"/>
    <xf numFmtId="39" fontId="2" fillId="0" borderId="0" xfId="12" applyNumberFormat="1"/>
    <xf numFmtId="179" fontId="18" fillId="0" borderId="0" xfId="6" applyNumberFormat="1" applyFont="1" applyFill="1" applyProtection="1"/>
    <xf numFmtId="179" fontId="22" fillId="0" borderId="0" xfId="6" applyNumberFormat="1" applyFont="1" applyFill="1" applyProtection="1"/>
    <xf numFmtId="43" fontId="20" fillId="0" borderId="0" xfId="16" applyFont="1" applyFill="1" applyProtection="1"/>
    <xf numFmtId="179" fontId="22" fillId="0" borderId="0" xfId="6" applyNumberFormat="1" applyFont="1" applyFill="1" applyAlignment="1" applyProtection="1">
      <alignment horizontal="centerContinuous"/>
    </xf>
    <xf numFmtId="0" fontId="13" fillId="0" borderId="0" xfId="6" applyFont="1" applyFill="1"/>
    <xf numFmtId="37" fontId="19" fillId="0" borderId="1" xfId="6" applyNumberFormat="1" applyFont="1" applyFill="1" applyBorder="1" applyAlignment="1" applyProtection="1">
      <alignment horizontal="right"/>
      <protection locked="0"/>
    </xf>
    <xf numFmtId="37" fontId="24" fillId="0" borderId="0" xfId="6" applyNumberFormat="1" applyFont="1" applyFill="1" applyAlignment="1" applyProtection="1">
      <alignment horizontal="right"/>
      <protection locked="0"/>
    </xf>
    <xf numFmtId="37" fontId="20" fillId="0" borderId="1" xfId="6" applyNumberFormat="1" applyFont="1" applyFill="1" applyBorder="1" applyAlignment="1" applyProtection="1">
      <alignment horizontal="right"/>
      <protection locked="0"/>
    </xf>
    <xf numFmtId="0" fontId="14" fillId="0" borderId="0" xfId="6" applyFont="1" applyFill="1"/>
    <xf numFmtId="37" fontId="19" fillId="0" borderId="0" xfId="6" applyNumberFormat="1" applyFont="1" applyFill="1" applyAlignment="1" applyProtection="1">
      <alignment vertical="center"/>
      <protection locked="0"/>
    </xf>
    <xf numFmtId="178" fontId="20" fillId="0" borderId="1" xfId="6" applyNumberFormat="1" applyFont="1" applyFill="1" applyBorder="1" applyAlignment="1" applyProtection="1">
      <alignment horizontal="center"/>
    </xf>
    <xf numFmtId="0" fontId="14" fillId="0" borderId="1" xfId="6" applyFont="1" applyFill="1" applyBorder="1"/>
    <xf numFmtId="37" fontId="23" fillId="0" borderId="20" xfId="6" applyNumberFormat="1" applyFont="1" applyFill="1" applyBorder="1" applyProtection="1"/>
    <xf numFmtId="37" fontId="23" fillId="0" borderId="0" xfId="6" applyNumberFormat="1" applyFont="1" applyFill="1" applyBorder="1" applyProtection="1"/>
    <xf numFmtId="37" fontId="25" fillId="0" borderId="0" xfId="6" applyNumberFormat="1" applyFont="1" applyFill="1" applyBorder="1" applyProtection="1"/>
    <xf numFmtId="43" fontId="23" fillId="0" borderId="20" xfId="16" applyFont="1" applyFill="1" applyBorder="1" applyProtection="1"/>
    <xf numFmtId="0" fontId="39" fillId="0" borderId="0" xfId="13"/>
    <xf numFmtId="0" fontId="27" fillId="0" borderId="0" xfId="13" applyFont="1" applyFill="1" applyAlignment="1">
      <alignment horizontal="center"/>
    </xf>
    <xf numFmtId="181" fontId="5" fillId="0" borderId="0" xfId="13" applyNumberFormat="1" applyFont="1" applyFill="1"/>
    <xf numFmtId="0" fontId="3" fillId="0" borderId="0" xfId="13" applyFont="1" applyFill="1"/>
    <xf numFmtId="39" fontId="41" fillId="0" borderId="0" xfId="13" applyNumberFormat="1" applyFont="1" applyFill="1"/>
    <xf numFmtId="43" fontId="42" fillId="0" borderId="0" xfId="16" applyFont="1" applyFill="1"/>
    <xf numFmtId="39" fontId="5" fillId="0" borderId="1" xfId="13" applyNumberFormat="1" applyFont="1" applyFill="1" applyBorder="1"/>
    <xf numFmtId="39" fontId="5" fillId="0" borderId="2" xfId="13" applyNumberFormat="1" applyFont="1" applyFill="1" applyBorder="1"/>
    <xf numFmtId="0" fontId="43" fillId="0" borderId="0" xfId="6" applyFont="1" applyFill="1" applyAlignment="1" applyProtection="1">
      <alignment horizontal="left" vertical="center"/>
    </xf>
    <xf numFmtId="0" fontId="15" fillId="2" borderId="0" xfId="12" applyNumberFormat="1" applyFont="1" applyFill="1" applyAlignment="1"/>
    <xf numFmtId="0" fontId="4" fillId="2" borderId="0" xfId="12" applyNumberFormat="1" applyFont="1" applyFill="1" applyAlignment="1"/>
    <xf numFmtId="0" fontId="15" fillId="2" borderId="0" xfId="12" applyNumberFormat="1" applyFont="1" applyFill="1" applyAlignment="1">
      <alignment horizontal="center"/>
    </xf>
    <xf numFmtId="3" fontId="15" fillId="2" borderId="0" xfId="12" applyNumberFormat="1" applyFont="1" applyFill="1" applyAlignment="1">
      <alignment horizontal="center"/>
    </xf>
    <xf numFmtId="3" fontId="15" fillId="2" borderId="0" xfId="12" applyNumberFormat="1" applyFont="1" applyFill="1" applyAlignment="1"/>
    <xf numFmtId="3" fontId="15" fillId="2" borderId="1" xfId="12" applyNumberFormat="1" applyFont="1" applyFill="1" applyBorder="1" applyAlignment="1">
      <alignment horizontal="center"/>
    </xf>
    <xf numFmtId="173" fontId="15" fillId="2" borderId="1" xfId="12" applyNumberFormat="1" applyFont="1" applyFill="1" applyBorder="1" applyAlignment="1">
      <alignment horizontal="center"/>
    </xf>
    <xf numFmtId="0" fontId="12" fillId="2" borderId="0" xfId="12" applyNumberFormat="1" applyFont="1" applyFill="1" applyAlignment="1"/>
    <xf numFmtId="0" fontId="13" fillId="2" borderId="0" xfId="12" applyNumberFormat="1" applyFont="1" applyFill="1" applyAlignment="1"/>
    <xf numFmtId="173" fontId="13" fillId="2" borderId="0" xfId="12" applyNumberFormat="1" applyFont="1" applyFill="1" applyAlignment="1"/>
    <xf numFmtId="39" fontId="13" fillId="2" borderId="0" xfId="12" applyNumberFormat="1" applyFont="1" applyFill="1" applyAlignment="1"/>
    <xf numFmtId="169" fontId="13" fillId="2" borderId="0" xfId="16" applyNumberFormat="1" applyFont="1" applyFill="1" applyAlignment="1"/>
    <xf numFmtId="43" fontId="13" fillId="2" borderId="0" xfId="16" applyFont="1" applyFill="1" applyAlignment="1"/>
    <xf numFmtId="169" fontId="12" fillId="2" borderId="0" xfId="16" applyNumberFormat="1" applyFont="1" applyFill="1" applyAlignment="1"/>
    <xf numFmtId="43" fontId="12" fillId="2" borderId="0" xfId="16" applyFont="1" applyFill="1" applyAlignment="1"/>
    <xf numFmtId="3" fontId="13" fillId="2" borderId="0" xfId="12" applyNumberFormat="1" applyFont="1" applyFill="1" applyAlignment="1"/>
    <xf numFmtId="43" fontId="13" fillId="2" borderId="0" xfId="16" applyFont="1" applyFill="1" applyAlignment="1" applyProtection="1">
      <protection locked="0"/>
    </xf>
    <xf numFmtId="169" fontId="13" fillId="2" borderId="0" xfId="16" applyNumberFormat="1" applyFont="1" applyFill="1" applyAlignment="1">
      <alignment horizontal="left" indent="2"/>
    </xf>
    <xf numFmtId="0" fontId="12" fillId="2" borderId="0" xfId="12" applyNumberFormat="1" applyFont="1" applyFill="1" applyAlignment="1">
      <alignment horizontal="right"/>
    </xf>
    <xf numFmtId="3" fontId="4" fillId="2" borderId="10" xfId="12" applyNumberFormat="1" applyFont="1" applyFill="1" applyBorder="1" applyAlignment="1"/>
    <xf numFmtId="173" fontId="15" fillId="2" borderId="13" xfId="12" applyNumberFormat="1" applyFont="1" applyFill="1" applyBorder="1" applyAlignment="1"/>
    <xf numFmtId="43" fontId="4" fillId="2" borderId="10" xfId="16" applyFont="1" applyFill="1" applyBorder="1" applyAlignment="1"/>
    <xf numFmtId="4" fontId="4" fillId="2" borderId="10" xfId="12" applyNumberFormat="1" applyFont="1" applyFill="1" applyBorder="1" applyAlignment="1"/>
    <xf numFmtId="173" fontId="12" fillId="2" borderId="0" xfId="12" applyNumberFormat="1" applyFont="1" applyFill="1" applyAlignment="1"/>
    <xf numFmtId="3" fontId="2" fillId="0" borderId="0" xfId="12" applyNumberFormat="1" applyFill="1"/>
    <xf numFmtId="0" fontId="2" fillId="0" borderId="0" xfId="12" applyFill="1"/>
    <xf numFmtId="182" fontId="2" fillId="0" borderId="0" xfId="12" applyNumberFormat="1" applyFill="1"/>
    <xf numFmtId="175" fontId="3" fillId="2" borderId="1" xfId="0" applyNumberFormat="1" applyFont="1" applyFill="1" applyBorder="1"/>
    <xf numFmtId="0" fontId="0" fillId="0" borderId="0" xfId="0" applyFill="1" applyBorder="1" applyAlignment="1">
      <alignment horizontal="center"/>
    </xf>
    <xf numFmtId="43" fontId="0" fillId="3" borderId="0" xfId="1" applyFont="1" applyFill="1" applyBorder="1"/>
    <xf numFmtId="0" fontId="3" fillId="3" borderId="0" xfId="0" applyNumberFormat="1" applyFont="1" applyFill="1"/>
    <xf numFmtId="0" fontId="9" fillId="0" borderId="0" xfId="0" applyFont="1"/>
    <xf numFmtId="4" fontId="46" fillId="0" borderId="0" xfId="0" applyNumberFormat="1" applyFont="1" applyFill="1" applyBorder="1"/>
    <xf numFmtId="0" fontId="9" fillId="0" borderId="0" xfId="0" applyFont="1" applyFill="1"/>
    <xf numFmtId="4" fontId="46" fillId="0" borderId="1" xfId="0" applyNumberFormat="1" applyFont="1" applyFill="1" applyBorder="1"/>
    <xf numFmtId="4" fontId="0" fillId="0" borderId="0" xfId="0" applyNumberFormat="1" applyFill="1"/>
    <xf numFmtId="0" fontId="0" fillId="0" borderId="0" xfId="0" applyFill="1"/>
    <xf numFmtId="4" fontId="0" fillId="0" borderId="2" xfId="0" applyNumberFormat="1" applyFill="1" applyBorder="1"/>
    <xf numFmtId="4" fontId="0" fillId="0" borderId="0" xfId="0" applyNumberFormat="1"/>
    <xf numFmtId="4" fontId="0" fillId="0" borderId="2" xfId="0" applyNumberFormat="1" applyBorder="1"/>
    <xf numFmtId="4" fontId="0" fillId="0" borderId="0" xfId="0" applyNumberFormat="1" applyBorder="1"/>
    <xf numFmtId="43" fontId="0" fillId="0" borderId="2" xfId="1" applyFont="1" applyBorder="1"/>
    <xf numFmtId="169" fontId="3" fillId="0" borderId="1" xfId="0" applyNumberFormat="1" applyFont="1" applyFill="1" applyBorder="1"/>
    <xf numFmtId="0" fontId="0" fillId="3" borderId="4" xfId="0" applyFill="1" applyBorder="1" applyAlignment="1">
      <alignment horizontal="center"/>
    </xf>
    <xf numFmtId="0" fontId="3" fillId="3" borderId="4" xfId="0" applyFont="1" applyFill="1" applyBorder="1" applyAlignment="1">
      <alignment horizontal="center"/>
    </xf>
    <xf numFmtId="0" fontId="3" fillId="3" borderId="4" xfId="0" applyFont="1" applyFill="1" applyBorder="1"/>
    <xf numFmtId="43" fontId="0" fillId="3" borderId="3" xfId="1" applyFont="1" applyFill="1" applyBorder="1"/>
    <xf numFmtId="176" fontId="3" fillId="0" borderId="1" xfId="1" applyNumberFormat="1" applyFont="1" applyFill="1" applyBorder="1"/>
    <xf numFmtId="0" fontId="7" fillId="0" borderId="0" xfId="0" applyFont="1" applyFill="1" applyAlignment="1">
      <alignment horizontal="center"/>
    </xf>
    <xf numFmtId="43" fontId="3" fillId="0" borderId="0" xfId="0" applyNumberFormat="1" applyFont="1" applyFill="1" applyBorder="1"/>
    <xf numFmtId="43" fontId="3" fillId="0" borderId="0" xfId="1" applyFont="1" applyFill="1" applyBorder="1"/>
    <xf numFmtId="43" fontId="3" fillId="0" borderId="1" xfId="1" applyFont="1" applyFill="1" applyBorder="1"/>
    <xf numFmtId="10" fontId="3" fillId="0" borderId="1" xfId="4" applyNumberFormat="1" applyFont="1" applyFill="1" applyBorder="1"/>
    <xf numFmtId="175" fontId="3" fillId="0" borderId="1" xfId="0" applyNumberFormat="1" applyFont="1" applyFill="1" applyBorder="1"/>
    <xf numFmtId="43" fontId="3" fillId="0" borderId="10" xfId="0" applyNumberFormat="1" applyFont="1" applyFill="1" applyBorder="1"/>
    <xf numFmtId="14" fontId="3" fillId="0" borderId="0" xfId="0" applyNumberFormat="1" applyFont="1"/>
    <xf numFmtId="0" fontId="3" fillId="0" borderId="0" xfId="0" applyNumberFormat="1" applyFont="1" applyFill="1"/>
    <xf numFmtId="0" fontId="3" fillId="0" borderId="8" xfId="0" applyNumberFormat="1" applyFont="1" applyFill="1" applyBorder="1"/>
    <xf numFmtId="0" fontId="0" fillId="3" borderId="0" xfId="0" applyFill="1" applyBorder="1"/>
    <xf numFmtId="17" fontId="3" fillId="2" borderId="16" xfId="0" applyNumberFormat="1" applyFont="1" applyFill="1" applyBorder="1" applyAlignment="1">
      <alignment horizontal="center"/>
    </xf>
    <xf numFmtId="0" fontId="38" fillId="0" borderId="4" xfId="0" applyFont="1" applyBorder="1"/>
    <xf numFmtId="43" fontId="38" fillId="0" borderId="4" xfId="1" applyFont="1" applyBorder="1"/>
    <xf numFmtId="0" fontId="38" fillId="0" borderId="4" xfId="0" applyFont="1" applyFill="1" applyBorder="1"/>
    <xf numFmtId="43" fontId="38" fillId="0" borderId="4" xfId="1" applyFont="1" applyFill="1" applyBorder="1"/>
    <xf numFmtId="0" fontId="6" fillId="0" borderId="4" xfId="0" applyFont="1" applyFill="1" applyBorder="1" applyAlignment="1">
      <alignment horizontal="left" vertical="center"/>
    </xf>
    <xf numFmtId="0" fontId="6" fillId="0" borderId="4" xfId="0" applyFont="1" applyFill="1" applyBorder="1" applyAlignment="1">
      <alignment horizontal="center" vertical="center"/>
    </xf>
    <xf numFmtId="43" fontId="6" fillId="0" borderId="4" xfId="1" applyFont="1" applyFill="1" applyBorder="1" applyAlignment="1">
      <alignment horizontal="center" vertical="center"/>
    </xf>
    <xf numFmtId="0" fontId="38" fillId="4" borderId="4" xfId="0" applyFont="1" applyFill="1" applyBorder="1" applyAlignment="1">
      <alignment horizontal="center"/>
    </xf>
    <xf numFmtId="0" fontId="3" fillId="0" borderId="0" xfId="7" applyFont="1" applyBorder="1"/>
    <xf numFmtId="0" fontId="3" fillId="2" borderId="0" xfId="0" applyFont="1" applyFill="1" applyBorder="1" applyAlignment="1">
      <alignment horizontal="center"/>
    </xf>
    <xf numFmtId="0" fontId="3" fillId="0" borderId="5" xfId="0" applyFont="1" applyFill="1" applyBorder="1"/>
    <xf numFmtId="17" fontId="3" fillId="0" borderId="5" xfId="0" applyNumberFormat="1" applyFont="1" applyFill="1" applyBorder="1" applyAlignment="1">
      <alignment horizontal="center"/>
    </xf>
    <xf numFmtId="0" fontId="3" fillId="0" borderId="0" xfId="10" applyFont="1" applyFill="1" applyBorder="1" applyAlignment="1">
      <alignment horizontal="center"/>
    </xf>
    <xf numFmtId="0" fontId="3" fillId="2" borderId="0" xfId="7" applyFont="1" applyFill="1" applyBorder="1"/>
    <xf numFmtId="43" fontId="0" fillId="0" borderId="12" xfId="1" applyFont="1" applyFill="1" applyBorder="1"/>
    <xf numFmtId="43" fontId="0" fillId="4" borderId="12" xfId="1" applyFont="1" applyFill="1" applyBorder="1"/>
    <xf numFmtId="43" fontId="5" fillId="2" borderId="14" xfId="1" applyFont="1" applyFill="1" applyBorder="1" applyAlignment="1">
      <alignment horizontal="center"/>
    </xf>
    <xf numFmtId="43" fontId="6" fillId="2" borderId="9" xfId="1" applyFont="1" applyFill="1" applyBorder="1" applyAlignment="1">
      <alignment horizontal="center"/>
    </xf>
    <xf numFmtId="43" fontId="6" fillId="0" borderId="12" xfId="1" applyFont="1" applyFill="1" applyBorder="1" applyAlignment="1">
      <alignment horizontal="center" vertical="center"/>
    </xf>
    <xf numFmtId="43" fontId="0" fillId="0" borderId="12" xfId="1" applyFont="1" applyBorder="1"/>
    <xf numFmtId="0" fontId="0" fillId="5" borderId="4" xfId="0" applyFont="1" applyFill="1" applyBorder="1"/>
    <xf numFmtId="0" fontId="38" fillId="4" borderId="4" xfId="0" applyFont="1" applyFill="1" applyBorder="1"/>
    <xf numFmtId="43" fontId="38" fillId="4" borderId="4" xfId="1" applyFont="1" applyFill="1" applyBorder="1"/>
    <xf numFmtId="0" fontId="0" fillId="3" borderId="0" xfId="0" applyFill="1" applyBorder="1" applyAlignment="1">
      <alignment horizontal="center"/>
    </xf>
    <xf numFmtId="0" fontId="3" fillId="3" borderId="0" xfId="0" applyFont="1" applyFill="1" applyBorder="1" applyAlignment="1">
      <alignment horizontal="center"/>
    </xf>
    <xf numFmtId="0" fontId="3" fillId="3" borderId="0" xfId="0" applyFont="1" applyFill="1" applyBorder="1"/>
    <xf numFmtId="0" fontId="5" fillId="2" borderId="0" xfId="10" applyFont="1" applyFill="1" applyAlignment="1">
      <alignment horizontal="centerContinuous"/>
    </xf>
    <xf numFmtId="0" fontId="3" fillId="2" borderId="0" xfId="10" applyFont="1" applyFill="1"/>
    <xf numFmtId="0" fontId="5" fillId="2" borderId="0" xfId="10" applyFont="1" applyFill="1"/>
    <xf numFmtId="0" fontId="7" fillId="2" borderId="0" xfId="10" applyFont="1" applyFill="1" applyAlignment="1">
      <alignment horizontal="left"/>
    </xf>
    <xf numFmtId="0" fontId="3" fillId="2" borderId="0" xfId="10" applyFont="1" applyFill="1" applyAlignment="1">
      <alignment horizontal="left"/>
    </xf>
    <xf numFmtId="0" fontId="7" fillId="2" borderId="0" xfId="10" applyFont="1" applyFill="1" applyAlignment="1">
      <alignment horizontal="center"/>
    </xf>
    <xf numFmtId="43" fontId="3" fillId="2" borderId="0" xfId="10" applyNumberFormat="1" applyFont="1" applyFill="1" applyBorder="1"/>
    <xf numFmtId="43" fontId="3" fillId="2" borderId="0" xfId="10" applyNumberFormat="1" applyFont="1" applyFill="1"/>
    <xf numFmtId="0" fontId="3" fillId="2" borderId="0" xfId="10" quotePrefix="1" applyFont="1" applyFill="1"/>
    <xf numFmtId="0" fontId="3" fillId="2" borderId="0" xfId="10" applyFont="1" applyFill="1" applyAlignment="1">
      <alignment horizontal="right"/>
    </xf>
    <xf numFmtId="0" fontId="7" fillId="0" borderId="0" xfId="10" applyFont="1" applyFill="1" applyAlignment="1">
      <alignment horizontal="center"/>
    </xf>
    <xf numFmtId="43" fontId="3" fillId="0" borderId="0" xfId="10" applyNumberFormat="1" applyFont="1" applyFill="1" applyBorder="1"/>
    <xf numFmtId="43" fontId="3" fillId="0" borderId="1" xfId="10" applyNumberFormat="1" applyFont="1" applyFill="1" applyBorder="1"/>
    <xf numFmtId="43" fontId="3" fillId="0" borderId="0" xfId="10" applyNumberFormat="1" applyFont="1" applyFill="1"/>
    <xf numFmtId="0" fontId="3" fillId="0" borderId="0" xfId="10" applyFont="1" applyFill="1"/>
    <xf numFmtId="175" fontId="3" fillId="0" borderId="1" xfId="10" applyNumberFormat="1" applyFont="1" applyFill="1" applyBorder="1"/>
    <xf numFmtId="43" fontId="3" fillId="0" borderId="10" xfId="10" applyNumberFormat="1" applyFont="1" applyFill="1" applyBorder="1"/>
    <xf numFmtId="43" fontId="3" fillId="2" borderId="0" xfId="10" applyNumberFormat="1" applyFont="1" applyFill="1" applyAlignment="1">
      <alignment horizontal="right"/>
    </xf>
    <xf numFmtId="43" fontId="0" fillId="0" borderId="10" xfId="1" applyFont="1" applyBorder="1"/>
    <xf numFmtId="14" fontId="3" fillId="0" borderId="0" xfId="7" applyNumberFormat="1" applyFont="1"/>
    <xf numFmtId="168" fontId="3" fillId="2" borderId="0" xfId="1" applyNumberFormat="1" applyFont="1" applyFill="1" applyBorder="1" applyAlignment="1">
      <alignment horizontal="left"/>
    </xf>
    <xf numFmtId="169" fontId="5" fillId="2" borderId="10" xfId="0" applyNumberFormat="1" applyFont="1" applyFill="1" applyBorder="1"/>
    <xf numFmtId="0" fontId="15" fillId="2" borderId="0" xfId="12" applyNumberFormat="1" applyFont="1" applyFill="1" applyAlignment="1">
      <alignment horizontal="center"/>
    </xf>
    <xf numFmtId="0" fontId="3" fillId="2" borderId="0" xfId="0" applyFont="1" applyFill="1" applyBorder="1" applyAlignment="1">
      <alignment horizontal="center" wrapText="1"/>
    </xf>
    <xf numFmtId="0" fontId="3" fillId="2" borderId="0" xfId="0" applyFont="1" applyFill="1" applyBorder="1" applyAlignment="1">
      <alignment horizontal="center"/>
    </xf>
    <xf numFmtId="0" fontId="3" fillId="2" borderId="1" xfId="0" applyFont="1" applyFill="1" applyBorder="1" applyAlignment="1">
      <alignment horizontal="center"/>
    </xf>
    <xf numFmtId="0" fontId="6" fillId="2" borderId="14" xfId="0" applyFont="1" applyFill="1" applyBorder="1" applyAlignment="1">
      <alignment horizontal="center"/>
    </xf>
    <xf numFmtId="0" fontId="6" fillId="2" borderId="6" xfId="0" applyFont="1" applyFill="1" applyBorder="1" applyAlignment="1">
      <alignment horizontal="center"/>
    </xf>
    <xf numFmtId="0" fontId="6" fillId="2" borderId="18" xfId="0" applyFont="1" applyFill="1" applyBorder="1" applyAlignment="1">
      <alignment horizontal="center"/>
    </xf>
    <xf numFmtId="0" fontId="5" fillId="2" borderId="0" xfId="0" applyFont="1" applyFill="1" applyAlignment="1">
      <alignment horizontal="center" wrapText="1"/>
    </xf>
    <xf numFmtId="0" fontId="5" fillId="0" borderId="0" xfId="0" applyFont="1" applyAlignment="1">
      <alignment horizontal="center" wrapText="1"/>
    </xf>
    <xf numFmtId="0" fontId="6" fillId="0" borderId="14" xfId="0" applyFont="1" applyBorder="1" applyAlignment="1">
      <alignment horizontal="center"/>
    </xf>
    <xf numFmtId="0" fontId="6" fillId="0" borderId="6" xfId="0" applyFont="1" applyBorder="1" applyAlignment="1">
      <alignment horizontal="center"/>
    </xf>
    <xf numFmtId="0" fontId="6" fillId="0" borderId="18" xfId="0" applyFont="1" applyBorder="1" applyAlignment="1">
      <alignment horizontal="center"/>
    </xf>
    <xf numFmtId="0" fontId="3" fillId="0" borderId="4" xfId="22" applyFont="1" applyBorder="1" applyAlignment="1">
      <alignment horizontal="center"/>
    </xf>
    <xf numFmtId="0" fontId="38" fillId="0" borderId="4" xfId="22" applyFont="1" applyBorder="1"/>
    <xf numFmtId="172" fontId="38" fillId="0" borderId="4" xfId="22" applyNumberFormat="1" applyFont="1" applyFill="1" applyBorder="1"/>
    <xf numFmtId="0" fontId="1" fillId="0" borderId="4" xfId="22" applyBorder="1"/>
    <xf numFmtId="0" fontId="1" fillId="0" borderId="4" xfId="22" applyBorder="1" applyAlignment="1">
      <alignment horizontal="center"/>
    </xf>
    <xf numFmtId="43" fontId="1" fillId="0" borderId="4" xfId="23" applyFont="1" applyBorder="1"/>
    <xf numFmtId="0" fontId="3" fillId="0" borderId="4" xfId="22" applyFont="1" applyBorder="1" applyAlignment="1">
      <alignment horizontal="center"/>
    </xf>
    <xf numFmtId="0" fontId="38" fillId="0" borderId="4" xfId="22" applyFont="1" applyBorder="1"/>
    <xf numFmtId="0" fontId="1" fillId="0" borderId="4" xfId="22" applyBorder="1"/>
    <xf numFmtId="0" fontId="1" fillId="0" borderId="4" xfId="22" applyBorder="1" applyAlignment="1">
      <alignment horizontal="center"/>
    </xf>
    <xf numFmtId="43" fontId="1" fillId="0" borderId="4" xfId="23" applyFont="1" applyBorder="1"/>
    <xf numFmtId="0" fontId="3" fillId="0" borderId="4" xfId="22" applyFont="1" applyBorder="1" applyAlignment="1">
      <alignment horizontal="center"/>
    </xf>
    <xf numFmtId="0" fontId="38" fillId="0" borderId="4" xfId="22" applyFont="1" applyBorder="1"/>
    <xf numFmtId="0" fontId="1" fillId="0" borderId="4" xfId="22" applyBorder="1"/>
    <xf numFmtId="0" fontId="1" fillId="0" borderId="4" xfId="22" applyBorder="1" applyAlignment="1">
      <alignment horizontal="center"/>
    </xf>
    <xf numFmtId="43" fontId="1" fillId="0" borderId="4" xfId="23" applyFont="1" applyBorder="1"/>
    <xf numFmtId="0" fontId="3" fillId="0" borderId="4" xfId="22" applyFont="1" applyBorder="1" applyAlignment="1">
      <alignment horizontal="center"/>
    </xf>
    <xf numFmtId="172" fontId="38" fillId="0" borderId="4" xfId="22" applyNumberFormat="1" applyFont="1" applyFill="1" applyBorder="1"/>
    <xf numFmtId="0" fontId="1" fillId="0" borderId="4" xfId="22" applyBorder="1"/>
    <xf numFmtId="0" fontId="1" fillId="0" borderId="4" xfId="22" applyBorder="1" applyAlignment="1">
      <alignment horizontal="center"/>
    </xf>
    <xf numFmtId="43" fontId="1" fillId="0" borderId="4" xfId="23" applyFont="1" applyBorder="1"/>
    <xf numFmtId="0" fontId="3" fillId="0" borderId="4" xfId="22" applyFont="1" applyBorder="1" applyAlignment="1">
      <alignment horizontal="center"/>
    </xf>
    <xf numFmtId="0" fontId="38" fillId="0" borderId="4" xfId="22" applyFont="1" applyBorder="1"/>
    <xf numFmtId="172" fontId="38" fillId="0" borderId="4" xfId="22" applyNumberFormat="1" applyFont="1" applyFill="1" applyBorder="1"/>
    <xf numFmtId="0" fontId="1" fillId="0" borderId="4" xfId="22" applyBorder="1"/>
    <xf numFmtId="0" fontId="1" fillId="0" borderId="4" xfId="22" applyBorder="1" applyAlignment="1">
      <alignment horizontal="center"/>
    </xf>
    <xf numFmtId="43" fontId="1" fillId="0" borderId="4" xfId="23" applyFont="1" applyBorder="1"/>
    <xf numFmtId="0" fontId="0" fillId="0" borderId="4" xfId="0" applyBorder="1" applyAlignment="1">
      <alignment horizontal="center"/>
    </xf>
    <xf numFmtId="0" fontId="0" fillId="0" borderId="4" xfId="0" applyBorder="1"/>
    <xf numFmtId="43" fontId="0" fillId="0" borderId="4" xfId="1" applyFont="1" applyBorder="1"/>
    <xf numFmtId="0" fontId="0" fillId="0" borderId="4" xfId="0" applyBorder="1" applyAlignment="1">
      <alignment horizontal="center"/>
    </xf>
    <xf numFmtId="0" fontId="0" fillId="0" borderId="4" xfId="0" applyBorder="1"/>
    <xf numFmtId="43" fontId="0" fillId="0" borderId="4" xfId="1" applyFont="1" applyBorder="1"/>
    <xf numFmtId="172" fontId="0" fillId="0" borderId="4" xfId="0" applyNumberFormat="1" applyBorder="1"/>
    <xf numFmtId="0" fontId="0" fillId="0" borderId="4" xfId="0" applyBorder="1" applyAlignment="1">
      <alignment horizontal="left"/>
    </xf>
    <xf numFmtId="0" fontId="0" fillId="0" borderId="4" xfId="0" applyBorder="1"/>
    <xf numFmtId="43" fontId="0" fillId="0" borderId="4" xfId="1" applyFont="1" applyBorder="1"/>
    <xf numFmtId="172" fontId="0" fillId="0" borderId="4" xfId="0" applyNumberFormat="1" applyBorder="1"/>
    <xf numFmtId="0" fontId="0" fillId="0" borderId="4" xfId="0" applyBorder="1" applyAlignment="1">
      <alignment horizontal="center"/>
    </xf>
    <xf numFmtId="0" fontId="0" fillId="0" borderId="4" xfId="0" applyFill="1" applyBorder="1"/>
    <xf numFmtId="0" fontId="3" fillId="0" borderId="4" xfId="0" applyFont="1" applyFill="1" applyBorder="1" applyAlignment="1">
      <alignment horizontal="center"/>
    </xf>
    <xf numFmtId="0" fontId="0" fillId="0" borderId="4" xfId="0" applyBorder="1"/>
    <xf numFmtId="43" fontId="0" fillId="0" borderId="4" xfId="1" applyFont="1" applyBorder="1"/>
    <xf numFmtId="172" fontId="0" fillId="0" borderId="4" xfId="0" applyNumberFormat="1" applyBorder="1"/>
    <xf numFmtId="0" fontId="0" fillId="0" borderId="4" xfId="0" applyBorder="1" applyAlignment="1">
      <alignment horizontal="center"/>
    </xf>
    <xf numFmtId="0" fontId="3" fillId="0" borderId="4" xfId="0" applyFont="1" applyFill="1" applyBorder="1" applyAlignment="1">
      <alignment horizontal="center"/>
    </xf>
    <xf numFmtId="0" fontId="0" fillId="0" borderId="4" xfId="0" applyBorder="1"/>
    <xf numFmtId="43" fontId="0" fillId="0" borderId="4" xfId="1" applyFont="1" applyBorder="1"/>
    <xf numFmtId="0" fontId="0" fillId="0" borderId="4" xfId="0" applyBorder="1" applyAlignment="1">
      <alignment horizontal="center"/>
    </xf>
    <xf numFmtId="0" fontId="0" fillId="0" borderId="4" xfId="0" applyFill="1" applyBorder="1"/>
    <xf numFmtId="43" fontId="0" fillId="0" borderId="4" xfId="1" applyFont="1" applyFill="1" applyBorder="1"/>
    <xf numFmtId="0" fontId="3" fillId="0" borderId="4" xfId="0" applyFont="1" applyFill="1" applyBorder="1" applyAlignment="1">
      <alignment horizontal="center"/>
    </xf>
    <xf numFmtId="0" fontId="3" fillId="0" borderId="0" xfId="0" applyFont="1" applyFill="1"/>
    <xf numFmtId="0" fontId="0" fillId="0" borderId="4" xfId="0" applyFill="1" applyBorder="1" applyAlignment="1">
      <alignment horizontal="center"/>
    </xf>
    <xf numFmtId="172" fontId="0" fillId="0" borderId="4" xfId="0" applyNumberFormat="1" applyFill="1" applyBorder="1"/>
    <xf numFmtId="0" fontId="0" fillId="0" borderId="4" xfId="0" applyBorder="1"/>
    <xf numFmtId="0" fontId="0" fillId="0" borderId="4" xfId="0" applyBorder="1" applyAlignment="1">
      <alignment horizontal="center"/>
    </xf>
    <xf numFmtId="43" fontId="0" fillId="0" borderId="4" xfId="1" applyFont="1" applyBorder="1"/>
    <xf numFmtId="0" fontId="0" fillId="0" borderId="4" xfId="0" applyBorder="1"/>
    <xf numFmtId="0" fontId="0" fillId="0" borderId="4" xfId="0" applyBorder="1" applyAlignment="1">
      <alignment horizontal="center"/>
    </xf>
    <xf numFmtId="43" fontId="0" fillId="0" borderId="4" xfId="1" applyFont="1" applyBorder="1"/>
    <xf numFmtId="172" fontId="0" fillId="0" borderId="4" xfId="0" applyNumberFormat="1" applyFill="1" applyBorder="1"/>
  </cellXfs>
  <cellStyles count="24">
    <cellStyle name="Comma" xfId="1" builtinId="3"/>
    <cellStyle name="Comma 2" xfId="2"/>
    <cellStyle name="Comma 2 2" xfId="8"/>
    <cellStyle name="Comma 3" xfId="17"/>
    <cellStyle name="Comma 4" xfId="16"/>
    <cellStyle name="Comma 5" xfId="15"/>
    <cellStyle name="Comma 6" xfId="23"/>
    <cellStyle name="Normal" xfId="0" builtinId="0"/>
    <cellStyle name="Normal 2" xfId="3"/>
    <cellStyle name="Normal 2 2" xfId="10"/>
    <cellStyle name="Normal 3" xfId="7"/>
    <cellStyle name="Normal 4" xfId="9"/>
    <cellStyle name="Normal 4 2" xfId="13"/>
    <cellStyle name="Normal 5" xfId="12"/>
    <cellStyle name="Normal 6" xfId="22"/>
    <cellStyle name="Normal_RE&amp;PP Adjmt" xfId="6"/>
    <cellStyle name="Note 2" xfId="18"/>
    <cellStyle name="Note 3" xfId="19"/>
    <cellStyle name="Note 4" xfId="20"/>
    <cellStyle name="Percent" xfId="4" builtinId="5"/>
    <cellStyle name="Percent 2" xfId="5"/>
    <cellStyle name="Percent 2 2" xfId="11"/>
    <cellStyle name="Percent 3" xfId="14"/>
    <cellStyle name="Total 2" xfId="21"/>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21</xdr:col>
      <xdr:colOff>0</xdr:colOff>
      <xdr:row>10</xdr:row>
      <xdr:rowOff>85725</xdr:rowOff>
    </xdr:from>
    <xdr:to>
      <xdr:col>21</xdr:col>
      <xdr:colOff>76200</xdr:colOff>
      <xdr:row>12</xdr:row>
      <xdr:rowOff>85725</xdr:rowOff>
    </xdr:to>
    <xdr:sp macro="" textlink="">
      <xdr:nvSpPr>
        <xdr:cNvPr id="2567" name="AutoShape 2">
          <a:extLst>
            <a:ext uri="{FF2B5EF4-FFF2-40B4-BE49-F238E27FC236}">
              <a16:creationId xmlns="" xmlns:a16="http://schemas.microsoft.com/office/drawing/2014/main" id="{00000000-0008-0000-0000-0000070A0000}"/>
            </a:ext>
          </a:extLst>
        </xdr:cNvPr>
        <xdr:cNvSpPr>
          <a:spLocks/>
        </xdr:cNvSpPr>
      </xdr:nvSpPr>
      <xdr:spPr bwMode="auto">
        <a:xfrm>
          <a:off x="19554825" y="1704975"/>
          <a:ext cx="76200" cy="3238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0</xdr:colOff>
      <xdr:row>14</xdr:row>
      <xdr:rowOff>85725</xdr:rowOff>
    </xdr:from>
    <xdr:to>
      <xdr:col>21</xdr:col>
      <xdr:colOff>76200</xdr:colOff>
      <xdr:row>16</xdr:row>
      <xdr:rowOff>85725</xdr:rowOff>
    </xdr:to>
    <xdr:sp macro="" textlink="">
      <xdr:nvSpPr>
        <xdr:cNvPr id="2568" name="AutoShape 3">
          <a:extLst>
            <a:ext uri="{FF2B5EF4-FFF2-40B4-BE49-F238E27FC236}">
              <a16:creationId xmlns="" xmlns:a16="http://schemas.microsoft.com/office/drawing/2014/main" id="{00000000-0008-0000-0000-0000080A0000}"/>
            </a:ext>
          </a:extLst>
        </xdr:cNvPr>
        <xdr:cNvSpPr>
          <a:spLocks/>
        </xdr:cNvSpPr>
      </xdr:nvSpPr>
      <xdr:spPr bwMode="auto">
        <a:xfrm>
          <a:off x="19554825" y="2352675"/>
          <a:ext cx="76200" cy="3238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0</xdr:colOff>
      <xdr:row>20</xdr:row>
      <xdr:rowOff>85725</xdr:rowOff>
    </xdr:from>
    <xdr:to>
      <xdr:col>21</xdr:col>
      <xdr:colOff>76200</xdr:colOff>
      <xdr:row>22</xdr:row>
      <xdr:rowOff>85725</xdr:rowOff>
    </xdr:to>
    <xdr:sp macro="" textlink="">
      <xdr:nvSpPr>
        <xdr:cNvPr id="2569" name="AutoShape 23">
          <a:extLst>
            <a:ext uri="{FF2B5EF4-FFF2-40B4-BE49-F238E27FC236}">
              <a16:creationId xmlns="" xmlns:a16="http://schemas.microsoft.com/office/drawing/2014/main" id="{00000000-0008-0000-0000-0000090A0000}"/>
            </a:ext>
          </a:extLst>
        </xdr:cNvPr>
        <xdr:cNvSpPr>
          <a:spLocks/>
        </xdr:cNvSpPr>
      </xdr:nvSpPr>
      <xdr:spPr bwMode="auto">
        <a:xfrm>
          <a:off x="19554825" y="3324225"/>
          <a:ext cx="76200" cy="3238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0</xdr:colOff>
      <xdr:row>24</xdr:row>
      <xdr:rowOff>85725</xdr:rowOff>
    </xdr:from>
    <xdr:to>
      <xdr:col>21</xdr:col>
      <xdr:colOff>76200</xdr:colOff>
      <xdr:row>26</xdr:row>
      <xdr:rowOff>85725</xdr:rowOff>
    </xdr:to>
    <xdr:sp macro="" textlink="">
      <xdr:nvSpPr>
        <xdr:cNvPr id="2570" name="AutoShape 24">
          <a:extLst>
            <a:ext uri="{FF2B5EF4-FFF2-40B4-BE49-F238E27FC236}">
              <a16:creationId xmlns="" xmlns:a16="http://schemas.microsoft.com/office/drawing/2014/main" id="{00000000-0008-0000-0000-00000A0A0000}"/>
            </a:ext>
          </a:extLst>
        </xdr:cNvPr>
        <xdr:cNvSpPr>
          <a:spLocks/>
        </xdr:cNvSpPr>
      </xdr:nvSpPr>
      <xdr:spPr bwMode="auto">
        <a:xfrm>
          <a:off x="19554825" y="3971925"/>
          <a:ext cx="76200" cy="3238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SRS%20Filings\Laclede%20January%202015\Laclede%20April%202015\ISRS%20Appendix%20B%20%20-%20Prop%20thru%20Feb%2015,%20Deferred%20Taxes%20thru%20May%2015,%202015%20With%20Cites%20February%20no%20regulator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RS%20Filings\Laclede%20July%202015\Files%20to%20Staff\August%20Updates\ISRS%20Appendix%20B%20%20-%20Prop%20thru%20Aug%2015,%20Deferred%20Taxes%20thru%20Nov%2015,%202015%20With%20Cites%20-%20August%202015%20Telemetry.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SRS%20Filings/ISRS%20Filings%20and%20Resul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 tax - main split"/>
      <sheetName val="def tax - bonus codes"/>
      <sheetName val="Summary info (bonus split)"/>
      <sheetName val="customers -13"/>
      <sheetName val="Additions"/>
      <sheetName val="Retirements"/>
      <sheetName val="Cites"/>
      <sheetName val="Pipeline Safety"/>
      <sheetName val="ISRS"/>
      <sheetName val="Summary info"/>
      <sheetName val="2014 Prop Pymts"/>
      <sheetName val="2013 Prop Pymts"/>
      <sheetName val="Additions for prop tax"/>
      <sheetName val="Retirements for prop tax"/>
      <sheetName val="Revenue Requirement"/>
      <sheetName val="Depreciation Exp"/>
      <sheetName val="Prop Tax"/>
      <sheetName val="Incremental Prop Tax 2013"/>
      <sheetName val="Incremental Depr and Taxes"/>
      <sheetName val="Def. Tax - Main Repl"/>
      <sheetName val="Def. Tax - Services"/>
      <sheetName val="Def. Tax - Reg"/>
      <sheetName val="Def. Tax - Main Relo"/>
      <sheetName val="Def. Tax - Main Reinf"/>
      <sheetName val="ROR"/>
      <sheetName val="Rate Design - July 2014"/>
      <sheetName val="Cumulative Rate Design"/>
    </sheetNames>
    <sheetDataSet>
      <sheetData sheetId="0"/>
      <sheetData sheetId="1"/>
      <sheetData sheetId="2"/>
      <sheetData sheetId="3"/>
      <sheetData sheetId="4">
        <row r="5">
          <cell r="N5" t="str">
            <v>In Svc. Dt.</v>
          </cell>
          <cell r="O5" t="str">
            <v>Months</v>
          </cell>
        </row>
        <row r="6">
          <cell r="N6">
            <v>201309</v>
          </cell>
          <cell r="O6">
            <v>20</v>
          </cell>
        </row>
        <row r="7">
          <cell r="N7">
            <v>201310</v>
          </cell>
          <cell r="O7">
            <v>19</v>
          </cell>
        </row>
        <row r="8">
          <cell r="N8">
            <v>201311</v>
          </cell>
          <cell r="O8">
            <v>18</v>
          </cell>
        </row>
        <row r="9">
          <cell r="N9">
            <v>201312</v>
          </cell>
          <cell r="O9">
            <v>17</v>
          </cell>
        </row>
        <row r="10">
          <cell r="N10">
            <v>201401</v>
          </cell>
          <cell r="O10">
            <v>16</v>
          </cell>
        </row>
        <row r="11">
          <cell r="N11">
            <v>201402</v>
          </cell>
          <cell r="O11">
            <v>15</v>
          </cell>
        </row>
        <row r="12">
          <cell r="N12">
            <v>201403</v>
          </cell>
          <cell r="O12">
            <v>14</v>
          </cell>
        </row>
        <row r="13">
          <cell r="N13">
            <v>201404</v>
          </cell>
          <cell r="O13">
            <v>13</v>
          </cell>
        </row>
        <row r="14">
          <cell r="N14">
            <v>201405</v>
          </cell>
          <cell r="O14">
            <v>12</v>
          </cell>
        </row>
        <row r="15">
          <cell r="N15">
            <v>201406</v>
          </cell>
          <cell r="O15">
            <v>11</v>
          </cell>
        </row>
        <row r="16">
          <cell r="N16">
            <v>201407</v>
          </cell>
          <cell r="O16">
            <v>10</v>
          </cell>
        </row>
        <row r="17">
          <cell r="N17">
            <v>201408</v>
          </cell>
          <cell r="O17">
            <v>9</v>
          </cell>
        </row>
        <row r="18">
          <cell r="N18">
            <v>201409</v>
          </cell>
          <cell r="O18">
            <v>8</v>
          </cell>
        </row>
        <row r="19">
          <cell r="N19">
            <v>201410</v>
          </cell>
          <cell r="O19">
            <v>7</v>
          </cell>
        </row>
        <row r="20">
          <cell r="N20">
            <v>201411</v>
          </cell>
          <cell r="O20">
            <v>6</v>
          </cell>
        </row>
        <row r="21">
          <cell r="N21">
            <v>201412</v>
          </cell>
          <cell r="O21">
            <v>5</v>
          </cell>
        </row>
        <row r="22">
          <cell r="N22">
            <v>201501</v>
          </cell>
          <cell r="O22">
            <v>4</v>
          </cell>
        </row>
        <row r="23">
          <cell r="N23">
            <v>201502</v>
          </cell>
          <cell r="O23">
            <v>3</v>
          </cell>
        </row>
        <row r="24">
          <cell r="N24">
            <v>0</v>
          </cell>
          <cell r="O24">
            <v>0</v>
          </cell>
        </row>
        <row r="25">
          <cell r="N25">
            <v>0</v>
          </cell>
          <cell r="O25">
            <v>0</v>
          </cell>
        </row>
        <row r="26">
          <cell r="N26">
            <v>0</v>
          </cell>
          <cell r="O26">
            <v>0</v>
          </cell>
        </row>
        <row r="27">
          <cell r="N27">
            <v>0</v>
          </cell>
          <cell r="O27">
            <v>0</v>
          </cell>
        </row>
        <row r="28">
          <cell r="N28">
            <v>0</v>
          </cell>
          <cell r="O28">
            <v>0</v>
          </cell>
        </row>
        <row r="29">
          <cell r="N29">
            <v>0</v>
          </cell>
          <cell r="O29">
            <v>0</v>
          </cell>
        </row>
        <row r="30">
          <cell r="N30">
            <v>0</v>
          </cell>
          <cell r="O30">
            <v>0</v>
          </cell>
        </row>
        <row r="31">
          <cell r="N31">
            <v>0</v>
          </cell>
          <cell r="O31">
            <v>0</v>
          </cell>
        </row>
        <row r="32">
          <cell r="N32">
            <v>0</v>
          </cell>
          <cell r="O32">
            <v>0</v>
          </cell>
        </row>
        <row r="33">
          <cell r="N33">
            <v>0</v>
          </cell>
          <cell r="O33">
            <v>0</v>
          </cell>
        </row>
        <row r="34">
          <cell r="N34">
            <v>0</v>
          </cell>
          <cell r="O34">
            <v>0</v>
          </cell>
        </row>
        <row r="35">
          <cell r="N35">
            <v>0</v>
          </cell>
          <cell r="O35">
            <v>0</v>
          </cell>
        </row>
        <row r="36">
          <cell r="N36">
            <v>0</v>
          </cell>
          <cell r="O36">
            <v>0</v>
          </cell>
        </row>
        <row r="37">
          <cell r="N37">
            <v>0</v>
          </cell>
          <cell r="O37">
            <v>0</v>
          </cell>
        </row>
      </sheetData>
      <sheetData sheetId="5">
        <row r="488">
          <cell r="G488">
            <v>-3232707.17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 tax - main split"/>
      <sheetName val="def tax - bonus codes"/>
      <sheetName val="Summary info (bonus split)"/>
      <sheetName val="customers -14"/>
      <sheetName val="Additions"/>
      <sheetName val="Retirements"/>
      <sheetName val="Cites"/>
      <sheetName val="Pipeline Safety"/>
      <sheetName val="ISRS"/>
      <sheetName val="Summary info"/>
      <sheetName val="2014 Prop Pymts"/>
      <sheetName val="2013 Prop Pymts"/>
      <sheetName val="Additions for prop tax"/>
      <sheetName val="Retirements for prop tax"/>
      <sheetName val="Revenue Requirement"/>
      <sheetName val="Depreciation Exp"/>
      <sheetName val="Prop Tax"/>
      <sheetName val="Incremental Prop Tax 2013"/>
      <sheetName val="Incremental Depr and Taxes"/>
      <sheetName val="Def. Tax - Main Repl"/>
      <sheetName val="Def. Tax - Services"/>
      <sheetName val="Def. Tax - Reg"/>
      <sheetName val="Def. Tax - Main Relo"/>
      <sheetName val="Def. Tax - Main Reinf"/>
      <sheetName val="ROR"/>
      <sheetName val="Rate Design - July 2014"/>
      <sheetName val="Cumulative Rate Design"/>
    </sheetNames>
    <sheetDataSet>
      <sheetData sheetId="0"/>
      <sheetData sheetId="1"/>
      <sheetData sheetId="2"/>
      <sheetData sheetId="3"/>
      <sheetData sheetId="4">
        <row r="5">
          <cell r="N5" t="str">
            <v>In Svc. Dt.</v>
          </cell>
        </row>
      </sheetData>
      <sheetData sheetId="5">
        <row r="490">
          <cell r="G490">
            <v>-3455632.11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Tax Position"/>
    </sheetNames>
    <sheetDataSet>
      <sheetData sheetId="0">
        <row r="28">
          <cell r="N28">
            <v>29526893.943684019</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pageSetUpPr fitToPage="1"/>
  </sheetPr>
  <dimension ref="A1:Y829"/>
  <sheetViews>
    <sheetView topLeftCell="A519" workbookViewId="0">
      <selection activeCell="A537" sqref="A537:XFD551"/>
    </sheetView>
  </sheetViews>
  <sheetFormatPr defaultColWidth="9.140625" defaultRowHeight="12.75"/>
  <cols>
    <col min="1" max="1" width="5.140625" style="101" bestFit="1" customWidth="1"/>
    <col min="2" max="2" width="23.42578125" style="101" customWidth="1"/>
    <col min="3" max="3" width="8.7109375" style="101" bestFit="1" customWidth="1"/>
    <col min="4" max="4" width="9.7109375" style="101" bestFit="1" customWidth="1"/>
    <col min="5" max="5" width="48.7109375" style="101" bestFit="1" customWidth="1"/>
    <col min="6" max="6" width="15.42578125" style="154" bestFit="1" customWidth="1"/>
    <col min="7" max="7" width="19.7109375" style="101" bestFit="1" customWidth="1"/>
    <col min="8" max="8" width="20.7109375" style="310" customWidth="1"/>
    <col min="9" max="9" width="14.85546875" style="310" bestFit="1" customWidth="1"/>
    <col min="10" max="10" width="15.140625" style="310" bestFit="1" customWidth="1"/>
    <col min="11" max="11" width="2.85546875" style="310" bestFit="1" customWidth="1"/>
    <col min="12" max="12" width="22.28515625" style="310" customWidth="1"/>
    <col min="13" max="14" width="14.5703125" style="101" customWidth="1"/>
    <col min="15" max="15" width="14.7109375" style="102" customWidth="1"/>
    <col min="16" max="17" width="11.85546875" style="102" customWidth="1"/>
    <col min="18" max="18" width="15.140625" style="102" bestFit="1" customWidth="1"/>
    <col min="19" max="19" width="17.140625" style="101" customWidth="1"/>
    <col min="20" max="20" width="11.140625" style="101" hidden="1" customWidth="1"/>
    <col min="21" max="21" width="15.85546875" style="101" customWidth="1"/>
    <col min="22" max="22" width="11" style="101" customWidth="1"/>
    <col min="23" max="23" width="11.28515625" style="101" customWidth="1"/>
    <col min="24" max="24" width="10.28515625" style="101" customWidth="1"/>
    <col min="25" max="25" width="10.140625" style="101" customWidth="1"/>
    <col min="26" max="16384" width="9.140625" style="101"/>
  </cols>
  <sheetData>
    <row r="1" spans="2:25">
      <c r="B1" s="67" t="s">
        <v>146</v>
      </c>
      <c r="F1" s="68"/>
      <c r="G1" s="69" t="s">
        <v>174</v>
      </c>
      <c r="H1" s="101"/>
    </row>
    <row r="2" spans="2:25">
      <c r="B2" s="67"/>
      <c r="F2" s="68"/>
      <c r="G2" s="69" t="s">
        <v>226</v>
      </c>
      <c r="H2" s="69" t="s">
        <v>175</v>
      </c>
      <c r="I2" s="70"/>
      <c r="J2" s="71">
        <v>41912</v>
      </c>
      <c r="K2" s="70"/>
      <c r="L2" s="70"/>
      <c r="M2" s="72"/>
      <c r="N2" s="72"/>
      <c r="S2" s="72"/>
      <c r="T2" s="72"/>
      <c r="U2" s="72"/>
      <c r="V2" s="72"/>
      <c r="W2" s="72"/>
      <c r="X2" s="72"/>
      <c r="Y2" s="72"/>
    </row>
    <row r="3" spans="2:25">
      <c r="B3" s="69"/>
      <c r="F3" s="68"/>
      <c r="G3" s="69" t="s">
        <v>176</v>
      </c>
      <c r="H3" s="69" t="s">
        <v>177</v>
      </c>
      <c r="I3" s="70"/>
      <c r="J3" s="70"/>
      <c r="K3" s="70"/>
      <c r="L3" s="70"/>
      <c r="M3" s="72"/>
      <c r="N3" s="72"/>
      <c r="S3" s="72"/>
      <c r="T3" s="72"/>
      <c r="U3" s="72"/>
      <c r="V3" s="72"/>
      <c r="W3" s="72"/>
      <c r="X3" s="72"/>
      <c r="Y3" s="72"/>
    </row>
    <row r="4" spans="2:25">
      <c r="M4" s="72"/>
      <c r="N4" s="72"/>
      <c r="S4" s="72"/>
      <c r="T4" s="72"/>
      <c r="U4" s="72"/>
      <c r="V4" s="72"/>
      <c r="W4" s="72"/>
      <c r="X4" s="72"/>
      <c r="Y4" s="72"/>
    </row>
    <row r="5" spans="2:25">
      <c r="B5" s="72" t="s">
        <v>86</v>
      </c>
      <c r="C5" s="72" t="s">
        <v>87</v>
      </c>
      <c r="D5" s="72" t="s">
        <v>88</v>
      </c>
      <c r="E5" s="72"/>
      <c r="F5" s="73" t="s">
        <v>89</v>
      </c>
      <c r="G5" s="72" t="s">
        <v>90</v>
      </c>
      <c r="H5" s="715">
        <v>201609</v>
      </c>
      <c r="I5" s="70"/>
      <c r="J5" s="70"/>
      <c r="K5" s="70"/>
      <c r="L5" s="70"/>
      <c r="M5" s="72"/>
      <c r="N5" s="72"/>
      <c r="S5" s="72"/>
      <c r="T5" s="72"/>
      <c r="U5" s="72"/>
      <c r="V5" s="72"/>
      <c r="W5" s="72"/>
      <c r="X5" s="72"/>
      <c r="Y5" s="72"/>
    </row>
    <row r="6" spans="2:25">
      <c r="B6" s="74" t="s">
        <v>94</v>
      </c>
      <c r="C6" s="74" t="s">
        <v>95</v>
      </c>
      <c r="D6" s="74" t="s">
        <v>96</v>
      </c>
      <c r="E6" s="74" t="s">
        <v>97</v>
      </c>
      <c r="F6" s="75" t="s">
        <v>98</v>
      </c>
      <c r="G6" s="74" t="s">
        <v>99</v>
      </c>
      <c r="H6" s="76" t="s">
        <v>147</v>
      </c>
      <c r="I6" s="77" t="s">
        <v>159</v>
      </c>
      <c r="J6" s="77" t="s">
        <v>183</v>
      </c>
      <c r="K6" s="77"/>
      <c r="L6" s="76"/>
      <c r="M6" s="76" t="s">
        <v>161</v>
      </c>
      <c r="R6" s="74"/>
      <c r="T6" s="74"/>
      <c r="U6" s="74"/>
      <c r="V6" s="74"/>
      <c r="W6" s="74"/>
      <c r="X6" s="74"/>
      <c r="Y6" s="74"/>
    </row>
    <row r="7" spans="2:25">
      <c r="B7" s="521" t="s">
        <v>318</v>
      </c>
      <c r="C7" s="522" t="s">
        <v>320</v>
      </c>
      <c r="D7" s="423" t="s">
        <v>319</v>
      </c>
      <c r="E7" s="521" t="s">
        <v>321</v>
      </c>
      <c r="F7" s="522">
        <v>201611</v>
      </c>
      <c r="G7" s="482">
        <v>10.66</v>
      </c>
      <c r="H7" s="112">
        <f>IF(F7&gt;$H$5,0+2017,0+2016)</f>
        <v>2017</v>
      </c>
      <c r="I7" s="312">
        <v>20</v>
      </c>
      <c r="J7" s="107" t="s">
        <v>189</v>
      </c>
      <c r="K7" s="103"/>
      <c r="L7" s="76"/>
      <c r="M7" s="101">
        <f>IF(LEFT(D7,2)="34",3401,IF(LEFT(D7,2)="33",3301))</f>
        <v>3301</v>
      </c>
      <c r="O7" s="74"/>
      <c r="P7" s="74"/>
      <c r="Q7" s="74"/>
      <c r="R7" s="74"/>
    </row>
    <row r="8" spans="2:25">
      <c r="B8" s="521" t="s">
        <v>318</v>
      </c>
      <c r="C8" s="522" t="s">
        <v>323</v>
      </c>
      <c r="D8" s="423" t="s">
        <v>319</v>
      </c>
      <c r="E8" s="521" t="s">
        <v>324</v>
      </c>
      <c r="F8" s="522">
        <v>201611</v>
      </c>
      <c r="G8" s="482">
        <v>-80.88</v>
      </c>
      <c r="H8" s="112">
        <f t="shared" ref="H8:H71" si="0">IF(F8&gt;$H$5,0+2017,0+2016)</f>
        <v>2017</v>
      </c>
      <c r="I8" s="312">
        <v>20</v>
      </c>
      <c r="J8" s="107" t="s">
        <v>189</v>
      </c>
      <c r="K8" s="103"/>
      <c r="L8" s="76"/>
      <c r="M8" s="101">
        <f t="shared" ref="M8:M71" si="1">IF(LEFT(D8,2)="34",3401,IF(LEFT(D8,2)="33",3301))</f>
        <v>3301</v>
      </c>
      <c r="O8" s="78" t="s">
        <v>165</v>
      </c>
      <c r="P8" s="78" t="s">
        <v>186</v>
      </c>
      <c r="Q8" s="78" t="s">
        <v>221</v>
      </c>
      <c r="R8" s="78" t="s">
        <v>148</v>
      </c>
      <c r="S8" s="78" t="s">
        <v>149</v>
      </c>
      <c r="U8" s="78"/>
    </row>
    <row r="9" spans="2:25">
      <c r="B9" s="521" t="s">
        <v>322</v>
      </c>
      <c r="C9" s="522" t="s">
        <v>325</v>
      </c>
      <c r="D9" s="423" t="s">
        <v>319</v>
      </c>
      <c r="E9" s="521" t="s">
        <v>326</v>
      </c>
      <c r="F9" s="522">
        <v>201611</v>
      </c>
      <c r="G9" s="482">
        <v>23.87</v>
      </c>
      <c r="H9" s="112">
        <f t="shared" si="0"/>
        <v>2017</v>
      </c>
      <c r="I9" s="312">
        <v>20</v>
      </c>
      <c r="J9" s="107" t="s">
        <v>189</v>
      </c>
      <c r="K9" s="103"/>
      <c r="L9" s="76"/>
      <c r="M9" s="101">
        <f t="shared" si="1"/>
        <v>3301</v>
      </c>
      <c r="O9" s="79" t="s">
        <v>160</v>
      </c>
      <c r="P9" s="80" t="s">
        <v>187</v>
      </c>
      <c r="Q9" s="80" t="s">
        <v>222</v>
      </c>
      <c r="R9" s="80">
        <v>3301</v>
      </c>
      <c r="S9" s="80">
        <v>3401</v>
      </c>
      <c r="T9" s="124"/>
      <c r="U9" s="80" t="s">
        <v>42</v>
      </c>
    </row>
    <row r="10" spans="2:25">
      <c r="B10" s="521" t="s">
        <v>318</v>
      </c>
      <c r="C10" s="522" t="s">
        <v>327</v>
      </c>
      <c r="D10" s="423" t="s">
        <v>319</v>
      </c>
      <c r="E10" s="521" t="s">
        <v>328</v>
      </c>
      <c r="F10" s="522">
        <v>201611</v>
      </c>
      <c r="G10" s="482">
        <v>10481.35</v>
      </c>
      <c r="H10" s="112">
        <f t="shared" si="0"/>
        <v>2017</v>
      </c>
      <c r="I10" s="312">
        <v>20</v>
      </c>
      <c r="J10" s="107" t="s">
        <v>189</v>
      </c>
      <c r="K10" s="103"/>
      <c r="L10" s="76"/>
      <c r="M10" s="101">
        <f t="shared" si="1"/>
        <v>3301</v>
      </c>
      <c r="O10" s="81">
        <v>15</v>
      </c>
      <c r="P10" s="81" t="s">
        <v>188</v>
      </c>
      <c r="Q10" s="81">
        <v>2016</v>
      </c>
      <c r="R10" s="313">
        <f t="array" ref="R10">SUM((R$9=$M$7:$M$541)*($P10=$J$7:$J$541)*($O10=$I$7:$I$541)*($Q10=$H$7:$H$541)*($G$7:$G$541))</f>
        <v>0</v>
      </c>
      <c r="S10" s="313">
        <f t="array" ref="S10">SUM((S$9=$M$7:$M$541)*($P10=$J$7:$J$541)*($O10=$I$7:$I$541)*($Q10=$H$7:$H$541)*($G$7:$G$541))</f>
        <v>0</v>
      </c>
      <c r="T10" s="313">
        <f t="array" ref="T10">SUM((T$9=$M$7:$M$540)*($P10=$J$7:$J$540)*($O10=$I$7:$I$540)*($Q10=$H$7:$H$540)*($G$7:$G$540))</f>
        <v>0</v>
      </c>
      <c r="U10" s="313">
        <f t="shared" ref="U10" si="2">SUM(R10:S10)</f>
        <v>0</v>
      </c>
    </row>
    <row r="11" spans="2:25">
      <c r="B11" s="521" t="s">
        <v>318</v>
      </c>
      <c r="C11" s="522" t="s">
        <v>941</v>
      </c>
      <c r="D11" s="423" t="s">
        <v>330</v>
      </c>
      <c r="E11" s="521" t="s">
        <v>942</v>
      </c>
      <c r="F11" s="522">
        <v>201611</v>
      </c>
      <c r="G11" s="482">
        <v>308.51</v>
      </c>
      <c r="H11" s="112">
        <f t="shared" si="0"/>
        <v>2017</v>
      </c>
      <c r="I11" s="312">
        <v>20</v>
      </c>
      <c r="J11" s="107" t="s">
        <v>189</v>
      </c>
      <c r="K11" s="103"/>
      <c r="L11" s="76"/>
      <c r="M11" s="101">
        <f t="shared" si="1"/>
        <v>3301</v>
      </c>
      <c r="O11" s="78">
        <v>15</v>
      </c>
      <c r="P11" s="78" t="s">
        <v>189</v>
      </c>
      <c r="Q11" s="78">
        <v>2016</v>
      </c>
      <c r="R11" s="314">
        <f t="array" ref="R11">SUM((R$9=$M$7:$M$541)*($P11=$J$7:$J$541)*($O11=$I$7:$I$541)*($Q11=$H$7:$H$541)*($G$7:$G$541))</f>
        <v>0</v>
      </c>
      <c r="S11" s="314">
        <f t="array" ref="S11">SUM((S$9=$M$7:$M$541)*($P11=$J$7:$J$541)*($O11=$I$7:$I$541)*($Q11=$H$7:$H$541)*($G$7:$G$541))</f>
        <v>0</v>
      </c>
      <c r="T11" s="314">
        <f t="array" ref="T11">SUM((T$9=$M$7:$M$540)*($P11=$J$7:$J$540)*($O11=$I$7:$I$540)*($Q11=$H$7:$H$540)*($G$7:$G$540))</f>
        <v>0</v>
      </c>
      <c r="U11" s="314">
        <f>SUM(R11:S11)</f>
        <v>0</v>
      </c>
    </row>
    <row r="12" spans="2:25">
      <c r="B12" s="521" t="s">
        <v>318</v>
      </c>
      <c r="C12" s="522" t="s">
        <v>941</v>
      </c>
      <c r="D12" s="423" t="s">
        <v>330</v>
      </c>
      <c r="E12" s="521" t="s">
        <v>942</v>
      </c>
      <c r="F12" s="522">
        <v>201611</v>
      </c>
      <c r="G12" s="482">
        <v>4410.1499999999996</v>
      </c>
      <c r="H12" s="112">
        <f t="shared" si="0"/>
        <v>2017</v>
      </c>
      <c r="I12" s="312">
        <v>20</v>
      </c>
      <c r="J12" s="107" t="s">
        <v>189</v>
      </c>
      <c r="K12" s="103"/>
      <c r="L12" s="76"/>
      <c r="M12" s="101">
        <f t="shared" si="1"/>
        <v>3301</v>
      </c>
      <c r="O12" s="78">
        <v>15</v>
      </c>
      <c r="P12" s="78" t="s">
        <v>184</v>
      </c>
      <c r="Q12" s="78">
        <v>2016</v>
      </c>
      <c r="R12" s="314">
        <f t="array" ref="R12">SUM((R$9=$M$7:$M$541)*($P12=$J$7:$J$541)*($O12=$I$7:$I$541)*($Q12=$H$7:$H$541)*($G$7:$G$541))</f>
        <v>0</v>
      </c>
      <c r="S12" s="314">
        <f t="array" ref="S12">SUM((S$9=$M$7:$M$541)*($P12=$J$7:$J$541)*($O12=$I$7:$I$541)*($Q12=$H$7:$H$541)*($G$7:$G$541))</f>
        <v>0</v>
      </c>
      <c r="T12" s="314">
        <f t="array" ref="T12">SUM((T$9=$M$7:$M$540)*($P12=$J$7:$J$540)*($O12=$I$7:$I$540)*($Q12=$H$7:$H$540)*($G$7:$G$540))</f>
        <v>0</v>
      </c>
      <c r="U12" s="314">
        <f t="shared" ref="U12:U29" si="3">SUM(R12:S12)</f>
        <v>0</v>
      </c>
    </row>
    <row r="13" spans="2:25" ht="15">
      <c r="B13" s="521" t="s">
        <v>322</v>
      </c>
      <c r="C13" s="522" t="s">
        <v>856</v>
      </c>
      <c r="D13" s="424" t="s">
        <v>330</v>
      </c>
      <c r="E13" s="521" t="s">
        <v>857</v>
      </c>
      <c r="F13" s="522">
        <v>201611</v>
      </c>
      <c r="G13" s="482">
        <v>-0.03</v>
      </c>
      <c r="H13" s="112">
        <f t="shared" si="0"/>
        <v>2017</v>
      </c>
      <c r="I13" s="312">
        <v>20</v>
      </c>
      <c r="J13" s="107" t="s">
        <v>189</v>
      </c>
      <c r="K13" s="103"/>
      <c r="L13" s="76"/>
      <c r="M13" s="101">
        <f t="shared" si="1"/>
        <v>3301</v>
      </c>
      <c r="O13" s="78">
        <v>15</v>
      </c>
      <c r="P13" s="78" t="s">
        <v>185</v>
      </c>
      <c r="Q13" s="78">
        <v>2016</v>
      </c>
      <c r="R13" s="314">
        <f t="array" ref="R13">SUM((R$9=$M$7:$M$541)*($P13=$J$7:$J$541)*($O13=$I$7:$I$541)*($Q13=$H$7:$H$541)*($G$7:$G$541))</f>
        <v>0</v>
      </c>
      <c r="S13" s="314">
        <f t="array" ref="S13">SUM((S$9=$M$7:$M$541)*($P13=$J$7:$J$541)*($O13=$I$7:$I$541)*($Q13=$H$7:$H$541)*($G$7:$G$541))</f>
        <v>0</v>
      </c>
      <c r="T13" s="314">
        <f t="array" ref="T13">SUM((T$9=$M$7:$M$540)*($P13=$J$7:$J$540)*($O13=$I$7:$I$540)*($Q13=$H$7:$H$540)*($G$7:$G$540))</f>
        <v>0</v>
      </c>
      <c r="U13" s="314">
        <f t="shared" si="3"/>
        <v>0</v>
      </c>
    </row>
    <row r="14" spans="2:25">
      <c r="B14" s="521" t="s">
        <v>318</v>
      </c>
      <c r="C14" s="522" t="s">
        <v>856</v>
      </c>
      <c r="D14" s="423" t="s">
        <v>330</v>
      </c>
      <c r="E14" s="521" t="s">
        <v>857</v>
      </c>
      <c r="F14" s="522">
        <v>201611</v>
      </c>
      <c r="G14" s="482">
        <v>-2.02</v>
      </c>
      <c r="H14" s="112">
        <f t="shared" si="0"/>
        <v>2017</v>
      </c>
      <c r="I14" s="312">
        <v>20</v>
      </c>
      <c r="J14" s="107" t="s">
        <v>189</v>
      </c>
      <c r="K14" s="103"/>
      <c r="L14" s="76"/>
      <c r="M14" s="101">
        <f t="shared" si="1"/>
        <v>3301</v>
      </c>
      <c r="O14" s="80">
        <v>15</v>
      </c>
      <c r="P14" s="80" t="s">
        <v>225</v>
      </c>
      <c r="Q14" s="80">
        <v>2016</v>
      </c>
      <c r="R14" s="315">
        <f t="array" ref="R14">SUM((R$9=$M$7:$M$541)*($P14=$J$7:$J$541)*($O14=$I$7:$I$541)*($Q14=$H$7:$H$541)*($G$7:$G$541))</f>
        <v>0</v>
      </c>
      <c r="S14" s="315">
        <f t="array" ref="S14">SUM((S$9=$M$7:$M$541)*($P14=$J$7:$J$541)*($O14=$I$7:$I$541)*($Q14=$H$7:$H$541)*($G$7:$G$541))</f>
        <v>0</v>
      </c>
      <c r="T14" s="315">
        <f t="array" ref="T14">SUM((T$9=$M$7:$M$540)*($P14=$J$7:$J$540)*($O14=$I$7:$I$540)*($Q14=$H$7:$H$540)*($G$7:$G$540))</f>
        <v>0</v>
      </c>
      <c r="U14" s="315">
        <f t="shared" si="3"/>
        <v>0</v>
      </c>
    </row>
    <row r="15" spans="2:25">
      <c r="B15" s="521" t="s">
        <v>318</v>
      </c>
      <c r="C15" s="522" t="s">
        <v>856</v>
      </c>
      <c r="D15" s="423" t="s">
        <v>330</v>
      </c>
      <c r="E15" s="521" t="s">
        <v>857</v>
      </c>
      <c r="F15" s="522">
        <v>201611</v>
      </c>
      <c r="G15" s="482">
        <v>-0.08</v>
      </c>
      <c r="H15" s="112">
        <f t="shared" si="0"/>
        <v>2017</v>
      </c>
      <c r="I15" s="312">
        <v>20</v>
      </c>
      <c r="J15" s="107" t="s">
        <v>189</v>
      </c>
      <c r="K15" s="103"/>
      <c r="L15" s="76"/>
      <c r="M15" s="101">
        <f t="shared" si="1"/>
        <v>3301</v>
      </c>
      <c r="O15" s="78">
        <v>20</v>
      </c>
      <c r="P15" s="78" t="s">
        <v>188</v>
      </c>
      <c r="Q15" s="78">
        <v>2016</v>
      </c>
      <c r="R15" s="313">
        <f t="array" ref="R15">SUM((R$9=$M$7:$M$541)*($P15=$J$7:$J$541)*($O15=$I$7:$I$541)*($Q15=$H$7:$H$541)*($G$7:$G$541))</f>
        <v>0</v>
      </c>
      <c r="S15" s="313">
        <f t="array" ref="S15">SUM((S$9=$M$7:$M$541)*($P15=$J$7:$J$541)*($O15=$I$7:$I$541)*($Q15=$H$7:$H$541)*($G$7:$G$541))</f>
        <v>0</v>
      </c>
      <c r="T15" s="313">
        <f t="array" ref="T15">SUM((T$9=$M$7:$M$540)*($P15=$J$7:$J$540)*($O15=$I$7:$I$540)*($Q15=$H$7:$H$540)*($G$7:$G$540))</f>
        <v>0</v>
      </c>
      <c r="U15" s="314">
        <f t="shared" si="3"/>
        <v>0</v>
      </c>
    </row>
    <row r="16" spans="2:25">
      <c r="B16" s="521" t="s">
        <v>318</v>
      </c>
      <c r="C16" s="522" t="s">
        <v>800</v>
      </c>
      <c r="D16" s="423" t="s">
        <v>330</v>
      </c>
      <c r="E16" s="521" t="s">
        <v>830</v>
      </c>
      <c r="F16" s="522">
        <v>201611</v>
      </c>
      <c r="G16" s="482">
        <v>33.28</v>
      </c>
      <c r="H16" s="112">
        <f t="shared" si="0"/>
        <v>2017</v>
      </c>
      <c r="I16" s="312">
        <v>20</v>
      </c>
      <c r="J16" s="107" t="s">
        <v>189</v>
      </c>
      <c r="K16" s="103"/>
      <c r="L16" s="76"/>
      <c r="M16" s="101">
        <f t="shared" si="1"/>
        <v>3301</v>
      </c>
      <c r="O16" s="78">
        <v>20</v>
      </c>
      <c r="P16" s="78" t="s">
        <v>189</v>
      </c>
      <c r="Q16" s="78">
        <v>2016</v>
      </c>
      <c r="R16" s="314">
        <f t="array" ref="R16">SUM((R$9=$M$7:$M$541)*($P16=$J$7:$J$541)*($O16=$I$7:$I$541)*($Q16=$H$7:$H$541)*($G$7:$G$541))</f>
        <v>0</v>
      </c>
      <c r="S16" s="314">
        <f t="array" ref="S16">SUM((S$9=$M$7:$M$541)*($P16=$J$7:$J$541)*($O16=$I$7:$I$541)*($Q16=$H$7:$H$541)*($G$7:$G$541))</f>
        <v>0</v>
      </c>
      <c r="T16" s="314">
        <f t="array" ref="T16">SUM((T$9=$M$7:$M$540)*($P16=$J$7:$J$540)*($O16=$I$7:$I$540)*($Q16=$H$7:$H$540)*($G$7:$G$540))</f>
        <v>0</v>
      </c>
      <c r="U16" s="314">
        <f t="shared" si="3"/>
        <v>0</v>
      </c>
    </row>
    <row r="17" spans="2:22" ht="15">
      <c r="B17" s="521" t="s">
        <v>318</v>
      </c>
      <c r="C17" s="522" t="s">
        <v>800</v>
      </c>
      <c r="D17" s="424" t="s">
        <v>330</v>
      </c>
      <c r="E17" s="521" t="s">
        <v>830</v>
      </c>
      <c r="F17" s="522">
        <v>201611</v>
      </c>
      <c r="G17" s="482">
        <v>593.77</v>
      </c>
      <c r="H17" s="112">
        <f t="shared" si="0"/>
        <v>2017</v>
      </c>
      <c r="I17" s="312">
        <v>20</v>
      </c>
      <c r="J17" s="107" t="s">
        <v>189</v>
      </c>
      <c r="K17" s="103"/>
      <c r="L17" s="76"/>
      <c r="M17" s="101">
        <f t="shared" si="1"/>
        <v>3301</v>
      </c>
      <c r="O17" s="78">
        <v>20</v>
      </c>
      <c r="P17" s="78" t="s">
        <v>184</v>
      </c>
      <c r="Q17" s="78">
        <v>2016</v>
      </c>
      <c r="R17" s="314">
        <f t="array" ref="R17">SUM((R$9=$M$7:$M$541)*($P17=$J$7:$J$541)*($O17=$I$7:$I$541)*($Q17=$H$7:$H$541)*($G$7:$G$541))</f>
        <v>0</v>
      </c>
      <c r="S17" s="314">
        <f t="array" ref="S17">SUM((S$9=$M$7:$M$541)*($P17=$J$7:$J$541)*($O17=$I$7:$I$541)*($Q17=$H$7:$H$541)*($G$7:$G$541))</f>
        <v>0</v>
      </c>
      <c r="T17" s="314">
        <f t="array" ref="T17">SUM((T$9=$M$7:$M$540)*($P17=$J$7:$J$540)*($O17=$I$7:$I$540)*($Q17=$H$7:$H$540)*($G$7:$G$540))</f>
        <v>0</v>
      </c>
      <c r="U17" s="314">
        <f t="shared" si="3"/>
        <v>0</v>
      </c>
    </row>
    <row r="18" spans="2:22" ht="15">
      <c r="B18" s="521" t="s">
        <v>318</v>
      </c>
      <c r="C18" s="522" t="s">
        <v>629</v>
      </c>
      <c r="D18" s="424" t="s">
        <v>330</v>
      </c>
      <c r="E18" s="521" t="s">
        <v>630</v>
      </c>
      <c r="F18" s="522">
        <v>201611</v>
      </c>
      <c r="G18" s="482">
        <v>-0.05</v>
      </c>
      <c r="H18" s="112">
        <f t="shared" si="0"/>
        <v>2017</v>
      </c>
      <c r="I18" s="312">
        <v>20</v>
      </c>
      <c r="J18" s="107" t="s">
        <v>189</v>
      </c>
      <c r="K18" s="103"/>
      <c r="L18" s="76"/>
      <c r="M18" s="101">
        <f t="shared" si="1"/>
        <v>3301</v>
      </c>
      <c r="O18" s="78">
        <v>20</v>
      </c>
      <c r="P18" s="78" t="s">
        <v>185</v>
      </c>
      <c r="Q18" s="78">
        <v>2016</v>
      </c>
      <c r="R18" s="314">
        <f t="array" ref="R18">SUM((R$9=$M$7:$M$541)*($P18=$J$7:$J$541)*($O18=$I$7:$I$541)*($Q18=$H$7:$H$541)*($G$7:$G$541))</f>
        <v>0</v>
      </c>
      <c r="S18" s="314">
        <f t="array" ref="S18">SUM((S$9=$M$7:$M$541)*($P18=$J$7:$J$541)*($O18=$I$7:$I$541)*($Q18=$H$7:$H$541)*($G$7:$G$541))</f>
        <v>0</v>
      </c>
      <c r="T18" s="314">
        <f t="array" ref="T18">SUM((T$9=$M$7:$M$540)*($P18=$J$7:$J$540)*($O18=$I$7:$I$540)*($Q18=$H$7:$H$540)*($G$7:$G$540))</f>
        <v>0</v>
      </c>
      <c r="U18" s="314">
        <f t="shared" si="3"/>
        <v>0</v>
      </c>
    </row>
    <row r="19" spans="2:22" ht="15">
      <c r="B19" s="521" t="s">
        <v>318</v>
      </c>
      <c r="C19" s="522" t="s">
        <v>629</v>
      </c>
      <c r="D19" s="424" t="s">
        <v>330</v>
      </c>
      <c r="E19" s="521" t="s">
        <v>630</v>
      </c>
      <c r="F19" s="522">
        <v>201611</v>
      </c>
      <c r="G19" s="482">
        <v>1.46</v>
      </c>
      <c r="H19" s="112">
        <f t="shared" si="0"/>
        <v>2017</v>
      </c>
      <c r="I19" s="312">
        <v>20</v>
      </c>
      <c r="J19" s="107" t="s">
        <v>189</v>
      </c>
      <c r="K19" s="103"/>
      <c r="L19" s="76"/>
      <c r="M19" s="101">
        <f t="shared" si="1"/>
        <v>3301</v>
      </c>
      <c r="O19" s="80">
        <v>20</v>
      </c>
      <c r="P19" s="80" t="s">
        <v>225</v>
      </c>
      <c r="Q19" s="80">
        <v>2016</v>
      </c>
      <c r="R19" s="315">
        <f t="array" ref="R19">SUM((R$9=$M$7:$M$541)*($P19=$J$7:$J$541)*($O19=$I$7:$I$541)*($Q19=$H$7:$H$541)*($G$7:$G$541))</f>
        <v>0</v>
      </c>
      <c r="S19" s="315">
        <f t="array" ref="S19">SUM((S$9=$M$7:$M$541)*($P19=$J$7:$J$541)*($O19=$I$7:$I$541)*($Q19=$H$7:$H$541)*($G$7:$G$541))</f>
        <v>0</v>
      </c>
      <c r="T19" s="315">
        <f t="array" ref="T19">SUM((T$9=$M$7:$M$540)*($P19=$J$7:$J$540)*($O19=$I$7:$I$540)*($Q19=$H$7:$H$540)*($G$7:$G$540))</f>
        <v>0</v>
      </c>
      <c r="U19" s="315">
        <f t="shared" si="3"/>
        <v>0</v>
      </c>
    </row>
    <row r="20" spans="2:22">
      <c r="B20" s="521" t="s">
        <v>318</v>
      </c>
      <c r="C20" s="522" t="s">
        <v>805</v>
      </c>
      <c r="D20" s="423" t="s">
        <v>330</v>
      </c>
      <c r="E20" s="521" t="s">
        <v>806</v>
      </c>
      <c r="F20" s="522">
        <v>201611</v>
      </c>
      <c r="G20" s="482">
        <v>-3.13</v>
      </c>
      <c r="H20" s="112">
        <f t="shared" si="0"/>
        <v>2017</v>
      </c>
      <c r="I20" s="312">
        <v>20</v>
      </c>
      <c r="J20" s="107" t="s">
        <v>189</v>
      </c>
      <c r="K20" s="103"/>
      <c r="L20" s="76"/>
      <c r="M20" s="101">
        <f t="shared" si="1"/>
        <v>3301</v>
      </c>
      <c r="O20" s="81">
        <v>15</v>
      </c>
      <c r="P20" s="341" t="s">
        <v>188</v>
      </c>
      <c r="Q20" s="81">
        <v>2017</v>
      </c>
      <c r="R20" s="344">
        <f t="array" ref="R20">SUM((R$9=$M$7:$M$541)*($P20=$J$7:$J$541)*($O20=$I$7:$I$541)*($Q20=$H$7:$H$541)*($G$7:$G$541))</f>
        <v>0</v>
      </c>
      <c r="S20" s="313">
        <f t="array" ref="S20">SUM((S$9=$M$7:$M$541)*($P20=$J$7:$J$541)*($O20=$I$7:$I$541)*($Q20=$H$7:$H$541)*($G$7:$G$541))</f>
        <v>0</v>
      </c>
      <c r="T20" s="313">
        <f t="array" ref="T20">SUM((T$9=$M$7:$M$540)*($P20=$J$7:$J$540)*($O20=$I$7:$I$540)*($Q20=$H$7:$H$540)*($G$7:$G$540))</f>
        <v>0</v>
      </c>
      <c r="U20" s="313">
        <f t="shared" si="3"/>
        <v>0</v>
      </c>
    </row>
    <row r="21" spans="2:22" ht="15">
      <c r="B21" s="521" t="s">
        <v>318</v>
      </c>
      <c r="C21" s="522" t="s">
        <v>805</v>
      </c>
      <c r="D21" s="424" t="s">
        <v>330</v>
      </c>
      <c r="E21" s="521" t="s">
        <v>806</v>
      </c>
      <c r="F21" s="522">
        <v>201611</v>
      </c>
      <c r="G21" s="482">
        <v>-0.35</v>
      </c>
      <c r="H21" s="112">
        <f t="shared" si="0"/>
        <v>2017</v>
      </c>
      <c r="I21" s="312">
        <v>20</v>
      </c>
      <c r="J21" s="107" t="s">
        <v>189</v>
      </c>
      <c r="K21" s="103"/>
      <c r="L21" s="76"/>
      <c r="M21" s="101">
        <f t="shared" si="1"/>
        <v>3301</v>
      </c>
      <c r="O21" s="78">
        <v>15</v>
      </c>
      <c r="P21" s="342" t="s">
        <v>189</v>
      </c>
      <c r="Q21" s="78">
        <v>2017</v>
      </c>
      <c r="R21" s="345">
        <f t="array" ref="R21">SUM((R$9=$M$7:$M$541)*($P21=$J$7:$J$541)*($O21=$I$7:$I$541)*($Q21=$H$7:$H$541)*($G$7:$G$541))</f>
        <v>0</v>
      </c>
      <c r="S21" s="314">
        <f t="array" ref="S21">SUM((S$9=$M$7:$M$541)*($P21=$J$7:$J$541)*($O21=$I$7:$I$541)*($Q21=$H$7:$H$541)*($G$7:$G$541))</f>
        <v>0</v>
      </c>
      <c r="T21" s="314">
        <f t="array" ref="T21">SUM((T$9=$M$7:$M$540)*($P21=$J$7:$J$540)*($O21=$I$7:$I$540)*($Q21=$H$7:$H$540)*($G$7:$G$540))</f>
        <v>0</v>
      </c>
      <c r="U21" s="314">
        <f t="shared" si="3"/>
        <v>0</v>
      </c>
    </row>
    <row r="22" spans="2:22">
      <c r="B22" s="521" t="s">
        <v>318</v>
      </c>
      <c r="C22" s="522" t="s">
        <v>1067</v>
      </c>
      <c r="D22" s="423" t="s">
        <v>330</v>
      </c>
      <c r="E22" s="521" t="s">
        <v>1068</v>
      </c>
      <c r="F22" s="522">
        <v>201611</v>
      </c>
      <c r="G22" s="482">
        <v>374.9</v>
      </c>
      <c r="H22" s="112">
        <f t="shared" si="0"/>
        <v>2017</v>
      </c>
      <c r="I22" s="312">
        <v>20</v>
      </c>
      <c r="J22" s="107" t="s">
        <v>189</v>
      </c>
      <c r="K22" s="103"/>
      <c r="L22" s="76"/>
      <c r="M22" s="101">
        <f t="shared" si="1"/>
        <v>3301</v>
      </c>
      <c r="O22" s="78">
        <v>15</v>
      </c>
      <c r="P22" s="342" t="s">
        <v>184</v>
      </c>
      <c r="Q22" s="78">
        <v>2017</v>
      </c>
      <c r="R22" s="345">
        <f t="array" ref="R22">SUM((R$9=$M$7:$M$541)*($P22=$J$7:$J$541)*($O22=$I$7:$I$541)*($Q22=$H$7:$H$541)*($G$7:$G$541))</f>
        <v>0</v>
      </c>
      <c r="S22" s="314">
        <f t="array" ref="S22">SUM((S$9=$M$7:$M$541)*($P22=$J$7:$J$541)*($O22=$I$7:$I$541)*($Q22=$H$7:$H$541)*($G$7:$G$541))</f>
        <v>0</v>
      </c>
      <c r="T22" s="314">
        <f t="array" ref="T22">SUM((T$9=$M$7:$M$540)*($P22=$J$7:$J$540)*($O22=$I$7:$I$540)*($Q22=$H$7:$H$540)*($G$7:$G$540))</f>
        <v>0</v>
      </c>
      <c r="U22" s="314">
        <f t="shared" si="3"/>
        <v>0</v>
      </c>
    </row>
    <row r="23" spans="2:22">
      <c r="B23" s="521" t="s">
        <v>318</v>
      </c>
      <c r="C23" s="522" t="s">
        <v>1067</v>
      </c>
      <c r="D23" s="423" t="s">
        <v>330</v>
      </c>
      <c r="E23" s="521" t="s">
        <v>1068</v>
      </c>
      <c r="F23" s="522">
        <v>201611</v>
      </c>
      <c r="G23" s="482">
        <v>17336.13</v>
      </c>
      <c r="H23" s="112">
        <f t="shared" si="0"/>
        <v>2017</v>
      </c>
      <c r="I23" s="312">
        <v>20</v>
      </c>
      <c r="J23" s="107" t="s">
        <v>189</v>
      </c>
      <c r="K23" s="103"/>
      <c r="L23" s="76"/>
      <c r="M23" s="101">
        <f t="shared" si="1"/>
        <v>3301</v>
      </c>
      <c r="O23" s="78">
        <v>15</v>
      </c>
      <c r="P23" s="342" t="s">
        <v>185</v>
      </c>
      <c r="Q23" s="78">
        <v>2017</v>
      </c>
      <c r="R23" s="345">
        <f t="array" ref="R23">SUM((R$9=$M$7:$M$541)*($P23=$J$7:$J$541)*($O23=$I$7:$I$541)*($Q23=$H$7:$H$541)*($G$7:$G$541))</f>
        <v>0</v>
      </c>
      <c r="S23" s="314">
        <f t="array" ref="S23">SUM((S$9=$M$7:$M$541)*($P23=$J$7:$J$541)*($O23=$I$7:$I$541)*($Q23=$H$7:$H$541)*($G$7:$G$541))</f>
        <v>0</v>
      </c>
      <c r="T23" s="314">
        <f t="array" ref="T23">SUM((T$9=$M$7:$M$540)*($P23=$J$7:$J$540)*($O23=$I$7:$I$540)*($Q23=$H$7:$H$540)*($G$7:$G$540))</f>
        <v>0</v>
      </c>
      <c r="U23" s="314">
        <f t="shared" si="3"/>
        <v>0</v>
      </c>
    </row>
    <row r="24" spans="2:22">
      <c r="B24" s="521" t="s">
        <v>318</v>
      </c>
      <c r="C24" s="522" t="s">
        <v>858</v>
      </c>
      <c r="D24" s="423" t="s">
        <v>329</v>
      </c>
      <c r="E24" s="521" t="s">
        <v>859</v>
      </c>
      <c r="F24" s="522">
        <v>201611</v>
      </c>
      <c r="G24" s="482">
        <v>-478346.44</v>
      </c>
      <c r="H24" s="112">
        <f t="shared" si="0"/>
        <v>2017</v>
      </c>
      <c r="I24" s="312">
        <v>20</v>
      </c>
      <c r="J24" s="107" t="s">
        <v>189</v>
      </c>
      <c r="K24" s="103"/>
      <c r="L24" s="76"/>
      <c r="M24" s="101">
        <f t="shared" si="1"/>
        <v>3301</v>
      </c>
      <c r="O24" s="80">
        <v>15</v>
      </c>
      <c r="P24" s="343" t="s">
        <v>225</v>
      </c>
      <c r="Q24" s="80">
        <v>2017</v>
      </c>
      <c r="R24" s="346">
        <f t="array" ref="R24">SUM((R$9=$M$7:$M$541)*($P24=$J$7:$J$541)*($O24=$I$7:$I$541)*($Q24=$H$7:$H$541)*($G$7:$G$541))</f>
        <v>0</v>
      </c>
      <c r="S24" s="315">
        <f t="array" ref="S24">SUM((S$9=$M$7:$M$541)*($P24=$J$7:$J$541)*($O24=$I$7:$I$541)*($Q24=$H$7:$H$541)*($G$7:$G$541))</f>
        <v>0</v>
      </c>
      <c r="T24" s="315">
        <f t="array" ref="T24">SUM((T$9=$M$7:$M$540)*($P24=$J$7:$J$540)*($O24=$I$7:$I$540)*($Q24=$H$7:$H$540)*($G$7:$G$540))</f>
        <v>0</v>
      </c>
      <c r="U24" s="315">
        <f t="shared" si="3"/>
        <v>0</v>
      </c>
    </row>
    <row r="25" spans="2:22">
      <c r="B25" s="521" t="s">
        <v>318</v>
      </c>
      <c r="C25" s="522" t="s">
        <v>858</v>
      </c>
      <c r="D25" s="423" t="s">
        <v>329</v>
      </c>
      <c r="E25" s="521" t="s">
        <v>859</v>
      </c>
      <c r="F25" s="522">
        <v>201611</v>
      </c>
      <c r="G25" s="482">
        <v>-32069.040000000001</v>
      </c>
      <c r="H25" s="112">
        <f t="shared" si="0"/>
        <v>2017</v>
      </c>
      <c r="I25" s="312">
        <v>20</v>
      </c>
      <c r="J25" s="107" t="s">
        <v>189</v>
      </c>
      <c r="K25" s="103"/>
      <c r="L25" s="76"/>
      <c r="M25" s="101">
        <f t="shared" si="1"/>
        <v>3301</v>
      </c>
      <c r="O25" s="78">
        <v>20</v>
      </c>
      <c r="P25" s="78" t="s">
        <v>188</v>
      </c>
      <c r="Q25" s="78">
        <v>2017</v>
      </c>
      <c r="R25" s="313">
        <f t="array" ref="R25">SUM((R$9=$M$7:$M$541)*($P25=$J$7:$J$541)*($O25=$I$7:$I$541)*($Q25=$H$7:$H$541)*($G$7:$G$541))</f>
        <v>0</v>
      </c>
      <c r="S25" s="313">
        <f t="array" ref="S25">SUM((S$9=$M$7:$M$541)*($P25=$J$7:$J$541)*($O25=$I$7:$I$541)*($Q25=$H$7:$H$541)*($G$7:$G$541))</f>
        <v>0</v>
      </c>
      <c r="T25" s="313">
        <f t="array" ref="T25">SUM((T$9=$M$7:$M$540)*($P25=$J$7:$J$540)*($O25=$I$7:$I$540)*($Q25=$H$7:$H$540)*($G$7:$G$540))</f>
        <v>0</v>
      </c>
      <c r="U25" s="314">
        <f t="shared" si="3"/>
        <v>0</v>
      </c>
    </row>
    <row r="26" spans="2:22">
      <c r="B26" s="521" t="s">
        <v>318</v>
      </c>
      <c r="C26" s="522" t="s">
        <v>858</v>
      </c>
      <c r="D26" s="423" t="s">
        <v>329</v>
      </c>
      <c r="E26" s="521" t="s">
        <v>859</v>
      </c>
      <c r="F26" s="522">
        <v>201611</v>
      </c>
      <c r="G26" s="482">
        <v>108554.37</v>
      </c>
      <c r="H26" s="112">
        <f t="shared" si="0"/>
        <v>2017</v>
      </c>
      <c r="I26" s="312">
        <v>20</v>
      </c>
      <c r="J26" s="107" t="s">
        <v>189</v>
      </c>
      <c r="K26" s="103"/>
      <c r="L26" s="76"/>
      <c r="M26" s="101">
        <f t="shared" si="1"/>
        <v>3301</v>
      </c>
      <c r="O26" s="78">
        <v>20</v>
      </c>
      <c r="P26" s="78" t="s">
        <v>189</v>
      </c>
      <c r="Q26" s="78">
        <v>2017</v>
      </c>
      <c r="R26" s="314">
        <f t="array" ref="R26">SUM((R$9=$M$7:$M$541)*($P26=$J$7:$J$541)*($O26=$I$7:$I$541)*($Q26=$H$7:$H$541)*($G$7:$G$541))</f>
        <v>4687242.9799999995</v>
      </c>
      <c r="S26" s="314">
        <f t="array" ref="S26">SUM((S$9=$M$7:$M$541)*($P26=$J$7:$J$541)*($O26=$I$7:$I$541)*($Q26=$H$7:$H$541)*($G$7:$G$541))</f>
        <v>1184594.52</v>
      </c>
      <c r="T26" s="314">
        <f t="array" ref="T26">SUM((T$9=$M$7:$M$540)*($P26=$J$7:$J$540)*($O26=$I$7:$I$540)*($Q26=$H$7:$H$540)*($G$7:$G$540))</f>
        <v>0</v>
      </c>
      <c r="U26" s="314">
        <f t="shared" si="3"/>
        <v>5871837.5</v>
      </c>
    </row>
    <row r="27" spans="2:22" ht="15">
      <c r="B27" s="521" t="s">
        <v>318</v>
      </c>
      <c r="C27" s="522" t="s">
        <v>858</v>
      </c>
      <c r="D27" s="424" t="s">
        <v>329</v>
      </c>
      <c r="E27" s="521" t="s">
        <v>859</v>
      </c>
      <c r="F27" s="522">
        <v>201611</v>
      </c>
      <c r="G27" s="482">
        <v>401861.11</v>
      </c>
      <c r="H27" s="112">
        <f t="shared" si="0"/>
        <v>2017</v>
      </c>
      <c r="I27" s="312">
        <v>20</v>
      </c>
      <c r="J27" s="107" t="s">
        <v>189</v>
      </c>
      <c r="K27" s="103"/>
      <c r="L27" s="76"/>
      <c r="M27" s="101">
        <f t="shared" si="1"/>
        <v>3301</v>
      </c>
      <c r="O27" s="78">
        <v>20</v>
      </c>
      <c r="P27" s="78" t="s">
        <v>184</v>
      </c>
      <c r="Q27" s="78">
        <v>2017</v>
      </c>
      <c r="R27" s="314">
        <f t="array" ref="R27">SUM((R$9=$M$7:$M$541)*($P27=$J$7:$J$541)*($O27=$I$7:$I$541)*($Q27=$H$7:$H$541)*($G$7:$G$541))</f>
        <v>0</v>
      </c>
      <c r="S27" s="314">
        <f t="array" ref="S27">SUM((S$9=$M$7:$M$541)*($P27=$J$7:$J$541)*($O27=$I$7:$I$541)*($Q27=$H$7:$H$541)*($G$7:$G$541))</f>
        <v>0</v>
      </c>
      <c r="T27" s="314">
        <f t="array" ref="T27">SUM((T$9=$M$7:$M$540)*($P27=$J$7:$J$540)*($O27=$I$7:$I$540)*($Q27=$H$7:$H$540)*($G$7:$G$540))</f>
        <v>0</v>
      </c>
      <c r="U27" s="314">
        <f t="shared" si="3"/>
        <v>0</v>
      </c>
    </row>
    <row r="28" spans="2:22" ht="15">
      <c r="B28" s="521" t="s">
        <v>318</v>
      </c>
      <c r="C28" s="522" t="s">
        <v>1033</v>
      </c>
      <c r="D28" s="424" t="s">
        <v>330</v>
      </c>
      <c r="E28" s="521" t="s">
        <v>1034</v>
      </c>
      <c r="F28" s="522">
        <v>201611</v>
      </c>
      <c r="G28" s="482">
        <v>-36.11</v>
      </c>
      <c r="H28" s="112">
        <f t="shared" si="0"/>
        <v>2017</v>
      </c>
      <c r="I28" s="312">
        <v>20</v>
      </c>
      <c r="J28" s="107" t="s">
        <v>189</v>
      </c>
      <c r="K28" s="103"/>
      <c r="L28" s="76"/>
      <c r="M28" s="101">
        <f t="shared" si="1"/>
        <v>3301</v>
      </c>
      <c r="O28" s="78">
        <v>20</v>
      </c>
      <c r="P28" s="78" t="s">
        <v>185</v>
      </c>
      <c r="Q28" s="78">
        <v>2017</v>
      </c>
      <c r="R28" s="314">
        <f t="array" ref="R28">SUM((R$9=$M$7:$M$541)*($P28=$J$7:$J$541)*($O28=$I$7:$I$541)*($Q28=$H$7:$H$541)*($G$7:$G$541))</f>
        <v>0</v>
      </c>
      <c r="S28" s="314">
        <f t="array" ref="S28">SUM((S$9=$M$7:$M$541)*($P28=$J$7:$J$541)*($O28=$I$7:$I$541)*($Q28=$H$7:$H$541)*($G$7:$G$541))</f>
        <v>0</v>
      </c>
      <c r="T28" s="314">
        <f t="array" ref="T28">SUM((T$9=$M$7:$M$540)*($P28=$J$7:$J$540)*($O28=$I$7:$I$540)*($Q28=$H$7:$H$540)*($G$7:$G$540))</f>
        <v>0</v>
      </c>
      <c r="U28" s="314">
        <f t="shared" si="3"/>
        <v>0</v>
      </c>
    </row>
    <row r="29" spans="2:22" ht="15">
      <c r="B29" s="521" t="s">
        <v>318</v>
      </c>
      <c r="C29" s="522" t="s">
        <v>1033</v>
      </c>
      <c r="D29" s="424" t="s">
        <v>330</v>
      </c>
      <c r="E29" s="521" t="s">
        <v>1034</v>
      </c>
      <c r="F29" s="522">
        <v>201611</v>
      </c>
      <c r="G29" s="482">
        <v>-1.98</v>
      </c>
      <c r="H29" s="112">
        <f t="shared" si="0"/>
        <v>2017</v>
      </c>
      <c r="I29" s="312">
        <v>20</v>
      </c>
      <c r="J29" s="107" t="s">
        <v>189</v>
      </c>
      <c r="K29" s="103"/>
      <c r="L29" s="76"/>
      <c r="M29" s="101">
        <f t="shared" si="1"/>
        <v>3301</v>
      </c>
      <c r="O29" s="80">
        <v>20</v>
      </c>
      <c r="P29" s="80" t="s">
        <v>225</v>
      </c>
      <c r="Q29" s="80">
        <v>2017</v>
      </c>
      <c r="R29" s="315">
        <f t="array" ref="R29">SUM((R$9=$M$7:$M$541)*($P29=$J$7:$J$541)*($O29=$I$7:$I$541)*($Q29=$H$7:$H$541)*($G$7:$G$541))</f>
        <v>0</v>
      </c>
      <c r="S29" s="315">
        <f t="array" ref="S29">SUM((S$9=$M$7:$M$541)*($P29=$J$7:$J$541)*($O29=$I$7:$I$541)*($Q29=$H$7:$H$541)*($G$7:$G$541))</f>
        <v>0</v>
      </c>
      <c r="T29" s="315">
        <f t="array" ref="T29">SUM((T$9=$M$7:$M$540)*($P29=$J$7:$J$540)*($O29=$I$7:$I$540)*($Q29=$H$7:$H$540)*($G$7:$G$540))</f>
        <v>0</v>
      </c>
      <c r="U29" s="315">
        <f t="shared" si="3"/>
        <v>0</v>
      </c>
    </row>
    <row r="30" spans="2:22">
      <c r="B30" s="521" t="s">
        <v>318</v>
      </c>
      <c r="C30" s="522" t="s">
        <v>832</v>
      </c>
      <c r="D30" s="423" t="s">
        <v>330</v>
      </c>
      <c r="E30" s="521" t="s">
        <v>833</v>
      </c>
      <c r="F30" s="522">
        <v>201611</v>
      </c>
      <c r="G30" s="482">
        <v>4.84</v>
      </c>
      <c r="H30" s="112">
        <f t="shared" si="0"/>
        <v>2017</v>
      </c>
      <c r="I30" s="312">
        <v>20</v>
      </c>
      <c r="J30" s="107" t="s">
        <v>189</v>
      </c>
      <c r="K30" s="103"/>
      <c r="L30" s="76"/>
      <c r="M30" s="101">
        <f t="shared" si="1"/>
        <v>3301</v>
      </c>
      <c r="R30" s="232"/>
      <c r="U30" s="103"/>
    </row>
    <row r="31" spans="2:22">
      <c r="B31" s="521" t="s">
        <v>318</v>
      </c>
      <c r="C31" s="522" t="s">
        <v>832</v>
      </c>
      <c r="D31" s="423" t="s">
        <v>330</v>
      </c>
      <c r="E31" s="521" t="s">
        <v>833</v>
      </c>
      <c r="F31" s="522">
        <v>201611</v>
      </c>
      <c r="G31" s="482">
        <v>231.58</v>
      </c>
      <c r="H31" s="112">
        <f t="shared" si="0"/>
        <v>2017</v>
      </c>
      <c r="I31" s="312">
        <v>20</v>
      </c>
      <c r="J31" s="107" t="s">
        <v>189</v>
      </c>
      <c r="K31" s="103"/>
      <c r="L31" s="76"/>
      <c r="M31" s="101">
        <f t="shared" si="1"/>
        <v>3301</v>
      </c>
      <c r="O31" s="232"/>
      <c r="P31" s="232"/>
      <c r="Q31" s="232"/>
      <c r="R31" s="232">
        <f>IF(SUM(R10:R14,R15:R19,R20:R24,R25:R29)=0,R14+R24,SUM(R10:R13,R15:R18,R20:R23,R25:R29))</f>
        <v>4687242.9799999995</v>
      </c>
      <c r="S31" s="232">
        <f>IF(SUM(S10:S13,S15:S18,S20:S23,S25:S29)=0,S14+S24,SUM(S10:S13,S15:S18,S20:S23,S25:S29))</f>
        <v>1184594.52</v>
      </c>
      <c r="T31" s="232">
        <f>IF(SUM(T10:T13,T15:T18,T20:T23,T25:T28)=0,T14+T24,T14+T19+T24+T29)</f>
        <v>0</v>
      </c>
      <c r="U31" s="232">
        <f t="array" ref="U31">IF(SUM(U10:U13,U15:U18,U20:U23,U25:U29)=0,U14+U24,SUM(U10:U29))</f>
        <v>5871837.5</v>
      </c>
      <c r="V31" s="105"/>
    </row>
    <row r="32" spans="2:22" ht="15">
      <c r="B32" s="521" t="s">
        <v>318</v>
      </c>
      <c r="C32" s="522" t="s">
        <v>947</v>
      </c>
      <c r="D32" s="424" t="s">
        <v>330</v>
      </c>
      <c r="E32" s="521" t="s">
        <v>948</v>
      </c>
      <c r="F32" s="522">
        <v>201611</v>
      </c>
      <c r="G32" s="482">
        <v>-99.86</v>
      </c>
      <c r="H32" s="112">
        <f t="shared" si="0"/>
        <v>2017</v>
      </c>
      <c r="I32" s="312">
        <v>20</v>
      </c>
      <c r="J32" s="107" t="s">
        <v>189</v>
      </c>
      <c r="K32" s="103"/>
      <c r="L32" s="76"/>
      <c r="M32" s="101">
        <f t="shared" si="1"/>
        <v>3301</v>
      </c>
      <c r="O32" s="101"/>
      <c r="P32" s="101"/>
      <c r="Q32" s="101"/>
      <c r="R32" s="101"/>
      <c r="U32" s="232"/>
    </row>
    <row r="33" spans="2:21" ht="15">
      <c r="B33" s="521" t="s">
        <v>318</v>
      </c>
      <c r="C33" s="522" t="s">
        <v>947</v>
      </c>
      <c r="D33" s="424" t="s">
        <v>330</v>
      </c>
      <c r="E33" s="521" t="s">
        <v>948</v>
      </c>
      <c r="F33" s="522">
        <v>201611</v>
      </c>
      <c r="G33" s="482">
        <v>-3.58</v>
      </c>
      <c r="H33" s="112">
        <f t="shared" si="0"/>
        <v>2017</v>
      </c>
      <c r="I33" s="312">
        <v>20</v>
      </c>
      <c r="J33" s="107" t="s">
        <v>189</v>
      </c>
      <c r="K33" s="103"/>
      <c r="L33" s="76"/>
      <c r="M33" s="101">
        <f t="shared" si="1"/>
        <v>3301</v>
      </c>
      <c r="O33" s="101"/>
      <c r="P33" s="101"/>
      <c r="Q33" s="101"/>
      <c r="R33" s="232"/>
      <c r="U33" s="316" t="e">
        <f>#REF!</f>
        <v>#REF!</v>
      </c>
    </row>
    <row r="34" spans="2:21" ht="15">
      <c r="B34" s="521" t="s">
        <v>318</v>
      </c>
      <c r="C34" s="522" t="s">
        <v>951</v>
      </c>
      <c r="D34" s="424" t="s">
        <v>330</v>
      </c>
      <c r="E34" s="521" t="s">
        <v>952</v>
      </c>
      <c r="F34" s="522">
        <v>201611</v>
      </c>
      <c r="G34" s="482">
        <v>-338.02</v>
      </c>
      <c r="H34" s="112">
        <f t="shared" si="0"/>
        <v>2017</v>
      </c>
      <c r="I34" s="312">
        <v>20</v>
      </c>
      <c r="J34" s="107" t="s">
        <v>189</v>
      </c>
      <c r="K34" s="103"/>
      <c r="L34" s="76"/>
      <c r="M34" s="101">
        <f t="shared" si="1"/>
        <v>3301</v>
      </c>
      <c r="O34" s="101"/>
      <c r="P34" s="101"/>
      <c r="Q34" s="101"/>
      <c r="R34" s="232"/>
    </row>
    <row r="35" spans="2:21">
      <c r="B35" s="521" t="s">
        <v>318</v>
      </c>
      <c r="C35" s="522" t="s">
        <v>951</v>
      </c>
      <c r="D35" s="423" t="s">
        <v>330</v>
      </c>
      <c r="E35" s="521" t="s">
        <v>952</v>
      </c>
      <c r="F35" s="522">
        <v>201611</v>
      </c>
      <c r="G35" s="482">
        <v>-10.83</v>
      </c>
      <c r="H35" s="112">
        <f t="shared" si="0"/>
        <v>2017</v>
      </c>
      <c r="I35" s="312">
        <v>20</v>
      </c>
      <c r="J35" s="107" t="s">
        <v>189</v>
      </c>
      <c r="K35" s="103"/>
      <c r="L35" s="76"/>
      <c r="M35" s="101">
        <f t="shared" si="1"/>
        <v>3301</v>
      </c>
      <c r="O35" s="101" t="s">
        <v>192</v>
      </c>
      <c r="P35" s="101"/>
      <c r="Q35" s="101"/>
      <c r="R35" s="232"/>
      <c r="U35" s="123" t="e">
        <f>+U31-U33</f>
        <v>#REF!</v>
      </c>
    </row>
    <row r="36" spans="2:21" ht="15">
      <c r="B36" s="521" t="s">
        <v>318</v>
      </c>
      <c r="C36" s="522" t="s">
        <v>955</v>
      </c>
      <c r="D36" s="424" t="s">
        <v>330</v>
      </c>
      <c r="E36" s="521" t="s">
        <v>956</v>
      </c>
      <c r="F36" s="522">
        <v>201611</v>
      </c>
      <c r="G36" s="482">
        <v>10.61</v>
      </c>
      <c r="H36" s="112">
        <f t="shared" si="0"/>
        <v>2017</v>
      </c>
      <c r="I36" s="312">
        <v>20</v>
      </c>
      <c r="J36" s="107" t="s">
        <v>189</v>
      </c>
      <c r="K36" s="103"/>
      <c r="L36" s="76"/>
      <c r="M36" s="101">
        <f t="shared" si="1"/>
        <v>3301</v>
      </c>
      <c r="O36" s="101"/>
      <c r="P36" s="101"/>
      <c r="Q36" s="101"/>
      <c r="R36" s="232"/>
    </row>
    <row r="37" spans="2:21" ht="15">
      <c r="B37" s="521" t="s">
        <v>318</v>
      </c>
      <c r="C37" s="522" t="s">
        <v>955</v>
      </c>
      <c r="D37" s="424" t="s">
        <v>330</v>
      </c>
      <c r="E37" s="521" t="s">
        <v>956</v>
      </c>
      <c r="F37" s="522">
        <v>201611</v>
      </c>
      <c r="G37" s="482">
        <v>330.96</v>
      </c>
      <c r="H37" s="112">
        <f t="shared" si="0"/>
        <v>2017</v>
      </c>
      <c r="I37" s="312">
        <v>20</v>
      </c>
      <c r="J37" s="107" t="s">
        <v>189</v>
      </c>
      <c r="K37" s="103"/>
      <c r="L37" s="76"/>
      <c r="M37" s="101">
        <f t="shared" si="1"/>
        <v>3301</v>
      </c>
      <c r="O37" s="101"/>
      <c r="P37" s="101"/>
      <c r="Q37" s="101"/>
      <c r="R37" s="232"/>
    </row>
    <row r="38" spans="2:21" ht="15">
      <c r="B38" s="521" t="s">
        <v>318</v>
      </c>
      <c r="C38" s="522" t="s">
        <v>963</v>
      </c>
      <c r="D38" s="424" t="s">
        <v>330</v>
      </c>
      <c r="E38" s="521" t="s">
        <v>964</v>
      </c>
      <c r="F38" s="522">
        <v>201611</v>
      </c>
      <c r="G38" s="482">
        <v>11.65</v>
      </c>
      <c r="H38" s="112">
        <f t="shared" si="0"/>
        <v>2017</v>
      </c>
      <c r="I38" s="312">
        <v>20</v>
      </c>
      <c r="J38" s="107" t="s">
        <v>189</v>
      </c>
      <c r="K38" s="103"/>
      <c r="L38" s="76"/>
      <c r="M38" s="101">
        <f t="shared" si="1"/>
        <v>3301</v>
      </c>
      <c r="O38" s="232" t="s">
        <v>150</v>
      </c>
      <c r="P38" s="232"/>
      <c r="Q38" s="232"/>
      <c r="R38" s="101"/>
    </row>
    <row r="39" spans="2:21">
      <c r="B39" s="521" t="s">
        <v>318</v>
      </c>
      <c r="C39" s="522" t="s">
        <v>963</v>
      </c>
      <c r="D39" s="423" t="s">
        <v>330</v>
      </c>
      <c r="E39" s="521" t="s">
        <v>964</v>
      </c>
      <c r="F39" s="522">
        <v>201611</v>
      </c>
      <c r="G39" s="482">
        <v>149.72999999999999</v>
      </c>
      <c r="H39" s="112">
        <f t="shared" si="0"/>
        <v>2017</v>
      </c>
      <c r="I39" s="312">
        <v>20</v>
      </c>
      <c r="J39" s="107" t="s">
        <v>189</v>
      </c>
      <c r="K39" s="103"/>
      <c r="L39" s="76"/>
      <c r="M39" s="101">
        <f t="shared" si="1"/>
        <v>3301</v>
      </c>
      <c r="O39" s="101"/>
      <c r="P39" s="101"/>
      <c r="Q39" s="101"/>
      <c r="R39" s="101"/>
    </row>
    <row r="40" spans="2:21" ht="15">
      <c r="B40" s="521" t="s">
        <v>318</v>
      </c>
      <c r="C40" s="522" t="s">
        <v>842</v>
      </c>
      <c r="D40" s="424" t="s">
        <v>330</v>
      </c>
      <c r="E40" s="521" t="s">
        <v>843</v>
      </c>
      <c r="F40" s="522">
        <v>201611</v>
      </c>
      <c r="G40" s="482">
        <v>10.11</v>
      </c>
      <c r="H40" s="112">
        <f t="shared" si="0"/>
        <v>2017</v>
      </c>
      <c r="I40" s="312">
        <v>20</v>
      </c>
      <c r="J40" s="107" t="s">
        <v>189</v>
      </c>
      <c r="K40" s="103"/>
      <c r="L40" s="76"/>
      <c r="M40" s="101">
        <f t="shared" si="1"/>
        <v>3301</v>
      </c>
      <c r="O40" s="101"/>
      <c r="P40" s="101"/>
      <c r="Q40" s="101"/>
      <c r="R40" s="101"/>
    </row>
    <row r="41" spans="2:21" ht="15">
      <c r="B41" s="521" t="s">
        <v>318</v>
      </c>
      <c r="C41" s="522" t="s">
        <v>842</v>
      </c>
      <c r="D41" s="424" t="s">
        <v>330</v>
      </c>
      <c r="E41" s="521" t="s">
        <v>843</v>
      </c>
      <c r="F41" s="522">
        <v>201611</v>
      </c>
      <c r="G41" s="482">
        <v>146.29</v>
      </c>
      <c r="H41" s="112">
        <f t="shared" si="0"/>
        <v>2017</v>
      </c>
      <c r="I41" s="312">
        <v>20</v>
      </c>
      <c r="J41" s="107" t="s">
        <v>189</v>
      </c>
      <c r="K41" s="103"/>
      <c r="L41" s="76"/>
      <c r="M41" s="101">
        <f t="shared" si="1"/>
        <v>3301</v>
      </c>
      <c r="O41" s="74"/>
      <c r="P41" s="74"/>
      <c r="Q41" s="74"/>
      <c r="R41" s="74"/>
      <c r="S41" s="74"/>
    </row>
    <row r="42" spans="2:21" ht="15">
      <c r="B42" s="521" t="s">
        <v>318</v>
      </c>
      <c r="C42" s="522" t="s">
        <v>862</v>
      </c>
      <c r="D42" s="424" t="s">
        <v>330</v>
      </c>
      <c r="E42" s="521" t="s">
        <v>863</v>
      </c>
      <c r="F42" s="522">
        <v>201611</v>
      </c>
      <c r="G42" s="482">
        <v>-17.239999999999998</v>
      </c>
      <c r="H42" s="112">
        <f t="shared" si="0"/>
        <v>2017</v>
      </c>
      <c r="I42" s="312">
        <v>20</v>
      </c>
      <c r="J42" s="107" t="s">
        <v>189</v>
      </c>
      <c r="K42" s="103"/>
      <c r="L42" s="76"/>
      <c r="M42" s="101">
        <f t="shared" si="1"/>
        <v>3301</v>
      </c>
      <c r="O42" s="74"/>
      <c r="P42" s="74"/>
      <c r="Q42" s="74"/>
      <c r="R42" s="74"/>
      <c r="S42" s="74"/>
    </row>
    <row r="43" spans="2:21">
      <c r="B43" s="521" t="s">
        <v>318</v>
      </c>
      <c r="C43" s="522" t="s">
        <v>862</v>
      </c>
      <c r="D43" s="423" t="s">
        <v>330</v>
      </c>
      <c r="E43" s="521" t="s">
        <v>863</v>
      </c>
      <c r="F43" s="522">
        <v>201611</v>
      </c>
      <c r="G43" s="482">
        <v>-1.1100000000000001</v>
      </c>
      <c r="H43" s="112">
        <f t="shared" si="0"/>
        <v>2017</v>
      </c>
      <c r="I43" s="312">
        <v>20</v>
      </c>
      <c r="J43" s="107" t="s">
        <v>189</v>
      </c>
      <c r="K43" s="103"/>
      <c r="L43" s="76"/>
      <c r="M43" s="101">
        <f t="shared" si="1"/>
        <v>3301</v>
      </c>
      <c r="O43" s="74"/>
      <c r="P43" s="74"/>
      <c r="Q43" s="74"/>
      <c r="R43" s="74"/>
      <c r="S43" s="74"/>
    </row>
    <row r="44" spans="2:21">
      <c r="B44" s="521" t="s">
        <v>318</v>
      </c>
      <c r="C44" s="522" t="s">
        <v>967</v>
      </c>
      <c r="D44" s="423" t="s">
        <v>330</v>
      </c>
      <c r="E44" s="521" t="s">
        <v>968</v>
      </c>
      <c r="F44" s="522">
        <v>201611</v>
      </c>
      <c r="G44" s="482">
        <v>2.95</v>
      </c>
      <c r="H44" s="112">
        <f t="shared" si="0"/>
        <v>2017</v>
      </c>
      <c r="I44" s="312">
        <v>20</v>
      </c>
      <c r="J44" s="107" t="s">
        <v>189</v>
      </c>
      <c r="K44" s="317"/>
      <c r="L44" s="316"/>
      <c r="M44" s="101">
        <f t="shared" si="1"/>
        <v>3301</v>
      </c>
      <c r="O44" s="74"/>
      <c r="P44" s="74"/>
      <c r="Q44" s="74"/>
      <c r="R44" s="74"/>
      <c r="S44" s="74"/>
    </row>
    <row r="45" spans="2:21">
      <c r="B45" s="521" t="s">
        <v>318</v>
      </c>
      <c r="C45" s="522" t="s">
        <v>967</v>
      </c>
      <c r="D45" s="423" t="s">
        <v>330</v>
      </c>
      <c r="E45" s="521" t="s">
        <v>968</v>
      </c>
      <c r="F45" s="522">
        <v>201611</v>
      </c>
      <c r="G45" s="482">
        <v>78.11</v>
      </c>
      <c r="H45" s="112">
        <f t="shared" si="0"/>
        <v>2017</v>
      </c>
      <c r="I45" s="312">
        <v>20</v>
      </c>
      <c r="J45" s="107" t="s">
        <v>189</v>
      </c>
      <c r="K45" s="317"/>
      <c r="L45" s="103"/>
      <c r="M45" s="101">
        <f t="shared" si="1"/>
        <v>3301</v>
      </c>
      <c r="O45" s="74"/>
      <c r="P45" s="74"/>
      <c r="Q45" s="74"/>
      <c r="R45" s="74"/>
      <c r="S45" s="74"/>
    </row>
    <row r="46" spans="2:21">
      <c r="B46" s="521" t="s">
        <v>318</v>
      </c>
      <c r="C46" s="522" t="s">
        <v>682</v>
      </c>
      <c r="D46" s="423" t="s">
        <v>330</v>
      </c>
      <c r="E46" s="521" t="s">
        <v>683</v>
      </c>
      <c r="F46" s="522">
        <v>201611</v>
      </c>
      <c r="G46" s="482">
        <v>421.84</v>
      </c>
      <c r="H46" s="112">
        <f t="shared" si="0"/>
        <v>2017</v>
      </c>
      <c r="I46" s="312">
        <v>20</v>
      </c>
      <c r="J46" s="107" t="s">
        <v>189</v>
      </c>
      <c r="K46" s="103"/>
      <c r="L46" s="103"/>
      <c r="M46" s="101">
        <f t="shared" si="1"/>
        <v>3301</v>
      </c>
      <c r="O46" s="74"/>
      <c r="P46" s="74"/>
      <c r="Q46" s="74"/>
      <c r="R46" s="74"/>
      <c r="S46" s="74"/>
    </row>
    <row r="47" spans="2:21" ht="15">
      <c r="B47" s="521" t="s">
        <v>318</v>
      </c>
      <c r="C47" s="522" t="s">
        <v>682</v>
      </c>
      <c r="D47" s="424" t="s">
        <v>330</v>
      </c>
      <c r="E47" s="521" t="s">
        <v>683</v>
      </c>
      <c r="F47" s="522">
        <v>201611</v>
      </c>
      <c r="G47" s="482">
        <v>10111.99</v>
      </c>
      <c r="H47" s="112">
        <f t="shared" si="0"/>
        <v>2017</v>
      </c>
      <c r="I47" s="312">
        <v>20</v>
      </c>
      <c r="J47" s="107" t="s">
        <v>189</v>
      </c>
      <c r="K47" s="103"/>
      <c r="L47" s="103"/>
      <c r="M47" s="101">
        <f t="shared" si="1"/>
        <v>3301</v>
      </c>
      <c r="O47" s="74"/>
      <c r="P47" s="74"/>
      <c r="Q47" s="74"/>
      <c r="R47" s="74"/>
      <c r="S47" s="74"/>
    </row>
    <row r="48" spans="2:21" ht="15">
      <c r="B48" s="521" t="s">
        <v>318</v>
      </c>
      <c r="C48" s="522" t="s">
        <v>846</v>
      </c>
      <c r="D48" s="424" t="s">
        <v>330</v>
      </c>
      <c r="E48" s="521" t="s">
        <v>847</v>
      </c>
      <c r="F48" s="522">
        <v>201611</v>
      </c>
      <c r="G48" s="482">
        <v>-1968.35</v>
      </c>
      <c r="H48" s="112">
        <f t="shared" si="0"/>
        <v>2017</v>
      </c>
      <c r="I48" s="312">
        <v>20</v>
      </c>
      <c r="J48" s="107" t="s">
        <v>189</v>
      </c>
      <c r="K48" s="103"/>
      <c r="L48" s="101"/>
      <c r="M48" s="101">
        <f t="shared" si="1"/>
        <v>3301</v>
      </c>
      <c r="O48" s="74"/>
      <c r="P48" s="74"/>
      <c r="Q48" s="74"/>
      <c r="R48" s="74"/>
      <c r="S48" s="74"/>
    </row>
    <row r="49" spans="2:19" ht="15">
      <c r="B49" s="521" t="s">
        <v>318</v>
      </c>
      <c r="C49" s="522" t="s">
        <v>846</v>
      </c>
      <c r="D49" s="424" t="s">
        <v>330</v>
      </c>
      <c r="E49" s="521" t="s">
        <v>847</v>
      </c>
      <c r="F49" s="522">
        <v>201611</v>
      </c>
      <c r="G49" s="482">
        <v>23774.58</v>
      </c>
      <c r="H49" s="112">
        <f t="shared" si="0"/>
        <v>2017</v>
      </c>
      <c r="I49" s="312">
        <v>20</v>
      </c>
      <c r="J49" s="107" t="s">
        <v>189</v>
      </c>
      <c r="K49" s="103"/>
      <c r="L49" s="101"/>
      <c r="M49" s="101">
        <f t="shared" si="1"/>
        <v>3301</v>
      </c>
      <c r="O49" s="74"/>
      <c r="P49" s="74"/>
      <c r="Q49" s="74"/>
      <c r="R49" s="74"/>
      <c r="S49" s="74"/>
    </row>
    <row r="50" spans="2:19" ht="15">
      <c r="B50" s="521" t="s">
        <v>318</v>
      </c>
      <c r="C50" s="522" t="s">
        <v>848</v>
      </c>
      <c r="D50" s="424" t="s">
        <v>329</v>
      </c>
      <c r="E50" s="521" t="s">
        <v>849</v>
      </c>
      <c r="F50" s="522">
        <v>201611</v>
      </c>
      <c r="G50" s="482">
        <v>1315.06</v>
      </c>
      <c r="H50" s="112">
        <f t="shared" si="0"/>
        <v>2017</v>
      </c>
      <c r="I50" s="312">
        <v>20</v>
      </c>
      <c r="J50" s="107" t="s">
        <v>189</v>
      </c>
      <c r="K50" s="103"/>
      <c r="L50" s="101"/>
      <c r="M50" s="101">
        <f t="shared" si="1"/>
        <v>3301</v>
      </c>
      <c r="O50" s="74"/>
      <c r="P50" s="74"/>
      <c r="Q50" s="74"/>
      <c r="R50" s="74"/>
      <c r="S50" s="74"/>
    </row>
    <row r="51" spans="2:19" ht="15">
      <c r="B51" s="521" t="s">
        <v>318</v>
      </c>
      <c r="C51" s="522" t="s">
        <v>848</v>
      </c>
      <c r="D51" s="424" t="s">
        <v>329</v>
      </c>
      <c r="E51" s="521" t="s">
        <v>849</v>
      </c>
      <c r="F51" s="522">
        <v>201611</v>
      </c>
      <c r="G51" s="482">
        <v>1824.99</v>
      </c>
      <c r="H51" s="112">
        <f t="shared" si="0"/>
        <v>2017</v>
      </c>
      <c r="I51" s="312">
        <v>20</v>
      </c>
      <c r="J51" s="107" t="s">
        <v>189</v>
      </c>
      <c r="K51" s="103"/>
      <c r="L51" s="101"/>
      <c r="M51" s="101">
        <f t="shared" si="1"/>
        <v>3301</v>
      </c>
      <c r="O51" s="74"/>
      <c r="P51" s="74"/>
      <c r="Q51" s="74"/>
      <c r="R51" s="74"/>
      <c r="S51" s="74"/>
    </row>
    <row r="52" spans="2:19" ht="15">
      <c r="B52" s="521" t="s">
        <v>318</v>
      </c>
      <c r="C52" s="522" t="s">
        <v>971</v>
      </c>
      <c r="D52" s="424" t="s">
        <v>329</v>
      </c>
      <c r="E52" s="521" t="s">
        <v>972</v>
      </c>
      <c r="F52" s="522">
        <v>201611</v>
      </c>
      <c r="G52" s="482">
        <v>18.670000000000002</v>
      </c>
      <c r="H52" s="112">
        <f t="shared" si="0"/>
        <v>2017</v>
      </c>
      <c r="I52" s="312">
        <v>20</v>
      </c>
      <c r="J52" s="107" t="s">
        <v>189</v>
      </c>
      <c r="K52" s="103"/>
      <c r="L52" s="101"/>
      <c r="M52" s="101">
        <f t="shared" si="1"/>
        <v>3301</v>
      </c>
      <c r="O52" s="74"/>
      <c r="P52" s="74"/>
      <c r="Q52" s="74"/>
      <c r="R52" s="74"/>
      <c r="S52" s="74"/>
    </row>
    <row r="53" spans="2:19" ht="15">
      <c r="B53" s="521" t="s">
        <v>318</v>
      </c>
      <c r="C53" s="522" t="s">
        <v>971</v>
      </c>
      <c r="D53" s="424" t="s">
        <v>329</v>
      </c>
      <c r="E53" s="521" t="s">
        <v>972</v>
      </c>
      <c r="F53" s="522">
        <v>201611</v>
      </c>
      <c r="G53" s="482">
        <v>204.71</v>
      </c>
      <c r="H53" s="112">
        <f t="shared" si="0"/>
        <v>2017</v>
      </c>
      <c r="I53" s="312">
        <v>20</v>
      </c>
      <c r="J53" s="107" t="s">
        <v>189</v>
      </c>
      <c r="K53" s="103"/>
      <c r="L53" s="101"/>
      <c r="M53" s="101">
        <f t="shared" si="1"/>
        <v>3301</v>
      </c>
      <c r="O53" s="74"/>
      <c r="P53" s="74"/>
      <c r="Q53" s="74"/>
      <c r="R53" s="74"/>
      <c r="S53" s="74"/>
    </row>
    <row r="54" spans="2:19" ht="15">
      <c r="B54" s="521" t="s">
        <v>318</v>
      </c>
      <c r="C54" s="522" t="s">
        <v>973</v>
      </c>
      <c r="D54" s="424" t="s">
        <v>330</v>
      </c>
      <c r="E54" s="521" t="s">
        <v>974</v>
      </c>
      <c r="F54" s="522">
        <v>201611</v>
      </c>
      <c r="G54" s="482">
        <v>-2.4</v>
      </c>
      <c r="H54" s="112">
        <f t="shared" si="0"/>
        <v>2017</v>
      </c>
      <c r="I54" s="312">
        <v>20</v>
      </c>
      <c r="J54" s="107" t="s">
        <v>189</v>
      </c>
      <c r="K54" s="103"/>
      <c r="L54" s="101"/>
      <c r="M54" s="101">
        <f t="shared" si="1"/>
        <v>3301</v>
      </c>
      <c r="O54" s="101"/>
      <c r="P54" s="101"/>
      <c r="Q54" s="101"/>
      <c r="R54" s="232"/>
      <c r="S54" s="232"/>
    </row>
    <row r="55" spans="2:19" ht="15">
      <c r="B55" s="521" t="s">
        <v>318</v>
      </c>
      <c r="C55" s="522" t="s">
        <v>973</v>
      </c>
      <c r="D55" s="424" t="s">
        <v>330</v>
      </c>
      <c r="E55" s="521" t="s">
        <v>974</v>
      </c>
      <c r="F55" s="522">
        <v>201611</v>
      </c>
      <c r="G55" s="482">
        <v>-0.08</v>
      </c>
      <c r="H55" s="112">
        <f t="shared" si="0"/>
        <v>2017</v>
      </c>
      <c r="I55" s="312">
        <v>20</v>
      </c>
      <c r="J55" s="107" t="s">
        <v>189</v>
      </c>
      <c r="K55" s="103"/>
      <c r="L55" s="101"/>
      <c r="M55" s="101">
        <f t="shared" si="1"/>
        <v>3301</v>
      </c>
      <c r="O55" s="101"/>
      <c r="P55" s="101"/>
      <c r="Q55" s="101"/>
      <c r="R55" s="232"/>
      <c r="S55" s="232"/>
    </row>
    <row r="56" spans="2:19" ht="15">
      <c r="B56" s="521" t="s">
        <v>318</v>
      </c>
      <c r="C56" s="522" t="s">
        <v>868</v>
      </c>
      <c r="D56" s="424" t="s">
        <v>330</v>
      </c>
      <c r="E56" s="521" t="s">
        <v>869</v>
      </c>
      <c r="F56" s="522">
        <v>201611</v>
      </c>
      <c r="G56" s="482">
        <v>-357062.92</v>
      </c>
      <c r="H56" s="112">
        <f t="shared" si="0"/>
        <v>2017</v>
      </c>
      <c r="I56" s="312">
        <v>20</v>
      </c>
      <c r="J56" s="107" t="s">
        <v>189</v>
      </c>
      <c r="K56" s="103"/>
      <c r="L56" s="101"/>
      <c r="M56" s="101">
        <f t="shared" si="1"/>
        <v>3301</v>
      </c>
      <c r="O56" s="101"/>
      <c r="P56" s="101"/>
      <c r="Q56" s="101"/>
      <c r="R56" s="101"/>
    </row>
    <row r="57" spans="2:19" ht="15">
      <c r="B57" s="521" t="s">
        <v>318</v>
      </c>
      <c r="C57" s="522" t="s">
        <v>868</v>
      </c>
      <c r="D57" s="424" t="s">
        <v>330</v>
      </c>
      <c r="E57" s="521" t="s">
        <v>869</v>
      </c>
      <c r="F57" s="522">
        <v>201611</v>
      </c>
      <c r="G57" s="482">
        <v>-14930.53</v>
      </c>
      <c r="H57" s="112">
        <f t="shared" si="0"/>
        <v>2017</v>
      </c>
      <c r="I57" s="312">
        <v>20</v>
      </c>
      <c r="J57" s="107" t="s">
        <v>189</v>
      </c>
      <c r="K57" s="103"/>
      <c r="L57" s="101"/>
      <c r="M57" s="101">
        <f t="shared" si="1"/>
        <v>3301</v>
      </c>
      <c r="O57" s="101"/>
      <c r="P57" s="101"/>
      <c r="Q57" s="101"/>
      <c r="R57" s="101"/>
    </row>
    <row r="58" spans="2:19" ht="15">
      <c r="B58" s="521" t="s">
        <v>318</v>
      </c>
      <c r="C58" s="522" t="s">
        <v>868</v>
      </c>
      <c r="D58" s="424" t="s">
        <v>330</v>
      </c>
      <c r="E58" s="521" t="s">
        <v>869</v>
      </c>
      <c r="F58" s="522">
        <v>201611</v>
      </c>
      <c r="G58" s="482">
        <v>93012.77</v>
      </c>
      <c r="H58" s="112">
        <f t="shared" si="0"/>
        <v>2017</v>
      </c>
      <c r="I58" s="312">
        <v>20</v>
      </c>
      <c r="J58" s="107" t="s">
        <v>189</v>
      </c>
      <c r="K58" s="103"/>
      <c r="L58" s="101"/>
      <c r="M58" s="101">
        <f t="shared" si="1"/>
        <v>3301</v>
      </c>
      <c r="O58" s="101"/>
      <c r="P58" s="101"/>
      <c r="Q58" s="101"/>
      <c r="R58" s="101"/>
    </row>
    <row r="59" spans="2:19">
      <c r="B59" s="521" t="s">
        <v>318</v>
      </c>
      <c r="C59" s="522" t="s">
        <v>868</v>
      </c>
      <c r="D59" s="423" t="s">
        <v>330</v>
      </c>
      <c r="E59" s="521" t="s">
        <v>869</v>
      </c>
      <c r="F59" s="522">
        <v>201611</v>
      </c>
      <c r="G59" s="482">
        <v>416358.07</v>
      </c>
      <c r="H59" s="112">
        <f t="shared" si="0"/>
        <v>2017</v>
      </c>
      <c r="I59" s="312">
        <v>20</v>
      </c>
      <c r="J59" s="107" t="s">
        <v>189</v>
      </c>
      <c r="K59" s="103"/>
      <c r="L59" s="101"/>
      <c r="M59" s="101">
        <f t="shared" si="1"/>
        <v>3301</v>
      </c>
      <c r="O59" s="101"/>
      <c r="P59" s="101"/>
      <c r="Q59" s="101"/>
      <c r="R59" s="101"/>
    </row>
    <row r="60" spans="2:19">
      <c r="B60" s="521" t="s">
        <v>318</v>
      </c>
      <c r="C60" s="522" t="s">
        <v>1037</v>
      </c>
      <c r="D60" s="423" t="s">
        <v>329</v>
      </c>
      <c r="E60" s="521" t="s">
        <v>1038</v>
      </c>
      <c r="F60" s="522">
        <v>201611</v>
      </c>
      <c r="G60" s="482">
        <v>40.53</v>
      </c>
      <c r="H60" s="112">
        <f t="shared" si="0"/>
        <v>2017</v>
      </c>
      <c r="I60" s="312">
        <v>20</v>
      </c>
      <c r="J60" s="107" t="s">
        <v>189</v>
      </c>
      <c r="K60" s="103"/>
      <c r="L60" s="101"/>
      <c r="M60" s="101">
        <f t="shared" si="1"/>
        <v>3301</v>
      </c>
      <c r="O60" s="101"/>
      <c r="P60" s="101"/>
      <c r="Q60" s="101"/>
      <c r="R60" s="101"/>
    </row>
    <row r="61" spans="2:19">
      <c r="B61" s="521" t="s">
        <v>318</v>
      </c>
      <c r="C61" s="522" t="s">
        <v>1037</v>
      </c>
      <c r="D61" s="423" t="s">
        <v>329</v>
      </c>
      <c r="E61" s="521" t="s">
        <v>1038</v>
      </c>
      <c r="F61" s="522">
        <v>201611</v>
      </c>
      <c r="G61" s="482">
        <v>536.70000000000005</v>
      </c>
      <c r="H61" s="112">
        <f t="shared" si="0"/>
        <v>2017</v>
      </c>
      <c r="I61" s="312">
        <v>20</v>
      </c>
      <c r="J61" s="107" t="s">
        <v>189</v>
      </c>
      <c r="K61" s="103"/>
      <c r="L61" s="101"/>
      <c r="M61" s="101">
        <f t="shared" si="1"/>
        <v>3301</v>
      </c>
      <c r="O61" s="101"/>
      <c r="P61" s="101"/>
      <c r="Q61" s="101"/>
      <c r="R61" s="101"/>
    </row>
    <row r="62" spans="2:19">
      <c r="B62" s="521" t="s">
        <v>318</v>
      </c>
      <c r="C62" s="522" t="s">
        <v>850</v>
      </c>
      <c r="D62" s="423" t="s">
        <v>329</v>
      </c>
      <c r="E62" s="521" t="s">
        <v>851</v>
      </c>
      <c r="F62" s="522">
        <v>201611</v>
      </c>
      <c r="G62" s="482">
        <v>-23.71</v>
      </c>
      <c r="H62" s="112">
        <f t="shared" si="0"/>
        <v>2017</v>
      </c>
      <c r="I62" s="312">
        <v>20</v>
      </c>
      <c r="J62" s="107" t="s">
        <v>189</v>
      </c>
      <c r="K62" s="103"/>
      <c r="L62" s="101"/>
      <c r="M62" s="101">
        <f t="shared" si="1"/>
        <v>3301</v>
      </c>
      <c r="O62" s="101"/>
      <c r="P62" s="101"/>
      <c r="Q62" s="101"/>
      <c r="R62" s="101"/>
    </row>
    <row r="63" spans="2:19">
      <c r="B63" s="521" t="s">
        <v>318</v>
      </c>
      <c r="C63" s="522" t="s">
        <v>850</v>
      </c>
      <c r="D63" s="423" t="s">
        <v>329</v>
      </c>
      <c r="E63" s="521" t="s">
        <v>851</v>
      </c>
      <c r="F63" s="522">
        <v>201611</v>
      </c>
      <c r="G63" s="482">
        <v>-1.96</v>
      </c>
      <c r="H63" s="112">
        <f t="shared" si="0"/>
        <v>2017</v>
      </c>
      <c r="I63" s="312">
        <v>20</v>
      </c>
      <c r="J63" s="107" t="s">
        <v>189</v>
      </c>
      <c r="K63" s="103"/>
      <c r="L63" s="101"/>
      <c r="M63" s="101">
        <f t="shared" si="1"/>
        <v>3301</v>
      </c>
      <c r="O63" s="101"/>
      <c r="P63" s="101"/>
      <c r="Q63" s="101"/>
      <c r="R63" s="101"/>
    </row>
    <row r="64" spans="2:19" ht="15">
      <c r="B64" s="521" t="s">
        <v>318</v>
      </c>
      <c r="C64" s="522" t="s">
        <v>1069</v>
      </c>
      <c r="D64" s="424" t="s">
        <v>330</v>
      </c>
      <c r="E64" s="521" t="s">
        <v>1105</v>
      </c>
      <c r="F64" s="522">
        <v>201611</v>
      </c>
      <c r="G64" s="482">
        <v>-2518.46</v>
      </c>
      <c r="H64" s="112">
        <f t="shared" si="0"/>
        <v>2017</v>
      </c>
      <c r="I64" s="312">
        <v>20</v>
      </c>
      <c r="J64" s="107" t="s">
        <v>189</v>
      </c>
      <c r="K64" s="103"/>
      <c r="L64" s="101"/>
      <c r="M64" s="101">
        <f t="shared" si="1"/>
        <v>3301</v>
      </c>
      <c r="O64" s="101"/>
      <c r="P64" s="101"/>
      <c r="Q64" s="101"/>
      <c r="R64" s="101"/>
    </row>
    <row r="65" spans="2:18" ht="15">
      <c r="B65" s="521" t="s">
        <v>318</v>
      </c>
      <c r="C65" s="522" t="s">
        <v>1069</v>
      </c>
      <c r="D65" s="424" t="s">
        <v>330</v>
      </c>
      <c r="E65" s="521" t="s">
        <v>1105</v>
      </c>
      <c r="F65" s="522">
        <v>201611</v>
      </c>
      <c r="G65" s="482">
        <v>-114</v>
      </c>
      <c r="H65" s="112">
        <f t="shared" si="0"/>
        <v>2017</v>
      </c>
      <c r="I65" s="312">
        <v>20</v>
      </c>
      <c r="J65" s="107" t="s">
        <v>189</v>
      </c>
      <c r="K65" s="103"/>
      <c r="L65" s="101"/>
      <c r="M65" s="101">
        <f t="shared" si="1"/>
        <v>3301</v>
      </c>
      <c r="O65" s="101"/>
      <c r="P65" s="101"/>
      <c r="Q65" s="101"/>
      <c r="R65" s="101"/>
    </row>
    <row r="66" spans="2:18">
      <c r="B66" s="521" t="s">
        <v>318</v>
      </c>
      <c r="C66" s="522" t="s">
        <v>975</v>
      </c>
      <c r="D66" s="423" t="s">
        <v>330</v>
      </c>
      <c r="E66" s="521" t="s">
        <v>976</v>
      </c>
      <c r="F66" s="522">
        <v>201611</v>
      </c>
      <c r="G66" s="482">
        <v>0.65</v>
      </c>
      <c r="H66" s="112">
        <f t="shared" si="0"/>
        <v>2017</v>
      </c>
      <c r="I66" s="312">
        <v>20</v>
      </c>
      <c r="J66" s="107" t="s">
        <v>189</v>
      </c>
      <c r="K66" s="103"/>
      <c r="L66" s="101"/>
      <c r="M66" s="101">
        <f t="shared" si="1"/>
        <v>3301</v>
      </c>
      <c r="O66" s="101"/>
      <c r="P66" s="101"/>
      <c r="Q66" s="101"/>
      <c r="R66" s="101"/>
    </row>
    <row r="67" spans="2:18">
      <c r="B67" s="521" t="s">
        <v>318</v>
      </c>
      <c r="C67" s="522" t="s">
        <v>975</v>
      </c>
      <c r="D67" s="423" t="s">
        <v>330</v>
      </c>
      <c r="E67" s="521" t="s">
        <v>976</v>
      </c>
      <c r="F67" s="522">
        <v>201611</v>
      </c>
      <c r="G67" s="482">
        <v>45.74</v>
      </c>
      <c r="H67" s="112">
        <f t="shared" si="0"/>
        <v>2017</v>
      </c>
      <c r="I67" s="312">
        <v>20</v>
      </c>
      <c r="J67" s="107" t="s">
        <v>189</v>
      </c>
      <c r="K67" s="103"/>
      <c r="L67" s="101"/>
      <c r="M67" s="101">
        <f t="shared" si="1"/>
        <v>3301</v>
      </c>
      <c r="O67" s="101"/>
      <c r="P67" s="101"/>
      <c r="Q67" s="101"/>
      <c r="R67" s="101"/>
    </row>
    <row r="68" spans="2:18">
      <c r="B68" s="521" t="s">
        <v>318</v>
      </c>
      <c r="C68" s="522" t="s">
        <v>852</v>
      </c>
      <c r="D68" s="423" t="s">
        <v>330</v>
      </c>
      <c r="E68" s="521" t="s">
        <v>853</v>
      </c>
      <c r="F68" s="522">
        <v>201611</v>
      </c>
      <c r="G68" s="482">
        <v>1325.56</v>
      </c>
      <c r="H68" s="112">
        <f t="shared" si="0"/>
        <v>2017</v>
      </c>
      <c r="I68" s="312">
        <v>20</v>
      </c>
      <c r="J68" s="107" t="s">
        <v>189</v>
      </c>
      <c r="K68" s="103"/>
      <c r="L68" s="101"/>
      <c r="M68" s="101">
        <f t="shared" si="1"/>
        <v>3301</v>
      </c>
      <c r="O68" s="101"/>
      <c r="P68" s="101"/>
      <c r="Q68" s="101"/>
      <c r="R68" s="101"/>
    </row>
    <row r="69" spans="2:18">
      <c r="B69" s="521" t="s">
        <v>318</v>
      </c>
      <c r="C69" s="522" t="s">
        <v>852</v>
      </c>
      <c r="D69" s="423" t="s">
        <v>330</v>
      </c>
      <c r="E69" s="521" t="s">
        <v>853</v>
      </c>
      <c r="F69" s="522">
        <v>201611</v>
      </c>
      <c r="G69" s="482">
        <v>6829.36</v>
      </c>
      <c r="H69" s="112">
        <f t="shared" si="0"/>
        <v>2017</v>
      </c>
      <c r="I69" s="312">
        <v>20</v>
      </c>
      <c r="J69" s="107" t="s">
        <v>189</v>
      </c>
      <c r="K69" s="103"/>
      <c r="L69" s="101"/>
      <c r="M69" s="101">
        <f t="shared" si="1"/>
        <v>3301</v>
      </c>
      <c r="O69" s="101"/>
      <c r="P69" s="101"/>
      <c r="Q69" s="101"/>
      <c r="R69" s="101"/>
    </row>
    <row r="70" spans="2:18">
      <c r="B70" s="521" t="s">
        <v>318</v>
      </c>
      <c r="C70" s="522" t="s">
        <v>870</v>
      </c>
      <c r="D70" s="423" t="s">
        <v>330</v>
      </c>
      <c r="E70" s="521" t="s">
        <v>871</v>
      </c>
      <c r="F70" s="522">
        <v>201611</v>
      </c>
      <c r="G70" s="482">
        <v>-13596.24</v>
      </c>
      <c r="H70" s="112">
        <f t="shared" si="0"/>
        <v>2017</v>
      </c>
      <c r="I70" s="312">
        <v>20</v>
      </c>
      <c r="J70" s="107" t="s">
        <v>189</v>
      </c>
      <c r="K70" s="103"/>
      <c r="L70" s="101"/>
      <c r="M70" s="101">
        <f t="shared" si="1"/>
        <v>3301</v>
      </c>
      <c r="O70" s="101"/>
      <c r="P70" s="101"/>
      <c r="Q70" s="101"/>
      <c r="R70" s="101"/>
    </row>
    <row r="71" spans="2:18">
      <c r="B71" s="521" t="s">
        <v>318</v>
      </c>
      <c r="C71" s="522" t="s">
        <v>870</v>
      </c>
      <c r="D71" s="423" t="s">
        <v>330</v>
      </c>
      <c r="E71" s="521" t="s">
        <v>871</v>
      </c>
      <c r="F71" s="522">
        <v>201611</v>
      </c>
      <c r="G71" s="482">
        <v>12007.77</v>
      </c>
      <c r="H71" s="112">
        <f t="shared" si="0"/>
        <v>2017</v>
      </c>
      <c r="I71" s="312">
        <v>20</v>
      </c>
      <c r="J71" s="107" t="s">
        <v>189</v>
      </c>
      <c r="K71" s="103"/>
      <c r="L71" s="101"/>
      <c r="M71" s="101">
        <f t="shared" si="1"/>
        <v>3301</v>
      </c>
      <c r="O71" s="101"/>
      <c r="P71" s="101"/>
      <c r="Q71" s="101"/>
      <c r="R71" s="101"/>
    </row>
    <row r="72" spans="2:18">
      <c r="B72" s="521" t="s">
        <v>318</v>
      </c>
      <c r="C72" s="522" t="s">
        <v>1039</v>
      </c>
      <c r="D72" s="423" t="s">
        <v>330</v>
      </c>
      <c r="E72" s="521" t="s">
        <v>1040</v>
      </c>
      <c r="F72" s="522">
        <v>201611</v>
      </c>
      <c r="G72" s="482">
        <v>263.55</v>
      </c>
      <c r="H72" s="112">
        <f t="shared" ref="H72:H133" si="4">IF(F72&gt;$H$5,0+2017,0+2016)</f>
        <v>2017</v>
      </c>
      <c r="I72" s="312">
        <v>20</v>
      </c>
      <c r="J72" s="107" t="s">
        <v>189</v>
      </c>
      <c r="K72" s="103"/>
      <c r="L72" s="101"/>
      <c r="M72" s="101">
        <f t="shared" ref="M72:M133" si="5">IF(LEFT(D72,2)="34",3401,IF(LEFT(D72,2)="33",3301))</f>
        <v>3301</v>
      </c>
      <c r="O72" s="101"/>
      <c r="P72" s="101"/>
      <c r="Q72" s="101"/>
      <c r="R72" s="101"/>
    </row>
    <row r="73" spans="2:18">
      <c r="B73" s="521" t="s">
        <v>318</v>
      </c>
      <c r="C73" s="522" t="s">
        <v>1039</v>
      </c>
      <c r="D73" s="423" t="s">
        <v>330</v>
      </c>
      <c r="E73" s="521" t="s">
        <v>1040</v>
      </c>
      <c r="F73" s="522">
        <v>201611</v>
      </c>
      <c r="G73" s="482">
        <v>5348.74</v>
      </c>
      <c r="H73" s="112">
        <f t="shared" si="4"/>
        <v>2017</v>
      </c>
      <c r="I73" s="312">
        <v>20</v>
      </c>
      <c r="J73" s="107" t="s">
        <v>189</v>
      </c>
      <c r="K73" s="103"/>
      <c r="L73" s="101"/>
      <c r="M73" s="101">
        <f t="shared" si="5"/>
        <v>3301</v>
      </c>
      <c r="O73" s="101"/>
      <c r="P73" s="101"/>
      <c r="Q73" s="101"/>
      <c r="R73" s="101"/>
    </row>
    <row r="74" spans="2:18">
      <c r="B74" s="521" t="s">
        <v>318</v>
      </c>
      <c r="C74" s="522" t="s">
        <v>872</v>
      </c>
      <c r="D74" s="423" t="s">
        <v>330</v>
      </c>
      <c r="E74" s="521" t="s">
        <v>873</v>
      </c>
      <c r="F74" s="522">
        <v>201611</v>
      </c>
      <c r="G74" s="482">
        <v>-18745.8</v>
      </c>
      <c r="H74" s="112">
        <f t="shared" si="4"/>
        <v>2017</v>
      </c>
      <c r="I74" s="312">
        <v>20</v>
      </c>
      <c r="J74" s="107" t="s">
        <v>189</v>
      </c>
      <c r="K74" s="103"/>
      <c r="L74" s="101"/>
      <c r="M74" s="101">
        <f t="shared" si="5"/>
        <v>3301</v>
      </c>
      <c r="O74" s="101"/>
      <c r="P74" s="101"/>
      <c r="Q74" s="101"/>
      <c r="R74" s="101"/>
    </row>
    <row r="75" spans="2:18">
      <c r="B75" s="521" t="s">
        <v>318</v>
      </c>
      <c r="C75" s="522" t="s">
        <v>872</v>
      </c>
      <c r="D75" s="423" t="s">
        <v>330</v>
      </c>
      <c r="E75" s="521" t="s">
        <v>873</v>
      </c>
      <c r="F75" s="522">
        <v>201611</v>
      </c>
      <c r="G75" s="482">
        <v>905.16</v>
      </c>
      <c r="H75" s="112">
        <f t="shared" si="4"/>
        <v>2017</v>
      </c>
      <c r="I75" s="312">
        <v>20</v>
      </c>
      <c r="J75" s="107" t="s">
        <v>189</v>
      </c>
      <c r="K75" s="103"/>
      <c r="L75" s="101"/>
      <c r="M75" s="101">
        <f t="shared" si="5"/>
        <v>3301</v>
      </c>
      <c r="O75" s="101"/>
      <c r="P75" s="101"/>
      <c r="Q75" s="101"/>
      <c r="R75" s="101"/>
    </row>
    <row r="76" spans="2:18">
      <c r="B76" s="521" t="s">
        <v>318</v>
      </c>
      <c r="C76" s="522" t="s">
        <v>977</v>
      </c>
      <c r="D76" s="423" t="s">
        <v>330</v>
      </c>
      <c r="E76" s="521" t="s">
        <v>978</v>
      </c>
      <c r="F76" s="522">
        <v>201611</v>
      </c>
      <c r="G76" s="482">
        <v>22.9</v>
      </c>
      <c r="H76" s="112">
        <f t="shared" si="4"/>
        <v>2017</v>
      </c>
      <c r="I76" s="312">
        <v>20</v>
      </c>
      <c r="J76" s="107" t="s">
        <v>189</v>
      </c>
      <c r="K76" s="103"/>
      <c r="L76" s="101"/>
      <c r="M76" s="101">
        <f t="shared" si="5"/>
        <v>3301</v>
      </c>
      <c r="O76" s="101"/>
      <c r="P76" s="101"/>
      <c r="Q76" s="101"/>
      <c r="R76" s="101"/>
    </row>
    <row r="77" spans="2:18">
      <c r="B77" s="521" t="s">
        <v>318</v>
      </c>
      <c r="C77" s="522" t="s">
        <v>977</v>
      </c>
      <c r="D77" s="423" t="s">
        <v>330</v>
      </c>
      <c r="E77" s="521" t="s">
        <v>978</v>
      </c>
      <c r="F77" s="522">
        <v>201611</v>
      </c>
      <c r="G77" s="482">
        <v>360.88</v>
      </c>
      <c r="H77" s="112">
        <f t="shared" si="4"/>
        <v>2017</v>
      </c>
      <c r="I77" s="312">
        <v>20</v>
      </c>
      <c r="J77" s="107" t="s">
        <v>189</v>
      </c>
      <c r="K77" s="103"/>
      <c r="L77" s="101"/>
      <c r="M77" s="101">
        <f t="shared" si="5"/>
        <v>3301</v>
      </c>
      <c r="O77" s="101"/>
      <c r="P77" s="101"/>
      <c r="Q77" s="101"/>
      <c r="R77" s="101"/>
    </row>
    <row r="78" spans="2:18" ht="15">
      <c r="B78" s="521" t="s">
        <v>318</v>
      </c>
      <c r="C78" s="522" t="s">
        <v>1041</v>
      </c>
      <c r="D78" s="424" t="s">
        <v>330</v>
      </c>
      <c r="E78" s="521" t="s">
        <v>1042</v>
      </c>
      <c r="F78" s="522">
        <v>201611</v>
      </c>
      <c r="G78" s="482">
        <v>251.15</v>
      </c>
      <c r="H78" s="112">
        <f t="shared" si="4"/>
        <v>2017</v>
      </c>
      <c r="I78" s="312">
        <v>20</v>
      </c>
      <c r="J78" s="107" t="s">
        <v>189</v>
      </c>
      <c r="K78" s="103"/>
      <c r="L78" s="101"/>
      <c r="M78" s="101">
        <f t="shared" si="5"/>
        <v>3301</v>
      </c>
      <c r="O78" s="101"/>
      <c r="P78" s="101"/>
      <c r="Q78" s="101"/>
      <c r="R78" s="101"/>
    </row>
    <row r="79" spans="2:18" ht="15">
      <c r="B79" s="521" t="s">
        <v>318</v>
      </c>
      <c r="C79" s="522" t="s">
        <v>1041</v>
      </c>
      <c r="D79" s="424" t="s">
        <v>330</v>
      </c>
      <c r="E79" s="521" t="s">
        <v>1042</v>
      </c>
      <c r="F79" s="522">
        <v>201611</v>
      </c>
      <c r="G79" s="482">
        <v>3360.47</v>
      </c>
      <c r="H79" s="112">
        <f t="shared" si="4"/>
        <v>2017</v>
      </c>
      <c r="I79" s="312">
        <v>20</v>
      </c>
      <c r="J79" s="107" t="s">
        <v>189</v>
      </c>
      <c r="K79" s="103"/>
      <c r="L79" s="101"/>
      <c r="M79" s="101">
        <f t="shared" si="5"/>
        <v>3301</v>
      </c>
      <c r="O79" s="101"/>
      <c r="P79" s="101"/>
      <c r="Q79" s="101"/>
      <c r="R79" s="101"/>
    </row>
    <row r="80" spans="2:18" ht="15">
      <c r="B80" s="521" t="s">
        <v>318</v>
      </c>
      <c r="C80" s="522" t="s">
        <v>979</v>
      </c>
      <c r="D80" s="424" t="s">
        <v>330</v>
      </c>
      <c r="E80" s="521" t="s">
        <v>980</v>
      </c>
      <c r="F80" s="522">
        <v>201611</v>
      </c>
      <c r="G80" s="482">
        <v>1.43</v>
      </c>
      <c r="H80" s="112">
        <f t="shared" si="4"/>
        <v>2017</v>
      </c>
      <c r="I80" s="312">
        <v>20</v>
      </c>
      <c r="J80" s="107" t="s">
        <v>189</v>
      </c>
      <c r="K80" s="103"/>
      <c r="L80" s="101"/>
      <c r="M80" s="101">
        <f t="shared" si="5"/>
        <v>3301</v>
      </c>
      <c r="O80" s="101"/>
      <c r="P80" s="101"/>
      <c r="Q80" s="101"/>
      <c r="R80" s="101"/>
    </row>
    <row r="81" spans="2:18" ht="15">
      <c r="B81" s="521" t="s">
        <v>318</v>
      </c>
      <c r="C81" s="522" t="s">
        <v>979</v>
      </c>
      <c r="D81" s="424" t="s">
        <v>330</v>
      </c>
      <c r="E81" s="521" t="s">
        <v>980</v>
      </c>
      <c r="F81" s="522">
        <v>201611</v>
      </c>
      <c r="G81" s="482">
        <v>29.04</v>
      </c>
      <c r="H81" s="112">
        <f t="shared" si="4"/>
        <v>2017</v>
      </c>
      <c r="I81" s="312">
        <v>20</v>
      </c>
      <c r="J81" s="107" t="s">
        <v>189</v>
      </c>
      <c r="K81" s="103"/>
      <c r="L81" s="101"/>
      <c r="M81" s="101">
        <f t="shared" si="5"/>
        <v>3301</v>
      </c>
      <c r="O81" s="101"/>
      <c r="P81" s="101"/>
      <c r="Q81" s="101"/>
      <c r="R81" s="101"/>
    </row>
    <row r="82" spans="2:18" ht="15">
      <c r="B82" s="521" t="s">
        <v>318</v>
      </c>
      <c r="C82" s="522" t="s">
        <v>981</v>
      </c>
      <c r="D82" s="424" t="s">
        <v>330</v>
      </c>
      <c r="E82" s="521" t="s">
        <v>1014</v>
      </c>
      <c r="F82" s="522">
        <v>201611</v>
      </c>
      <c r="G82" s="482">
        <v>18.66</v>
      </c>
      <c r="H82" s="112">
        <f t="shared" si="4"/>
        <v>2017</v>
      </c>
      <c r="I82" s="312">
        <v>20</v>
      </c>
      <c r="J82" s="107" t="s">
        <v>189</v>
      </c>
      <c r="K82" s="103"/>
      <c r="L82" s="101"/>
      <c r="M82" s="101">
        <f t="shared" si="5"/>
        <v>3301</v>
      </c>
      <c r="O82" s="101"/>
      <c r="P82" s="101"/>
      <c r="Q82" s="101"/>
      <c r="R82" s="101"/>
    </row>
    <row r="83" spans="2:18" ht="15">
      <c r="B83" s="521" t="s">
        <v>318</v>
      </c>
      <c r="C83" s="522" t="s">
        <v>981</v>
      </c>
      <c r="D83" s="424" t="s">
        <v>330</v>
      </c>
      <c r="E83" s="521" t="s">
        <v>1014</v>
      </c>
      <c r="F83" s="522">
        <v>201611</v>
      </c>
      <c r="G83" s="482">
        <v>102.47</v>
      </c>
      <c r="H83" s="112">
        <f t="shared" si="4"/>
        <v>2017</v>
      </c>
      <c r="I83" s="312">
        <v>20</v>
      </c>
      <c r="J83" s="107" t="s">
        <v>189</v>
      </c>
      <c r="K83" s="103"/>
      <c r="L83" s="101"/>
      <c r="M83" s="101">
        <f t="shared" si="5"/>
        <v>3301</v>
      </c>
      <c r="O83" s="101"/>
      <c r="P83" s="101"/>
      <c r="Q83" s="101"/>
      <c r="R83" s="101"/>
    </row>
    <row r="84" spans="2:18">
      <c r="B84" s="521" t="s">
        <v>318</v>
      </c>
      <c r="C84" s="522" t="s">
        <v>981</v>
      </c>
      <c r="D84" s="423" t="s">
        <v>330</v>
      </c>
      <c r="E84" s="521" t="s">
        <v>1014</v>
      </c>
      <c r="F84" s="522">
        <v>201611</v>
      </c>
      <c r="G84" s="482">
        <v>2023.18</v>
      </c>
      <c r="H84" s="112">
        <f t="shared" si="4"/>
        <v>2017</v>
      </c>
      <c r="I84" s="312">
        <v>20</v>
      </c>
      <c r="J84" s="107" t="s">
        <v>189</v>
      </c>
      <c r="K84" s="103"/>
      <c r="L84" s="101"/>
      <c r="M84" s="101">
        <f t="shared" si="5"/>
        <v>3301</v>
      </c>
      <c r="O84" s="101"/>
      <c r="P84" s="101"/>
      <c r="Q84" s="101"/>
      <c r="R84" s="101"/>
    </row>
    <row r="85" spans="2:18">
      <c r="B85" s="521" t="s">
        <v>318</v>
      </c>
      <c r="C85" s="522" t="s">
        <v>874</v>
      </c>
      <c r="D85" s="423" t="s">
        <v>330</v>
      </c>
      <c r="E85" s="521" t="s">
        <v>875</v>
      </c>
      <c r="F85" s="522">
        <v>201611</v>
      </c>
      <c r="G85" s="482">
        <v>-2553.87</v>
      </c>
      <c r="H85" s="112">
        <f t="shared" si="4"/>
        <v>2017</v>
      </c>
      <c r="I85" s="312">
        <v>20</v>
      </c>
      <c r="J85" s="107" t="s">
        <v>189</v>
      </c>
      <c r="K85" s="103"/>
      <c r="L85" s="101"/>
      <c r="M85" s="101">
        <f t="shared" si="5"/>
        <v>3301</v>
      </c>
      <c r="O85" s="101"/>
      <c r="P85" s="101"/>
      <c r="Q85" s="101"/>
      <c r="R85" s="101"/>
    </row>
    <row r="86" spans="2:18">
      <c r="B86" s="521" t="s">
        <v>318</v>
      </c>
      <c r="C86" s="522" t="s">
        <v>874</v>
      </c>
      <c r="D86" s="423" t="s">
        <v>330</v>
      </c>
      <c r="E86" s="521" t="s">
        <v>875</v>
      </c>
      <c r="F86" s="522">
        <v>201611</v>
      </c>
      <c r="G86" s="482">
        <v>1916.25</v>
      </c>
      <c r="H86" s="112">
        <f t="shared" si="4"/>
        <v>2017</v>
      </c>
      <c r="I86" s="312">
        <v>20</v>
      </c>
      <c r="J86" s="107" t="s">
        <v>189</v>
      </c>
      <c r="K86" s="103"/>
      <c r="L86" s="101"/>
      <c r="M86" s="101">
        <f t="shared" si="5"/>
        <v>3301</v>
      </c>
      <c r="O86" s="101"/>
      <c r="P86" s="101"/>
      <c r="Q86" s="101"/>
      <c r="R86" s="101"/>
    </row>
    <row r="87" spans="2:18">
      <c r="B87" s="521" t="s">
        <v>318</v>
      </c>
      <c r="C87" s="522" t="s">
        <v>983</v>
      </c>
      <c r="D87" s="423" t="s">
        <v>330</v>
      </c>
      <c r="E87" s="521" t="s">
        <v>984</v>
      </c>
      <c r="F87" s="522">
        <v>201611</v>
      </c>
      <c r="G87" s="482">
        <v>1.48</v>
      </c>
      <c r="H87" s="112">
        <f t="shared" si="4"/>
        <v>2017</v>
      </c>
      <c r="I87" s="312">
        <v>20</v>
      </c>
      <c r="J87" s="107" t="s">
        <v>189</v>
      </c>
      <c r="K87" s="103"/>
      <c r="L87" s="101"/>
      <c r="M87" s="101">
        <f t="shared" si="5"/>
        <v>3301</v>
      </c>
      <c r="O87" s="101"/>
      <c r="P87" s="101"/>
      <c r="Q87" s="101"/>
      <c r="R87" s="101"/>
    </row>
    <row r="88" spans="2:18">
      <c r="B88" s="521" t="s">
        <v>318</v>
      </c>
      <c r="C88" s="522" t="s">
        <v>983</v>
      </c>
      <c r="D88" s="423" t="s">
        <v>330</v>
      </c>
      <c r="E88" s="521" t="s">
        <v>984</v>
      </c>
      <c r="F88" s="522">
        <v>201611</v>
      </c>
      <c r="G88" s="482">
        <v>41.57</v>
      </c>
      <c r="H88" s="112">
        <f t="shared" si="4"/>
        <v>2017</v>
      </c>
      <c r="I88" s="312">
        <v>20</v>
      </c>
      <c r="J88" s="107" t="s">
        <v>189</v>
      </c>
      <c r="K88" s="103"/>
      <c r="L88" s="101"/>
      <c r="M88" s="101">
        <f t="shared" si="5"/>
        <v>3301</v>
      </c>
      <c r="O88" s="101"/>
      <c r="P88" s="101"/>
      <c r="Q88" s="101"/>
      <c r="R88" s="101"/>
    </row>
    <row r="89" spans="2:18">
      <c r="B89" s="521" t="s">
        <v>318</v>
      </c>
      <c r="C89" s="522" t="s">
        <v>1043</v>
      </c>
      <c r="D89" s="423" t="s">
        <v>330</v>
      </c>
      <c r="E89" s="521" t="s">
        <v>1044</v>
      </c>
      <c r="F89" s="522">
        <v>201611</v>
      </c>
      <c r="G89" s="482">
        <v>14.91</v>
      </c>
      <c r="H89" s="112">
        <f t="shared" si="4"/>
        <v>2017</v>
      </c>
      <c r="I89" s="312">
        <v>20</v>
      </c>
      <c r="J89" s="107" t="s">
        <v>189</v>
      </c>
      <c r="K89" s="103"/>
      <c r="L89" s="101"/>
      <c r="M89" s="101">
        <f t="shared" si="5"/>
        <v>3301</v>
      </c>
      <c r="O89" s="101"/>
      <c r="P89" s="101"/>
      <c r="Q89" s="101"/>
      <c r="R89" s="101"/>
    </row>
    <row r="90" spans="2:18">
      <c r="B90" s="521" t="s">
        <v>318</v>
      </c>
      <c r="C90" s="522" t="s">
        <v>1043</v>
      </c>
      <c r="D90" s="423" t="s">
        <v>330</v>
      </c>
      <c r="E90" s="521" t="s">
        <v>1044</v>
      </c>
      <c r="F90" s="522">
        <v>201611</v>
      </c>
      <c r="G90" s="482">
        <v>273.77999999999997</v>
      </c>
      <c r="H90" s="112">
        <f t="shared" si="4"/>
        <v>2017</v>
      </c>
      <c r="I90" s="312">
        <v>20</v>
      </c>
      <c r="J90" s="107" t="s">
        <v>189</v>
      </c>
      <c r="K90" s="103"/>
      <c r="L90" s="101"/>
      <c r="M90" s="101">
        <f t="shared" si="5"/>
        <v>3301</v>
      </c>
      <c r="O90" s="101"/>
      <c r="P90" s="101"/>
      <c r="Q90" s="101"/>
      <c r="R90" s="101"/>
    </row>
    <row r="91" spans="2:18" ht="15">
      <c r="B91" s="521" t="s">
        <v>318</v>
      </c>
      <c r="C91" s="522" t="s">
        <v>876</v>
      </c>
      <c r="D91" s="424" t="s">
        <v>330</v>
      </c>
      <c r="E91" s="521" t="s">
        <v>877</v>
      </c>
      <c r="F91" s="522">
        <v>201611</v>
      </c>
      <c r="G91" s="482">
        <v>-74.81</v>
      </c>
      <c r="H91" s="112">
        <f t="shared" si="4"/>
        <v>2017</v>
      </c>
      <c r="I91" s="312">
        <v>20</v>
      </c>
      <c r="J91" s="107" t="s">
        <v>189</v>
      </c>
      <c r="K91" s="103"/>
      <c r="L91" s="101"/>
      <c r="M91" s="101">
        <f t="shared" si="5"/>
        <v>3301</v>
      </c>
      <c r="O91" s="101"/>
      <c r="P91" s="101"/>
      <c r="Q91" s="101"/>
      <c r="R91" s="101"/>
    </row>
    <row r="92" spans="2:18" ht="15">
      <c r="B92" s="521" t="s">
        <v>318</v>
      </c>
      <c r="C92" s="522" t="s">
        <v>876</v>
      </c>
      <c r="D92" s="424" t="s">
        <v>330</v>
      </c>
      <c r="E92" s="521" t="s">
        <v>877</v>
      </c>
      <c r="F92" s="522">
        <v>201611</v>
      </c>
      <c r="G92" s="482">
        <v>-4.22</v>
      </c>
      <c r="H92" s="112">
        <f t="shared" si="4"/>
        <v>2017</v>
      </c>
      <c r="I92" s="312">
        <v>20</v>
      </c>
      <c r="J92" s="107" t="s">
        <v>189</v>
      </c>
      <c r="K92" s="103"/>
      <c r="L92" s="101"/>
      <c r="M92" s="101">
        <f t="shared" si="5"/>
        <v>3301</v>
      </c>
      <c r="O92" s="101"/>
      <c r="P92" s="101"/>
      <c r="Q92" s="101"/>
      <c r="R92" s="101"/>
    </row>
    <row r="93" spans="2:18">
      <c r="B93" s="521" t="s">
        <v>318</v>
      </c>
      <c r="C93" s="522" t="s">
        <v>1045</v>
      </c>
      <c r="D93" s="423" t="s">
        <v>330</v>
      </c>
      <c r="E93" s="521" t="s">
        <v>1046</v>
      </c>
      <c r="F93" s="522">
        <v>201611</v>
      </c>
      <c r="G93" s="482">
        <v>1.1499999999999999</v>
      </c>
      <c r="H93" s="112">
        <f t="shared" si="4"/>
        <v>2017</v>
      </c>
      <c r="I93" s="312">
        <v>20</v>
      </c>
      <c r="J93" s="107" t="s">
        <v>189</v>
      </c>
      <c r="K93" s="103"/>
      <c r="L93" s="101"/>
      <c r="M93" s="101">
        <f t="shared" si="5"/>
        <v>3301</v>
      </c>
      <c r="O93" s="101"/>
      <c r="P93" s="101"/>
      <c r="Q93" s="101"/>
      <c r="R93" s="101"/>
    </row>
    <row r="94" spans="2:18">
      <c r="B94" s="521" t="s">
        <v>318</v>
      </c>
      <c r="C94" s="522" t="s">
        <v>1045</v>
      </c>
      <c r="D94" s="423" t="s">
        <v>330</v>
      </c>
      <c r="E94" s="521" t="s">
        <v>1046</v>
      </c>
      <c r="F94" s="522">
        <v>201611</v>
      </c>
      <c r="G94" s="482">
        <v>20.34</v>
      </c>
      <c r="H94" s="112">
        <f t="shared" si="4"/>
        <v>2017</v>
      </c>
      <c r="I94" s="312">
        <v>20</v>
      </c>
      <c r="J94" s="107" t="s">
        <v>189</v>
      </c>
      <c r="K94" s="103"/>
      <c r="L94" s="101"/>
      <c r="M94" s="101">
        <f t="shared" si="5"/>
        <v>3301</v>
      </c>
      <c r="O94" s="101"/>
      <c r="P94" s="101"/>
      <c r="Q94" s="101"/>
      <c r="R94" s="101"/>
    </row>
    <row r="95" spans="2:18" ht="15">
      <c r="B95" s="521" t="s">
        <v>318</v>
      </c>
      <c r="C95" s="522" t="s">
        <v>987</v>
      </c>
      <c r="D95" s="424" t="s">
        <v>330</v>
      </c>
      <c r="E95" s="521" t="s">
        <v>988</v>
      </c>
      <c r="F95" s="522">
        <v>201611</v>
      </c>
      <c r="G95" s="482">
        <v>0.09</v>
      </c>
      <c r="H95" s="112">
        <f t="shared" si="4"/>
        <v>2017</v>
      </c>
      <c r="I95" s="312">
        <v>20</v>
      </c>
      <c r="J95" s="107" t="s">
        <v>189</v>
      </c>
      <c r="K95" s="103"/>
      <c r="L95" s="101"/>
      <c r="M95" s="101">
        <f t="shared" si="5"/>
        <v>3301</v>
      </c>
      <c r="O95" s="101"/>
      <c r="P95" s="101"/>
      <c r="Q95" s="101"/>
      <c r="R95" s="101"/>
    </row>
    <row r="96" spans="2:18" ht="15">
      <c r="B96" s="521" t="s">
        <v>318</v>
      </c>
      <c r="C96" s="522" t="s">
        <v>987</v>
      </c>
      <c r="D96" s="424" t="s">
        <v>330</v>
      </c>
      <c r="E96" s="521" t="s">
        <v>988</v>
      </c>
      <c r="F96" s="522">
        <v>201611</v>
      </c>
      <c r="G96" s="482">
        <v>1.9</v>
      </c>
      <c r="H96" s="112">
        <f t="shared" si="4"/>
        <v>2017</v>
      </c>
      <c r="I96" s="312">
        <v>20</v>
      </c>
      <c r="J96" s="107" t="s">
        <v>189</v>
      </c>
      <c r="K96" s="103"/>
      <c r="L96" s="101"/>
      <c r="M96" s="101">
        <f t="shared" si="5"/>
        <v>3301</v>
      </c>
      <c r="O96" s="101"/>
      <c r="P96" s="101"/>
      <c r="Q96" s="101"/>
      <c r="R96" s="101"/>
    </row>
    <row r="97" spans="2:18">
      <c r="B97" s="521" t="s">
        <v>318</v>
      </c>
      <c r="C97" s="522" t="s">
        <v>991</v>
      </c>
      <c r="D97" s="423" t="s">
        <v>330</v>
      </c>
      <c r="E97" s="521" t="s">
        <v>992</v>
      </c>
      <c r="F97" s="522">
        <v>201611</v>
      </c>
      <c r="G97" s="482">
        <v>-449.03</v>
      </c>
      <c r="H97" s="112">
        <f t="shared" si="4"/>
        <v>2017</v>
      </c>
      <c r="I97" s="312">
        <v>20</v>
      </c>
      <c r="J97" s="107" t="s">
        <v>189</v>
      </c>
      <c r="K97" s="103"/>
      <c r="L97" s="101"/>
      <c r="M97" s="101">
        <f t="shared" si="5"/>
        <v>3301</v>
      </c>
      <c r="O97" s="101"/>
      <c r="P97" s="101"/>
      <c r="Q97" s="101"/>
      <c r="R97" s="101"/>
    </row>
    <row r="98" spans="2:18">
      <c r="B98" s="521" t="s">
        <v>318</v>
      </c>
      <c r="C98" s="522" t="s">
        <v>991</v>
      </c>
      <c r="D98" s="423" t="s">
        <v>330</v>
      </c>
      <c r="E98" s="521" t="s">
        <v>992</v>
      </c>
      <c r="F98" s="522">
        <v>201611</v>
      </c>
      <c r="G98" s="482">
        <v>114.54</v>
      </c>
      <c r="H98" s="112">
        <f t="shared" si="4"/>
        <v>2017</v>
      </c>
      <c r="I98" s="312">
        <v>20</v>
      </c>
      <c r="J98" s="107" t="s">
        <v>189</v>
      </c>
      <c r="K98" s="103"/>
      <c r="L98" s="101"/>
      <c r="M98" s="101">
        <f t="shared" si="5"/>
        <v>3301</v>
      </c>
      <c r="O98" s="101"/>
      <c r="P98" s="101"/>
      <c r="Q98" s="101"/>
      <c r="R98" s="101"/>
    </row>
    <row r="99" spans="2:18" ht="15">
      <c r="B99" s="521" t="s">
        <v>318</v>
      </c>
      <c r="C99" s="522" t="s">
        <v>880</v>
      </c>
      <c r="D99" s="424" t="s">
        <v>330</v>
      </c>
      <c r="E99" s="521" t="s">
        <v>881</v>
      </c>
      <c r="F99" s="522">
        <v>201611</v>
      </c>
      <c r="G99" s="482">
        <v>-31679.119999999999</v>
      </c>
      <c r="H99" s="112">
        <f t="shared" si="4"/>
        <v>2017</v>
      </c>
      <c r="I99" s="312">
        <v>20</v>
      </c>
      <c r="J99" s="107" t="s">
        <v>189</v>
      </c>
      <c r="K99" s="103"/>
      <c r="L99" s="101"/>
      <c r="M99" s="101">
        <f t="shared" si="5"/>
        <v>3301</v>
      </c>
      <c r="O99" s="101"/>
      <c r="P99" s="101"/>
      <c r="Q99" s="101"/>
      <c r="R99" s="101"/>
    </row>
    <row r="100" spans="2:18" ht="15">
      <c r="B100" s="521" t="s">
        <v>318</v>
      </c>
      <c r="C100" s="522" t="s">
        <v>880</v>
      </c>
      <c r="D100" s="424" t="s">
        <v>330</v>
      </c>
      <c r="E100" s="521" t="s">
        <v>881</v>
      </c>
      <c r="F100" s="522">
        <v>201611</v>
      </c>
      <c r="G100" s="482">
        <v>-1563.71</v>
      </c>
      <c r="H100" s="112">
        <f t="shared" si="4"/>
        <v>2017</v>
      </c>
      <c r="I100" s="312">
        <v>20</v>
      </c>
      <c r="J100" s="107" t="s">
        <v>189</v>
      </c>
      <c r="K100" s="103"/>
      <c r="L100" s="101"/>
      <c r="M100" s="101">
        <f t="shared" si="5"/>
        <v>3301</v>
      </c>
      <c r="O100" s="101"/>
      <c r="P100" s="101"/>
      <c r="Q100" s="101"/>
      <c r="R100" s="101"/>
    </row>
    <row r="101" spans="2:18" ht="15">
      <c r="B101" s="521" t="s">
        <v>318</v>
      </c>
      <c r="C101" s="522" t="s">
        <v>993</v>
      </c>
      <c r="D101" s="424" t="s">
        <v>330</v>
      </c>
      <c r="E101" s="521" t="s">
        <v>994</v>
      </c>
      <c r="F101" s="522">
        <v>201611</v>
      </c>
      <c r="G101" s="482">
        <v>74.44</v>
      </c>
      <c r="H101" s="112">
        <f t="shared" si="4"/>
        <v>2017</v>
      </c>
      <c r="I101" s="312">
        <v>20</v>
      </c>
      <c r="J101" s="107" t="s">
        <v>189</v>
      </c>
      <c r="K101" s="103"/>
      <c r="L101" s="101"/>
      <c r="M101" s="101">
        <f t="shared" si="5"/>
        <v>3301</v>
      </c>
      <c r="O101" s="101"/>
      <c r="P101" s="101"/>
      <c r="Q101" s="101"/>
      <c r="R101" s="101"/>
    </row>
    <row r="102" spans="2:18" ht="15">
      <c r="B102" s="521" t="s">
        <v>318</v>
      </c>
      <c r="C102" s="522" t="s">
        <v>993</v>
      </c>
      <c r="D102" s="424" t="s">
        <v>330</v>
      </c>
      <c r="E102" s="521" t="s">
        <v>994</v>
      </c>
      <c r="F102" s="522">
        <v>201611</v>
      </c>
      <c r="G102" s="482">
        <v>1478.94</v>
      </c>
      <c r="H102" s="112">
        <f t="shared" si="4"/>
        <v>2017</v>
      </c>
      <c r="I102" s="312">
        <v>20</v>
      </c>
      <c r="J102" s="107" t="s">
        <v>189</v>
      </c>
      <c r="K102" s="103"/>
      <c r="L102" s="101"/>
      <c r="M102" s="101">
        <f t="shared" si="5"/>
        <v>3301</v>
      </c>
      <c r="O102" s="101"/>
      <c r="P102" s="101"/>
      <c r="Q102" s="101"/>
      <c r="R102" s="101"/>
    </row>
    <row r="103" spans="2:18" ht="15">
      <c r="B103" s="521" t="s">
        <v>318</v>
      </c>
      <c r="C103" s="522" t="s">
        <v>996</v>
      </c>
      <c r="D103" s="424" t="s">
        <v>330</v>
      </c>
      <c r="E103" s="521" t="s">
        <v>997</v>
      </c>
      <c r="F103" s="522">
        <v>201611</v>
      </c>
      <c r="G103" s="482">
        <v>59.92</v>
      </c>
      <c r="H103" s="112">
        <f t="shared" si="4"/>
        <v>2017</v>
      </c>
      <c r="I103" s="312">
        <v>20</v>
      </c>
      <c r="J103" s="107" t="s">
        <v>189</v>
      </c>
      <c r="K103" s="103"/>
      <c r="L103" s="101"/>
      <c r="M103" s="101">
        <f t="shared" si="5"/>
        <v>3301</v>
      </c>
      <c r="O103" s="101"/>
      <c r="P103" s="101"/>
      <c r="Q103" s="101"/>
      <c r="R103" s="101"/>
    </row>
    <row r="104" spans="2:18" ht="15">
      <c r="B104" s="521" t="s">
        <v>318</v>
      </c>
      <c r="C104" s="522" t="s">
        <v>996</v>
      </c>
      <c r="D104" s="424" t="s">
        <v>330</v>
      </c>
      <c r="E104" s="521" t="s">
        <v>997</v>
      </c>
      <c r="F104" s="522">
        <v>201611</v>
      </c>
      <c r="G104" s="482">
        <v>1661.15</v>
      </c>
      <c r="H104" s="112">
        <f t="shared" si="4"/>
        <v>2017</v>
      </c>
      <c r="I104" s="312">
        <v>20</v>
      </c>
      <c r="J104" s="107" t="s">
        <v>189</v>
      </c>
      <c r="K104" s="103"/>
      <c r="L104" s="101"/>
      <c r="M104" s="101">
        <f t="shared" si="5"/>
        <v>3301</v>
      </c>
      <c r="O104" s="101"/>
      <c r="P104" s="101"/>
      <c r="Q104" s="101"/>
      <c r="R104" s="101"/>
    </row>
    <row r="105" spans="2:18" ht="15">
      <c r="B105" s="521" t="s">
        <v>318</v>
      </c>
      <c r="C105" s="522" t="s">
        <v>1047</v>
      </c>
      <c r="D105" s="424" t="s">
        <v>329</v>
      </c>
      <c r="E105" s="521" t="s">
        <v>1048</v>
      </c>
      <c r="F105" s="522">
        <v>201611</v>
      </c>
      <c r="G105" s="482">
        <v>-135.26</v>
      </c>
      <c r="H105" s="112">
        <f t="shared" si="4"/>
        <v>2017</v>
      </c>
      <c r="I105" s="312">
        <v>20</v>
      </c>
      <c r="J105" s="107" t="s">
        <v>189</v>
      </c>
      <c r="K105" s="103"/>
      <c r="L105" s="101"/>
      <c r="M105" s="101">
        <f t="shared" si="5"/>
        <v>3301</v>
      </c>
      <c r="O105" s="101"/>
      <c r="P105" s="101"/>
      <c r="Q105" s="101"/>
      <c r="R105" s="101"/>
    </row>
    <row r="106" spans="2:18" ht="15">
      <c r="B106" s="521" t="s">
        <v>318</v>
      </c>
      <c r="C106" s="522" t="s">
        <v>1047</v>
      </c>
      <c r="D106" s="424" t="s">
        <v>329</v>
      </c>
      <c r="E106" s="521" t="s">
        <v>1048</v>
      </c>
      <c r="F106" s="522">
        <v>201611</v>
      </c>
      <c r="G106" s="482">
        <v>-42.73</v>
      </c>
      <c r="H106" s="112">
        <f t="shared" si="4"/>
        <v>2017</v>
      </c>
      <c r="I106" s="312">
        <v>20</v>
      </c>
      <c r="J106" s="107" t="s">
        <v>189</v>
      </c>
      <c r="K106" s="103"/>
      <c r="L106" s="101"/>
      <c r="M106" s="101">
        <f t="shared" si="5"/>
        <v>3301</v>
      </c>
      <c r="O106" s="101"/>
      <c r="P106" s="101"/>
      <c r="Q106" s="101"/>
      <c r="R106" s="101"/>
    </row>
    <row r="107" spans="2:18" ht="15">
      <c r="B107" s="521" t="s">
        <v>318</v>
      </c>
      <c r="C107" s="522" t="s">
        <v>887</v>
      </c>
      <c r="D107" s="424" t="s">
        <v>330</v>
      </c>
      <c r="E107" s="521" t="s">
        <v>888</v>
      </c>
      <c r="F107" s="522">
        <v>201611</v>
      </c>
      <c r="G107" s="482">
        <v>1.91</v>
      </c>
      <c r="H107" s="112">
        <f t="shared" si="4"/>
        <v>2017</v>
      </c>
      <c r="I107" s="312">
        <v>20</v>
      </c>
      <c r="J107" s="107" t="s">
        <v>189</v>
      </c>
      <c r="K107" s="103"/>
      <c r="L107" s="101"/>
      <c r="M107" s="101">
        <f t="shared" si="5"/>
        <v>3301</v>
      </c>
      <c r="O107" s="101"/>
      <c r="P107" s="101"/>
      <c r="Q107" s="101"/>
      <c r="R107" s="101"/>
    </row>
    <row r="108" spans="2:18" ht="15">
      <c r="B108" s="521" t="s">
        <v>318</v>
      </c>
      <c r="C108" s="522" t="s">
        <v>887</v>
      </c>
      <c r="D108" s="424" t="s">
        <v>330</v>
      </c>
      <c r="E108" s="521" t="s">
        <v>888</v>
      </c>
      <c r="F108" s="522">
        <v>201611</v>
      </c>
      <c r="G108" s="482">
        <v>106.88</v>
      </c>
      <c r="H108" s="112">
        <f t="shared" si="4"/>
        <v>2017</v>
      </c>
      <c r="I108" s="312">
        <v>20</v>
      </c>
      <c r="J108" s="107" t="s">
        <v>189</v>
      </c>
      <c r="K108" s="103"/>
      <c r="L108" s="101"/>
      <c r="M108" s="101">
        <f t="shared" si="5"/>
        <v>3301</v>
      </c>
      <c r="O108" s="101"/>
      <c r="P108" s="101"/>
      <c r="Q108" s="101"/>
      <c r="R108" s="101"/>
    </row>
    <row r="109" spans="2:18">
      <c r="B109" s="521" t="s">
        <v>318</v>
      </c>
      <c r="C109" s="522" t="s">
        <v>1071</v>
      </c>
      <c r="D109" s="423" t="s">
        <v>330</v>
      </c>
      <c r="E109" s="521" t="s">
        <v>1072</v>
      </c>
      <c r="F109" s="522">
        <v>201611</v>
      </c>
      <c r="G109" s="482">
        <v>-2288.6999999999998</v>
      </c>
      <c r="H109" s="112">
        <f t="shared" si="4"/>
        <v>2017</v>
      </c>
      <c r="I109" s="312">
        <v>20</v>
      </c>
      <c r="J109" s="107" t="s">
        <v>189</v>
      </c>
      <c r="K109" s="103"/>
      <c r="L109" s="101"/>
      <c r="M109" s="101">
        <f t="shared" si="5"/>
        <v>3301</v>
      </c>
      <c r="O109" s="101"/>
      <c r="P109" s="101"/>
      <c r="Q109" s="101"/>
      <c r="R109" s="101"/>
    </row>
    <row r="110" spans="2:18">
      <c r="B110" s="521" t="s">
        <v>318</v>
      </c>
      <c r="C110" s="522" t="s">
        <v>889</v>
      </c>
      <c r="D110" s="423" t="s">
        <v>414</v>
      </c>
      <c r="E110" s="521" t="s">
        <v>890</v>
      </c>
      <c r="F110" s="522">
        <v>201611</v>
      </c>
      <c r="G110" s="482">
        <v>1.0900000000000001</v>
      </c>
      <c r="H110" s="112">
        <f t="shared" si="4"/>
        <v>2017</v>
      </c>
      <c r="I110" s="312">
        <v>20</v>
      </c>
      <c r="J110" s="107" t="s">
        <v>189</v>
      </c>
      <c r="K110" s="103"/>
      <c r="L110" s="101"/>
      <c r="M110" s="101">
        <f t="shared" si="5"/>
        <v>3301</v>
      </c>
      <c r="O110" s="101"/>
      <c r="P110" s="101"/>
      <c r="Q110" s="101"/>
      <c r="R110" s="101"/>
    </row>
    <row r="111" spans="2:18" ht="15">
      <c r="B111" s="521" t="s">
        <v>318</v>
      </c>
      <c r="C111" s="522" t="s">
        <v>889</v>
      </c>
      <c r="D111" s="424" t="s">
        <v>414</v>
      </c>
      <c r="E111" s="521" t="s">
        <v>890</v>
      </c>
      <c r="F111" s="522">
        <v>201611</v>
      </c>
      <c r="G111" s="482">
        <v>28.5</v>
      </c>
      <c r="H111" s="112">
        <f t="shared" si="4"/>
        <v>2017</v>
      </c>
      <c r="I111" s="312">
        <v>20</v>
      </c>
      <c r="J111" s="107" t="s">
        <v>189</v>
      </c>
      <c r="K111" s="103"/>
      <c r="L111" s="101"/>
      <c r="M111" s="101">
        <f t="shared" si="5"/>
        <v>3301</v>
      </c>
      <c r="O111" s="101"/>
      <c r="P111" s="101"/>
      <c r="Q111" s="101"/>
      <c r="R111" s="101"/>
    </row>
    <row r="112" spans="2:18" ht="15">
      <c r="B112" s="521" t="s">
        <v>318</v>
      </c>
      <c r="C112" s="522" t="s">
        <v>1006</v>
      </c>
      <c r="D112" s="424" t="s">
        <v>414</v>
      </c>
      <c r="E112" s="521" t="s">
        <v>1007</v>
      </c>
      <c r="F112" s="522">
        <v>201611</v>
      </c>
      <c r="G112" s="482">
        <v>-24.4</v>
      </c>
      <c r="H112" s="112">
        <f t="shared" si="4"/>
        <v>2017</v>
      </c>
      <c r="I112" s="312">
        <v>20</v>
      </c>
      <c r="J112" s="107" t="s">
        <v>189</v>
      </c>
      <c r="K112" s="103"/>
      <c r="L112" s="101"/>
      <c r="M112" s="101">
        <f t="shared" si="5"/>
        <v>3301</v>
      </c>
      <c r="O112" s="101"/>
      <c r="P112" s="101"/>
      <c r="Q112" s="101"/>
      <c r="R112" s="101"/>
    </row>
    <row r="113" spans="2:18">
      <c r="B113" s="521" t="s">
        <v>318</v>
      </c>
      <c r="C113" s="522" t="s">
        <v>1006</v>
      </c>
      <c r="D113" s="423" t="s">
        <v>414</v>
      </c>
      <c r="E113" s="521" t="s">
        <v>1007</v>
      </c>
      <c r="F113" s="522">
        <v>201611</v>
      </c>
      <c r="G113" s="482">
        <v>-0.35</v>
      </c>
      <c r="H113" s="112">
        <f t="shared" si="4"/>
        <v>2017</v>
      </c>
      <c r="I113" s="312">
        <v>20</v>
      </c>
      <c r="J113" s="107" t="s">
        <v>189</v>
      </c>
      <c r="K113" s="103"/>
      <c r="L113" s="101"/>
      <c r="M113" s="101">
        <f t="shared" si="5"/>
        <v>3301</v>
      </c>
      <c r="O113" s="101"/>
      <c r="P113" s="101"/>
      <c r="Q113" s="101"/>
      <c r="R113" s="101"/>
    </row>
    <row r="114" spans="2:18">
      <c r="B114" s="521" t="s">
        <v>318</v>
      </c>
      <c r="C114" s="522" t="s">
        <v>1012</v>
      </c>
      <c r="D114" s="423" t="s">
        <v>330</v>
      </c>
      <c r="E114" s="521" t="s">
        <v>1013</v>
      </c>
      <c r="F114" s="522">
        <v>201611</v>
      </c>
      <c r="G114" s="482">
        <v>0.51</v>
      </c>
      <c r="H114" s="112">
        <f t="shared" si="4"/>
        <v>2017</v>
      </c>
      <c r="I114" s="312">
        <v>20</v>
      </c>
      <c r="J114" s="107" t="s">
        <v>189</v>
      </c>
      <c r="K114" s="103"/>
      <c r="L114" s="101"/>
      <c r="M114" s="101">
        <f t="shared" si="5"/>
        <v>3301</v>
      </c>
      <c r="O114" s="101"/>
      <c r="P114" s="101"/>
      <c r="Q114" s="101"/>
      <c r="R114" s="101"/>
    </row>
    <row r="115" spans="2:18">
      <c r="B115" s="521" t="s">
        <v>318</v>
      </c>
      <c r="C115" s="522" t="s">
        <v>1012</v>
      </c>
      <c r="D115" s="423" t="s">
        <v>330</v>
      </c>
      <c r="E115" s="521" t="s">
        <v>1013</v>
      </c>
      <c r="F115" s="522">
        <v>201611</v>
      </c>
      <c r="G115" s="482">
        <v>6.72</v>
      </c>
      <c r="H115" s="112">
        <f t="shared" si="4"/>
        <v>2017</v>
      </c>
      <c r="I115" s="312">
        <v>20</v>
      </c>
      <c r="J115" s="107" t="s">
        <v>189</v>
      </c>
      <c r="K115" s="103"/>
      <c r="L115" s="101"/>
      <c r="M115" s="101">
        <f t="shared" si="5"/>
        <v>3301</v>
      </c>
      <c r="O115" s="101"/>
      <c r="P115" s="101"/>
      <c r="Q115" s="101"/>
      <c r="R115" s="101"/>
    </row>
    <row r="116" spans="2:18">
      <c r="B116" s="521" t="s">
        <v>318</v>
      </c>
      <c r="C116" s="522" t="s">
        <v>1073</v>
      </c>
      <c r="D116" s="423" t="s">
        <v>330</v>
      </c>
      <c r="E116" s="521" t="s">
        <v>1074</v>
      </c>
      <c r="F116" s="522">
        <v>201611</v>
      </c>
      <c r="G116" s="482">
        <v>398.87</v>
      </c>
      <c r="H116" s="112">
        <f t="shared" si="4"/>
        <v>2017</v>
      </c>
      <c r="I116" s="312">
        <v>20</v>
      </c>
      <c r="J116" s="107" t="s">
        <v>189</v>
      </c>
      <c r="K116" s="103"/>
      <c r="L116" s="101"/>
      <c r="M116" s="101">
        <f t="shared" si="5"/>
        <v>3301</v>
      </c>
      <c r="O116" s="101"/>
      <c r="P116" s="101"/>
      <c r="Q116" s="101"/>
      <c r="R116" s="101"/>
    </row>
    <row r="117" spans="2:18">
      <c r="B117" s="521" t="s">
        <v>318</v>
      </c>
      <c r="C117" s="522" t="s">
        <v>1073</v>
      </c>
      <c r="D117" s="423" t="s">
        <v>330</v>
      </c>
      <c r="E117" s="521" t="s">
        <v>1074</v>
      </c>
      <c r="F117" s="522">
        <v>201611</v>
      </c>
      <c r="G117" s="482">
        <v>4158.9799999999996</v>
      </c>
      <c r="H117" s="112">
        <f t="shared" si="4"/>
        <v>2017</v>
      </c>
      <c r="I117" s="312">
        <v>20</v>
      </c>
      <c r="J117" s="107" t="s">
        <v>189</v>
      </c>
      <c r="K117" s="103"/>
      <c r="L117" s="101"/>
      <c r="M117" s="101">
        <f t="shared" si="5"/>
        <v>3301</v>
      </c>
      <c r="O117" s="101"/>
      <c r="P117" s="101"/>
      <c r="Q117" s="101"/>
      <c r="R117" s="101"/>
    </row>
    <row r="118" spans="2:18">
      <c r="B118" s="521" t="s">
        <v>318</v>
      </c>
      <c r="C118" s="522" t="s">
        <v>1049</v>
      </c>
      <c r="D118" s="423" t="s">
        <v>330</v>
      </c>
      <c r="E118" s="521" t="s">
        <v>1050</v>
      </c>
      <c r="F118" s="522">
        <v>201611</v>
      </c>
      <c r="G118" s="482">
        <v>92.49</v>
      </c>
      <c r="H118" s="112">
        <f t="shared" si="4"/>
        <v>2017</v>
      </c>
      <c r="I118" s="312">
        <v>20</v>
      </c>
      <c r="J118" s="107" t="s">
        <v>189</v>
      </c>
      <c r="K118" s="103"/>
      <c r="L118" s="101"/>
      <c r="M118" s="101">
        <f t="shared" si="5"/>
        <v>3301</v>
      </c>
      <c r="O118" s="101"/>
      <c r="P118" s="101"/>
      <c r="Q118" s="101"/>
      <c r="R118" s="101"/>
    </row>
    <row r="119" spans="2:18">
      <c r="B119" s="521" t="s">
        <v>318</v>
      </c>
      <c r="C119" s="522" t="s">
        <v>1049</v>
      </c>
      <c r="D119" s="423" t="s">
        <v>330</v>
      </c>
      <c r="E119" s="521" t="s">
        <v>1050</v>
      </c>
      <c r="F119" s="522">
        <v>201611</v>
      </c>
      <c r="G119" s="482">
        <v>2450.66</v>
      </c>
      <c r="H119" s="112">
        <f t="shared" si="4"/>
        <v>2017</v>
      </c>
      <c r="I119" s="312">
        <v>20</v>
      </c>
      <c r="J119" s="107" t="s">
        <v>189</v>
      </c>
      <c r="K119" s="103"/>
      <c r="L119" s="101"/>
      <c r="M119" s="101">
        <f t="shared" si="5"/>
        <v>3301</v>
      </c>
      <c r="O119" s="101"/>
      <c r="P119" s="101"/>
      <c r="Q119" s="101"/>
      <c r="R119" s="101"/>
    </row>
    <row r="120" spans="2:18">
      <c r="B120" s="521" t="s">
        <v>318</v>
      </c>
      <c r="C120" s="522" t="s">
        <v>1077</v>
      </c>
      <c r="D120" s="423" t="s">
        <v>330</v>
      </c>
      <c r="E120" s="521" t="s">
        <v>1078</v>
      </c>
      <c r="F120" s="522">
        <v>201611</v>
      </c>
      <c r="G120" s="482">
        <v>-1374.65</v>
      </c>
      <c r="H120" s="112">
        <f t="shared" si="4"/>
        <v>2017</v>
      </c>
      <c r="I120" s="312">
        <v>20</v>
      </c>
      <c r="J120" s="107" t="s">
        <v>189</v>
      </c>
      <c r="K120" s="103"/>
      <c r="L120" s="101"/>
      <c r="M120" s="101">
        <f t="shared" si="5"/>
        <v>3301</v>
      </c>
      <c r="O120" s="101"/>
      <c r="P120" s="101"/>
      <c r="Q120" s="101"/>
      <c r="R120" s="101"/>
    </row>
    <row r="121" spans="2:18">
      <c r="B121" s="521" t="s">
        <v>318</v>
      </c>
      <c r="C121" s="522" t="s">
        <v>1077</v>
      </c>
      <c r="D121" s="423" t="s">
        <v>330</v>
      </c>
      <c r="E121" s="521" t="s">
        <v>1078</v>
      </c>
      <c r="F121" s="522">
        <v>201611</v>
      </c>
      <c r="G121" s="482">
        <v>-121.93</v>
      </c>
      <c r="H121" s="112">
        <f t="shared" si="4"/>
        <v>2017</v>
      </c>
      <c r="I121" s="312">
        <v>20</v>
      </c>
      <c r="J121" s="107" t="s">
        <v>189</v>
      </c>
      <c r="K121" s="103"/>
      <c r="L121" s="101"/>
      <c r="M121" s="101">
        <f t="shared" si="5"/>
        <v>3301</v>
      </c>
      <c r="O121" s="101"/>
      <c r="P121" s="101"/>
      <c r="Q121" s="101"/>
      <c r="R121" s="101"/>
    </row>
    <row r="122" spans="2:18">
      <c r="B122" s="521" t="s">
        <v>318</v>
      </c>
      <c r="C122" s="522" t="s">
        <v>1079</v>
      </c>
      <c r="D122" s="423" t="s">
        <v>330</v>
      </c>
      <c r="E122" s="521" t="s">
        <v>1080</v>
      </c>
      <c r="F122" s="522">
        <v>201611</v>
      </c>
      <c r="G122" s="482">
        <v>-1769.32</v>
      </c>
      <c r="H122" s="112">
        <f t="shared" si="4"/>
        <v>2017</v>
      </c>
      <c r="I122" s="312">
        <v>20</v>
      </c>
      <c r="J122" s="107" t="s">
        <v>189</v>
      </c>
      <c r="K122" s="103"/>
      <c r="L122" s="101"/>
      <c r="M122" s="101">
        <f t="shared" si="5"/>
        <v>3301</v>
      </c>
      <c r="O122" s="101"/>
      <c r="P122" s="101"/>
      <c r="Q122" s="101"/>
      <c r="R122" s="101"/>
    </row>
    <row r="123" spans="2:18">
      <c r="B123" s="521" t="s">
        <v>318</v>
      </c>
      <c r="C123" s="522" t="s">
        <v>1079</v>
      </c>
      <c r="D123" s="423" t="s">
        <v>330</v>
      </c>
      <c r="E123" s="521" t="s">
        <v>1080</v>
      </c>
      <c r="F123" s="522">
        <v>201611</v>
      </c>
      <c r="G123" s="482">
        <v>-118.61</v>
      </c>
      <c r="H123" s="112">
        <f t="shared" si="4"/>
        <v>2017</v>
      </c>
      <c r="I123" s="312">
        <v>20</v>
      </c>
      <c r="J123" s="107" t="s">
        <v>189</v>
      </c>
      <c r="K123" s="103"/>
      <c r="L123" s="101"/>
      <c r="M123" s="101">
        <f t="shared" si="5"/>
        <v>3301</v>
      </c>
      <c r="O123" s="101"/>
      <c r="P123" s="101"/>
      <c r="Q123" s="101"/>
      <c r="R123" s="101"/>
    </row>
    <row r="124" spans="2:18">
      <c r="B124" s="521" t="s">
        <v>318</v>
      </c>
      <c r="C124" s="522" t="s">
        <v>320</v>
      </c>
      <c r="D124" s="423" t="s">
        <v>319</v>
      </c>
      <c r="E124" s="521" t="s">
        <v>321</v>
      </c>
      <c r="F124" s="522">
        <v>201612</v>
      </c>
      <c r="G124" s="482">
        <v>334.28</v>
      </c>
      <c r="H124" s="112">
        <f t="shared" si="4"/>
        <v>2017</v>
      </c>
      <c r="I124" s="312">
        <v>20</v>
      </c>
      <c r="J124" s="107" t="s">
        <v>189</v>
      </c>
      <c r="K124" s="103"/>
      <c r="L124" s="101"/>
      <c r="M124" s="101">
        <f t="shared" si="5"/>
        <v>3301</v>
      </c>
      <c r="O124" s="101"/>
      <c r="P124" s="101"/>
      <c r="Q124" s="101"/>
      <c r="R124" s="101"/>
    </row>
    <row r="125" spans="2:18">
      <c r="B125" s="521" t="s">
        <v>318</v>
      </c>
      <c r="C125" s="522" t="s">
        <v>323</v>
      </c>
      <c r="D125" s="423" t="s">
        <v>319</v>
      </c>
      <c r="E125" s="521" t="s">
        <v>324</v>
      </c>
      <c r="F125" s="522">
        <v>201612</v>
      </c>
      <c r="G125" s="482">
        <v>2034.33</v>
      </c>
      <c r="H125" s="112">
        <f t="shared" si="4"/>
        <v>2017</v>
      </c>
      <c r="I125" s="312">
        <v>20</v>
      </c>
      <c r="J125" s="107" t="s">
        <v>189</v>
      </c>
      <c r="K125" s="103"/>
      <c r="L125" s="101"/>
      <c r="M125" s="101">
        <f t="shared" si="5"/>
        <v>3301</v>
      </c>
      <c r="O125" s="101"/>
      <c r="P125" s="101"/>
      <c r="Q125" s="101"/>
      <c r="R125" s="101"/>
    </row>
    <row r="126" spans="2:18">
      <c r="B126" s="521" t="s">
        <v>322</v>
      </c>
      <c r="C126" s="522" t="s">
        <v>325</v>
      </c>
      <c r="D126" s="423" t="s">
        <v>319</v>
      </c>
      <c r="E126" s="521" t="s">
        <v>326</v>
      </c>
      <c r="F126" s="522">
        <v>201612</v>
      </c>
      <c r="G126" s="482">
        <v>1190.7</v>
      </c>
      <c r="H126" s="112">
        <f t="shared" si="4"/>
        <v>2017</v>
      </c>
      <c r="I126" s="312">
        <v>20</v>
      </c>
      <c r="J126" s="107" t="s">
        <v>189</v>
      </c>
      <c r="K126" s="103"/>
      <c r="L126" s="101"/>
      <c r="M126" s="101">
        <f t="shared" si="5"/>
        <v>3301</v>
      </c>
      <c r="O126" s="101"/>
      <c r="P126" s="101"/>
      <c r="Q126" s="101"/>
      <c r="R126" s="101"/>
    </row>
    <row r="127" spans="2:18">
      <c r="B127" s="521" t="s">
        <v>318</v>
      </c>
      <c r="C127" s="522" t="s">
        <v>327</v>
      </c>
      <c r="D127" s="423" t="s">
        <v>319</v>
      </c>
      <c r="E127" s="521" t="s">
        <v>328</v>
      </c>
      <c r="F127" s="522">
        <v>201612</v>
      </c>
      <c r="G127" s="482">
        <v>27573.29</v>
      </c>
      <c r="H127" s="112">
        <f t="shared" si="4"/>
        <v>2017</v>
      </c>
      <c r="I127" s="312">
        <v>20</v>
      </c>
      <c r="J127" s="107" t="s">
        <v>189</v>
      </c>
      <c r="K127" s="103"/>
      <c r="L127" s="101"/>
      <c r="M127" s="101">
        <f t="shared" si="5"/>
        <v>3301</v>
      </c>
      <c r="O127" s="101"/>
      <c r="P127" s="101"/>
      <c r="Q127" s="101"/>
      <c r="R127" s="101"/>
    </row>
    <row r="128" spans="2:18">
      <c r="B128" s="521" t="s">
        <v>318</v>
      </c>
      <c r="C128" s="522" t="s">
        <v>941</v>
      </c>
      <c r="D128" s="423" t="s">
        <v>330</v>
      </c>
      <c r="E128" s="521" t="s">
        <v>942</v>
      </c>
      <c r="F128" s="522">
        <v>201612</v>
      </c>
      <c r="G128" s="482">
        <v>-142.61000000000001</v>
      </c>
      <c r="H128" s="112">
        <f t="shared" si="4"/>
        <v>2017</v>
      </c>
      <c r="I128" s="312">
        <v>20</v>
      </c>
      <c r="J128" s="107" t="s">
        <v>189</v>
      </c>
      <c r="K128" s="103"/>
      <c r="L128" s="101"/>
      <c r="M128" s="101">
        <f t="shared" si="5"/>
        <v>3301</v>
      </c>
      <c r="O128" s="101"/>
      <c r="P128" s="101"/>
      <c r="Q128" s="101"/>
      <c r="R128" s="101"/>
    </row>
    <row r="129" spans="2:18" ht="15">
      <c r="B129" s="521" t="s">
        <v>318</v>
      </c>
      <c r="C129" s="522" t="s">
        <v>941</v>
      </c>
      <c r="D129" s="424" t="s">
        <v>330</v>
      </c>
      <c r="E129" s="521" t="s">
        <v>942</v>
      </c>
      <c r="F129" s="522">
        <v>201612</v>
      </c>
      <c r="G129" s="482">
        <v>-9.99</v>
      </c>
      <c r="H129" s="112">
        <f t="shared" si="4"/>
        <v>2017</v>
      </c>
      <c r="I129" s="312">
        <v>20</v>
      </c>
      <c r="J129" s="107" t="s">
        <v>189</v>
      </c>
      <c r="K129" s="103"/>
      <c r="L129" s="101"/>
      <c r="M129" s="101">
        <f t="shared" si="5"/>
        <v>3301</v>
      </c>
      <c r="O129" s="101"/>
      <c r="P129" s="101"/>
      <c r="Q129" s="101"/>
      <c r="R129" s="101"/>
    </row>
    <row r="130" spans="2:18">
      <c r="B130" s="521" t="s">
        <v>322</v>
      </c>
      <c r="C130" s="522" t="s">
        <v>856</v>
      </c>
      <c r="D130" s="423" t="s">
        <v>330</v>
      </c>
      <c r="E130" s="521" t="s">
        <v>857</v>
      </c>
      <c r="F130" s="522">
        <v>201612</v>
      </c>
      <c r="G130" s="482">
        <v>-5935.18</v>
      </c>
      <c r="H130" s="112">
        <f t="shared" si="4"/>
        <v>2017</v>
      </c>
      <c r="I130" s="312">
        <v>20</v>
      </c>
      <c r="J130" s="107" t="s">
        <v>189</v>
      </c>
      <c r="K130" s="103"/>
      <c r="L130" s="101"/>
      <c r="M130" s="101">
        <f t="shared" si="5"/>
        <v>3301</v>
      </c>
      <c r="O130" s="101"/>
      <c r="P130" s="101"/>
      <c r="Q130" s="101"/>
      <c r="R130" s="101"/>
    </row>
    <row r="131" spans="2:18">
      <c r="B131" s="521" t="s">
        <v>322</v>
      </c>
      <c r="C131" s="522" t="s">
        <v>856</v>
      </c>
      <c r="D131" s="423" t="s">
        <v>330</v>
      </c>
      <c r="E131" s="521" t="s">
        <v>857</v>
      </c>
      <c r="F131" s="522">
        <v>201612</v>
      </c>
      <c r="G131" s="482">
        <v>0.03</v>
      </c>
      <c r="H131" s="112">
        <f t="shared" si="4"/>
        <v>2017</v>
      </c>
      <c r="I131" s="312">
        <v>20</v>
      </c>
      <c r="J131" s="107" t="s">
        <v>189</v>
      </c>
      <c r="K131" s="103"/>
      <c r="L131" s="101"/>
      <c r="M131" s="101">
        <f t="shared" si="5"/>
        <v>3301</v>
      </c>
      <c r="O131" s="101"/>
      <c r="P131" s="101"/>
      <c r="Q131" s="101"/>
      <c r="R131" s="101"/>
    </row>
    <row r="132" spans="2:18">
      <c r="B132" s="521" t="s">
        <v>318</v>
      </c>
      <c r="C132" s="522" t="s">
        <v>856</v>
      </c>
      <c r="D132" s="423" t="s">
        <v>330</v>
      </c>
      <c r="E132" s="521" t="s">
        <v>857</v>
      </c>
      <c r="F132" s="522">
        <v>201612</v>
      </c>
      <c r="G132" s="482">
        <v>-649207.34</v>
      </c>
      <c r="H132" s="112">
        <f t="shared" si="4"/>
        <v>2017</v>
      </c>
      <c r="I132" s="312">
        <v>20</v>
      </c>
      <c r="J132" s="107" t="s">
        <v>189</v>
      </c>
      <c r="K132" s="103"/>
      <c r="L132" s="101"/>
      <c r="M132" s="101">
        <f t="shared" si="5"/>
        <v>3301</v>
      </c>
      <c r="O132" s="101"/>
      <c r="P132" s="101"/>
      <c r="Q132" s="101"/>
      <c r="R132" s="101"/>
    </row>
    <row r="133" spans="2:18">
      <c r="B133" s="521" t="s">
        <v>318</v>
      </c>
      <c r="C133" s="522" t="s">
        <v>856</v>
      </c>
      <c r="D133" s="423" t="s">
        <v>330</v>
      </c>
      <c r="E133" s="521" t="s">
        <v>857</v>
      </c>
      <c r="F133" s="522">
        <v>201612</v>
      </c>
      <c r="G133" s="482">
        <v>-27798.02</v>
      </c>
      <c r="H133" s="112">
        <f t="shared" si="4"/>
        <v>2017</v>
      </c>
      <c r="I133" s="312">
        <v>20</v>
      </c>
      <c r="J133" s="107" t="s">
        <v>189</v>
      </c>
      <c r="K133" s="103"/>
      <c r="L133" s="101"/>
      <c r="M133" s="101">
        <f t="shared" si="5"/>
        <v>3301</v>
      </c>
      <c r="O133" s="101"/>
      <c r="P133" s="101"/>
      <c r="Q133" s="101"/>
      <c r="R133" s="101"/>
    </row>
    <row r="134" spans="2:18">
      <c r="B134" s="521" t="s">
        <v>318</v>
      </c>
      <c r="C134" s="522" t="s">
        <v>856</v>
      </c>
      <c r="D134" s="423" t="s">
        <v>330</v>
      </c>
      <c r="E134" s="521" t="s">
        <v>857</v>
      </c>
      <c r="F134" s="522">
        <v>201612</v>
      </c>
      <c r="G134" s="482">
        <v>44958.98</v>
      </c>
      <c r="H134" s="112">
        <f t="shared" ref="H134:H195" si="6">IF(F134&gt;$H$5,0+2017,0+2016)</f>
        <v>2017</v>
      </c>
      <c r="I134" s="312">
        <v>20</v>
      </c>
      <c r="J134" s="107" t="s">
        <v>189</v>
      </c>
      <c r="K134" s="103"/>
      <c r="L134" s="101"/>
      <c r="M134" s="101">
        <f t="shared" ref="M134:M195" si="7">IF(LEFT(D134,2)="34",3401,IF(LEFT(D134,2)="33",3301))</f>
        <v>3301</v>
      </c>
      <c r="O134" s="101"/>
      <c r="P134" s="101"/>
      <c r="Q134" s="101"/>
      <c r="R134" s="101"/>
    </row>
    <row r="135" spans="2:18">
      <c r="B135" s="521" t="s">
        <v>318</v>
      </c>
      <c r="C135" s="522" t="s">
        <v>856</v>
      </c>
      <c r="D135" s="423" t="s">
        <v>330</v>
      </c>
      <c r="E135" s="521" t="s">
        <v>857</v>
      </c>
      <c r="F135" s="522">
        <v>201612</v>
      </c>
      <c r="G135" s="482">
        <v>673160.64</v>
      </c>
      <c r="H135" s="112">
        <f t="shared" si="6"/>
        <v>2017</v>
      </c>
      <c r="I135" s="312">
        <v>20</v>
      </c>
      <c r="J135" s="107" t="s">
        <v>189</v>
      </c>
      <c r="K135" s="103"/>
      <c r="L135" s="101"/>
      <c r="M135" s="101">
        <f t="shared" si="7"/>
        <v>3301</v>
      </c>
      <c r="O135" s="101"/>
      <c r="P135" s="101"/>
      <c r="Q135" s="101"/>
      <c r="R135" s="101"/>
    </row>
    <row r="136" spans="2:18">
      <c r="B136" s="521" t="s">
        <v>318</v>
      </c>
      <c r="C136" s="522" t="s">
        <v>800</v>
      </c>
      <c r="D136" s="423" t="s">
        <v>330</v>
      </c>
      <c r="E136" s="521" t="s">
        <v>830</v>
      </c>
      <c r="F136" s="522">
        <v>201612</v>
      </c>
      <c r="G136" s="482">
        <v>-89532.41</v>
      </c>
      <c r="H136" s="112">
        <f t="shared" si="6"/>
        <v>2017</v>
      </c>
      <c r="I136" s="312">
        <v>20</v>
      </c>
      <c r="J136" s="107" t="s">
        <v>189</v>
      </c>
      <c r="K136" s="103"/>
      <c r="L136" s="101"/>
      <c r="M136" s="101">
        <f t="shared" si="7"/>
        <v>3301</v>
      </c>
      <c r="O136" s="101"/>
      <c r="P136" s="101"/>
      <c r="Q136" s="101"/>
      <c r="R136" s="101"/>
    </row>
    <row r="137" spans="2:18">
      <c r="B137" s="521" t="s">
        <v>318</v>
      </c>
      <c r="C137" s="522" t="s">
        <v>800</v>
      </c>
      <c r="D137" s="423" t="s">
        <v>330</v>
      </c>
      <c r="E137" s="521" t="s">
        <v>830</v>
      </c>
      <c r="F137" s="522">
        <v>201612</v>
      </c>
      <c r="G137" s="482">
        <v>-5018.29</v>
      </c>
      <c r="H137" s="112">
        <f t="shared" si="6"/>
        <v>2017</v>
      </c>
      <c r="I137" s="312">
        <v>20</v>
      </c>
      <c r="J137" s="107" t="s">
        <v>189</v>
      </c>
      <c r="K137" s="103"/>
      <c r="L137" s="101"/>
      <c r="M137" s="101">
        <f t="shared" si="7"/>
        <v>3301</v>
      </c>
      <c r="O137" s="101"/>
      <c r="P137" s="101"/>
      <c r="Q137" s="101"/>
      <c r="R137" s="101"/>
    </row>
    <row r="138" spans="2:18">
      <c r="B138" s="521" t="s">
        <v>318</v>
      </c>
      <c r="C138" s="522" t="s">
        <v>800</v>
      </c>
      <c r="D138" s="423" t="s">
        <v>330</v>
      </c>
      <c r="E138" s="521" t="s">
        <v>830</v>
      </c>
      <c r="F138" s="522">
        <v>201612</v>
      </c>
      <c r="G138" s="482">
        <v>10100.209999999999</v>
      </c>
      <c r="H138" s="112">
        <f t="shared" si="6"/>
        <v>2017</v>
      </c>
      <c r="I138" s="312">
        <v>20</v>
      </c>
      <c r="J138" s="107" t="s">
        <v>189</v>
      </c>
      <c r="K138" s="103"/>
      <c r="L138" s="101"/>
      <c r="M138" s="101">
        <f t="shared" si="7"/>
        <v>3301</v>
      </c>
      <c r="O138" s="101"/>
      <c r="P138" s="101"/>
      <c r="Q138" s="101"/>
      <c r="R138" s="101"/>
    </row>
    <row r="139" spans="2:18">
      <c r="B139" s="521" t="s">
        <v>318</v>
      </c>
      <c r="C139" s="522" t="s">
        <v>800</v>
      </c>
      <c r="D139" s="423" t="s">
        <v>330</v>
      </c>
      <c r="E139" s="521" t="s">
        <v>830</v>
      </c>
      <c r="F139" s="522">
        <v>201612</v>
      </c>
      <c r="G139" s="482">
        <v>71467.740000000005</v>
      </c>
      <c r="H139" s="112">
        <f t="shared" si="6"/>
        <v>2017</v>
      </c>
      <c r="I139" s="312">
        <v>20</v>
      </c>
      <c r="J139" s="107" t="s">
        <v>189</v>
      </c>
      <c r="K139" s="103"/>
      <c r="L139" s="101"/>
      <c r="M139" s="101">
        <f t="shared" si="7"/>
        <v>3301</v>
      </c>
      <c r="O139" s="101"/>
      <c r="P139" s="101"/>
      <c r="Q139" s="101"/>
      <c r="R139" s="101"/>
    </row>
    <row r="140" spans="2:18">
      <c r="B140" s="521" t="s">
        <v>318</v>
      </c>
      <c r="C140" s="522" t="s">
        <v>629</v>
      </c>
      <c r="D140" s="423" t="s">
        <v>330</v>
      </c>
      <c r="E140" s="521" t="s">
        <v>630</v>
      </c>
      <c r="F140" s="522">
        <v>201612</v>
      </c>
      <c r="G140" s="482">
        <v>0.41</v>
      </c>
      <c r="H140" s="112">
        <f t="shared" si="6"/>
        <v>2017</v>
      </c>
      <c r="I140" s="312">
        <v>20</v>
      </c>
      <c r="J140" s="107" t="s">
        <v>189</v>
      </c>
      <c r="K140" s="103"/>
      <c r="L140" s="101"/>
      <c r="M140" s="101">
        <f t="shared" si="7"/>
        <v>3301</v>
      </c>
      <c r="O140" s="101"/>
      <c r="P140" s="101"/>
      <c r="Q140" s="101"/>
      <c r="R140" s="101"/>
    </row>
    <row r="141" spans="2:18">
      <c r="B141" s="521" t="s">
        <v>318</v>
      </c>
      <c r="C141" s="522" t="s">
        <v>629</v>
      </c>
      <c r="D141" s="423" t="s">
        <v>330</v>
      </c>
      <c r="E141" s="521" t="s">
        <v>630</v>
      </c>
      <c r="F141" s="522">
        <v>201612</v>
      </c>
      <c r="G141" s="482">
        <v>20.149999999999999</v>
      </c>
      <c r="H141" s="112">
        <f t="shared" si="6"/>
        <v>2017</v>
      </c>
      <c r="I141" s="312">
        <v>20</v>
      </c>
      <c r="J141" s="107" t="s">
        <v>189</v>
      </c>
      <c r="K141" s="103"/>
      <c r="L141" s="101"/>
      <c r="M141" s="101">
        <f t="shared" si="7"/>
        <v>3301</v>
      </c>
      <c r="O141" s="101"/>
      <c r="P141" s="101"/>
      <c r="Q141" s="101"/>
      <c r="R141" s="101"/>
    </row>
    <row r="142" spans="2:18">
      <c r="B142" s="521" t="s">
        <v>318</v>
      </c>
      <c r="C142" s="522" t="s">
        <v>838</v>
      </c>
      <c r="D142" s="423" t="s">
        <v>330</v>
      </c>
      <c r="E142" s="521" t="s">
        <v>1015</v>
      </c>
      <c r="F142" s="522">
        <v>201612</v>
      </c>
      <c r="G142" s="482">
        <v>-92226.54</v>
      </c>
      <c r="H142" s="112">
        <f t="shared" si="6"/>
        <v>2017</v>
      </c>
      <c r="I142" s="312">
        <v>20</v>
      </c>
      <c r="J142" s="107" t="s">
        <v>189</v>
      </c>
      <c r="K142" s="103"/>
      <c r="L142" s="101"/>
      <c r="M142" s="101">
        <f t="shared" si="7"/>
        <v>3301</v>
      </c>
      <c r="O142" s="101"/>
      <c r="P142" s="101"/>
      <c r="Q142" s="101"/>
      <c r="R142" s="101"/>
    </row>
    <row r="143" spans="2:18">
      <c r="B143" s="521" t="s">
        <v>318</v>
      </c>
      <c r="C143" s="522" t="s">
        <v>838</v>
      </c>
      <c r="D143" s="423" t="s">
        <v>330</v>
      </c>
      <c r="E143" s="521" t="s">
        <v>1015</v>
      </c>
      <c r="F143" s="522">
        <v>201612</v>
      </c>
      <c r="G143" s="482">
        <v>82982.69</v>
      </c>
      <c r="H143" s="112">
        <f t="shared" si="6"/>
        <v>2017</v>
      </c>
      <c r="I143" s="312">
        <v>20</v>
      </c>
      <c r="J143" s="107" t="s">
        <v>189</v>
      </c>
      <c r="K143" s="103"/>
      <c r="L143" s="101"/>
      <c r="M143" s="101">
        <f t="shared" si="7"/>
        <v>3301</v>
      </c>
      <c r="O143" s="101"/>
      <c r="P143" s="101"/>
      <c r="Q143" s="101"/>
      <c r="R143" s="101"/>
    </row>
    <row r="144" spans="2:18">
      <c r="B144" s="521" t="s">
        <v>318</v>
      </c>
      <c r="C144" s="522" t="s">
        <v>661</v>
      </c>
      <c r="D144" s="423" t="s">
        <v>330</v>
      </c>
      <c r="E144" s="521" t="s">
        <v>662</v>
      </c>
      <c r="F144" s="522">
        <v>201612</v>
      </c>
      <c r="G144" s="482">
        <v>-23.41</v>
      </c>
      <c r="H144" s="112">
        <f t="shared" si="6"/>
        <v>2017</v>
      </c>
      <c r="I144" s="312">
        <v>20</v>
      </c>
      <c r="J144" s="107" t="s">
        <v>189</v>
      </c>
      <c r="K144" s="103"/>
      <c r="L144" s="101"/>
      <c r="M144" s="101">
        <f t="shared" si="7"/>
        <v>3301</v>
      </c>
      <c r="O144" s="101"/>
      <c r="P144" s="101"/>
      <c r="Q144" s="101"/>
      <c r="R144" s="101"/>
    </row>
    <row r="145" spans="2:18">
      <c r="B145" s="521" t="s">
        <v>318</v>
      </c>
      <c r="C145" s="522" t="s">
        <v>661</v>
      </c>
      <c r="D145" s="423" t="s">
        <v>330</v>
      </c>
      <c r="E145" s="521" t="s">
        <v>662</v>
      </c>
      <c r="F145" s="522">
        <v>201612</v>
      </c>
      <c r="G145" s="482">
        <v>-1.55</v>
      </c>
      <c r="H145" s="112">
        <f t="shared" si="6"/>
        <v>2017</v>
      </c>
      <c r="I145" s="312">
        <v>20</v>
      </c>
      <c r="J145" s="107" t="s">
        <v>189</v>
      </c>
      <c r="K145" s="103"/>
      <c r="L145" s="101"/>
      <c r="M145" s="101">
        <f t="shared" si="7"/>
        <v>3301</v>
      </c>
      <c r="O145" s="101"/>
      <c r="P145" s="101"/>
      <c r="Q145" s="101"/>
      <c r="R145" s="101"/>
    </row>
    <row r="146" spans="2:18">
      <c r="B146" s="521" t="s">
        <v>318</v>
      </c>
      <c r="C146" s="522" t="s">
        <v>801</v>
      </c>
      <c r="D146" s="423" t="s">
        <v>330</v>
      </c>
      <c r="E146" s="521" t="s">
        <v>802</v>
      </c>
      <c r="F146" s="522">
        <v>201612</v>
      </c>
      <c r="G146" s="482">
        <v>-23.8</v>
      </c>
      <c r="H146" s="112">
        <f t="shared" si="6"/>
        <v>2017</v>
      </c>
      <c r="I146" s="312">
        <v>20</v>
      </c>
      <c r="J146" s="107" t="s">
        <v>189</v>
      </c>
      <c r="K146" s="103"/>
      <c r="L146" s="101"/>
      <c r="M146" s="101">
        <f t="shared" si="7"/>
        <v>3301</v>
      </c>
      <c r="O146" s="101"/>
      <c r="P146" s="101"/>
      <c r="Q146" s="101"/>
      <c r="R146" s="101"/>
    </row>
    <row r="147" spans="2:18">
      <c r="B147" s="521" t="s">
        <v>318</v>
      </c>
      <c r="C147" s="522" t="s">
        <v>801</v>
      </c>
      <c r="D147" s="423" t="s">
        <v>330</v>
      </c>
      <c r="E147" s="521" t="s">
        <v>802</v>
      </c>
      <c r="F147" s="522">
        <v>201612</v>
      </c>
      <c r="G147" s="482">
        <v>-11.02</v>
      </c>
      <c r="H147" s="112">
        <f t="shared" si="6"/>
        <v>2017</v>
      </c>
      <c r="I147" s="312">
        <v>20</v>
      </c>
      <c r="J147" s="107" t="s">
        <v>189</v>
      </c>
      <c r="K147" s="103"/>
      <c r="L147" s="101"/>
      <c r="M147" s="101">
        <f t="shared" si="7"/>
        <v>3301</v>
      </c>
      <c r="O147" s="101"/>
      <c r="P147" s="101"/>
      <c r="Q147" s="101"/>
      <c r="R147" s="101"/>
    </row>
    <row r="148" spans="2:18">
      <c r="B148" s="521" t="s">
        <v>318</v>
      </c>
      <c r="C148" s="522" t="s">
        <v>803</v>
      </c>
      <c r="D148" s="423" t="s">
        <v>330</v>
      </c>
      <c r="E148" s="521" t="s">
        <v>804</v>
      </c>
      <c r="F148" s="522">
        <v>201612</v>
      </c>
      <c r="G148" s="482">
        <v>-77.58</v>
      </c>
      <c r="H148" s="112">
        <f t="shared" si="6"/>
        <v>2017</v>
      </c>
      <c r="I148" s="312">
        <v>20</v>
      </c>
      <c r="J148" s="107" t="s">
        <v>189</v>
      </c>
      <c r="K148" s="103"/>
      <c r="L148" s="101"/>
      <c r="M148" s="101">
        <f t="shared" si="7"/>
        <v>3301</v>
      </c>
      <c r="O148" s="101"/>
      <c r="P148" s="101"/>
      <c r="Q148" s="101"/>
      <c r="R148" s="101"/>
    </row>
    <row r="149" spans="2:18">
      <c r="B149" s="521" t="s">
        <v>318</v>
      </c>
      <c r="C149" s="522" t="s">
        <v>803</v>
      </c>
      <c r="D149" s="423" t="s">
        <v>330</v>
      </c>
      <c r="E149" s="521" t="s">
        <v>804</v>
      </c>
      <c r="F149" s="522">
        <v>201612</v>
      </c>
      <c r="G149" s="482">
        <v>-48.74</v>
      </c>
      <c r="H149" s="112">
        <f t="shared" si="6"/>
        <v>2017</v>
      </c>
      <c r="I149" s="312">
        <v>20</v>
      </c>
      <c r="J149" s="107" t="s">
        <v>189</v>
      </c>
      <c r="K149" s="103"/>
      <c r="L149" s="101"/>
      <c r="M149" s="101">
        <f t="shared" si="7"/>
        <v>3301</v>
      </c>
      <c r="O149" s="101"/>
      <c r="P149" s="101"/>
      <c r="Q149" s="101"/>
      <c r="R149" s="101"/>
    </row>
    <row r="150" spans="2:18">
      <c r="B150" s="521" t="s">
        <v>318</v>
      </c>
      <c r="C150" s="522" t="s">
        <v>805</v>
      </c>
      <c r="D150" s="423" t="s">
        <v>330</v>
      </c>
      <c r="E150" s="521" t="s">
        <v>806</v>
      </c>
      <c r="F150" s="522">
        <v>201612</v>
      </c>
      <c r="G150" s="482">
        <v>0.1</v>
      </c>
      <c r="H150" s="112">
        <f t="shared" si="6"/>
        <v>2017</v>
      </c>
      <c r="I150" s="312">
        <v>20</v>
      </c>
      <c r="J150" s="107" t="s">
        <v>189</v>
      </c>
      <c r="K150" s="103"/>
      <c r="L150" s="101"/>
      <c r="M150" s="101">
        <f t="shared" si="7"/>
        <v>3301</v>
      </c>
      <c r="O150" s="101"/>
      <c r="P150" s="101"/>
      <c r="Q150" s="101"/>
      <c r="R150" s="101"/>
    </row>
    <row r="151" spans="2:18">
      <c r="B151" s="521" t="s">
        <v>318</v>
      </c>
      <c r="C151" s="522" t="s">
        <v>805</v>
      </c>
      <c r="D151" s="423" t="s">
        <v>330</v>
      </c>
      <c r="E151" s="521" t="s">
        <v>806</v>
      </c>
      <c r="F151" s="522">
        <v>201612</v>
      </c>
      <c r="G151" s="482">
        <v>0.86</v>
      </c>
      <c r="H151" s="112">
        <f t="shared" si="6"/>
        <v>2017</v>
      </c>
      <c r="I151" s="312">
        <v>20</v>
      </c>
      <c r="J151" s="107" t="s">
        <v>189</v>
      </c>
      <c r="K151" s="103"/>
      <c r="L151" s="101"/>
      <c r="M151" s="101">
        <f t="shared" si="7"/>
        <v>3301</v>
      </c>
      <c r="O151" s="101"/>
      <c r="P151" s="101"/>
      <c r="Q151" s="101"/>
      <c r="R151" s="101"/>
    </row>
    <row r="152" spans="2:18">
      <c r="B152" s="521" t="s">
        <v>318</v>
      </c>
      <c r="C152" s="522" t="s">
        <v>1067</v>
      </c>
      <c r="D152" s="423" t="s">
        <v>330</v>
      </c>
      <c r="E152" s="521" t="s">
        <v>1068</v>
      </c>
      <c r="F152" s="522">
        <v>201612</v>
      </c>
      <c r="G152" s="482">
        <v>21.36</v>
      </c>
      <c r="H152" s="112">
        <f t="shared" si="6"/>
        <v>2017</v>
      </c>
      <c r="I152" s="312">
        <v>20</v>
      </c>
      <c r="J152" s="107" t="s">
        <v>189</v>
      </c>
      <c r="K152" s="103"/>
      <c r="L152" s="101"/>
      <c r="M152" s="101">
        <f t="shared" si="7"/>
        <v>3301</v>
      </c>
      <c r="O152" s="101"/>
      <c r="P152" s="101"/>
      <c r="Q152" s="101"/>
      <c r="R152" s="101"/>
    </row>
    <row r="153" spans="2:18">
      <c r="B153" s="521" t="s">
        <v>318</v>
      </c>
      <c r="C153" s="522" t="s">
        <v>1067</v>
      </c>
      <c r="D153" s="423" t="s">
        <v>330</v>
      </c>
      <c r="E153" s="521" t="s">
        <v>1068</v>
      </c>
      <c r="F153" s="522">
        <v>201612</v>
      </c>
      <c r="G153" s="482">
        <v>987.74</v>
      </c>
      <c r="H153" s="112">
        <f t="shared" si="6"/>
        <v>2017</v>
      </c>
      <c r="I153" s="312">
        <v>20</v>
      </c>
      <c r="J153" s="107" t="s">
        <v>189</v>
      </c>
      <c r="K153" s="103"/>
      <c r="L153" s="101"/>
      <c r="M153" s="101">
        <f t="shared" si="7"/>
        <v>3301</v>
      </c>
      <c r="O153" s="101"/>
      <c r="P153" s="101"/>
      <c r="Q153" s="101"/>
      <c r="R153" s="101"/>
    </row>
    <row r="154" spans="2:18">
      <c r="B154" s="521" t="s">
        <v>318</v>
      </c>
      <c r="C154" s="522" t="s">
        <v>858</v>
      </c>
      <c r="D154" s="423" t="s">
        <v>329</v>
      </c>
      <c r="E154" s="521" t="s">
        <v>859</v>
      </c>
      <c r="F154" s="522">
        <v>201612</v>
      </c>
      <c r="G154" s="482">
        <v>-90.77</v>
      </c>
      <c r="H154" s="112">
        <f t="shared" si="6"/>
        <v>2017</v>
      </c>
      <c r="I154" s="312">
        <v>20</v>
      </c>
      <c r="J154" s="107" t="s">
        <v>189</v>
      </c>
      <c r="K154" s="103"/>
      <c r="L154" s="101"/>
      <c r="M154" s="101">
        <f t="shared" si="7"/>
        <v>3301</v>
      </c>
      <c r="O154" s="101"/>
      <c r="P154" s="101"/>
      <c r="Q154" s="101"/>
      <c r="R154" s="101"/>
    </row>
    <row r="155" spans="2:18">
      <c r="B155" s="521" t="s">
        <v>318</v>
      </c>
      <c r="C155" s="522" t="s">
        <v>858</v>
      </c>
      <c r="D155" s="423" t="s">
        <v>329</v>
      </c>
      <c r="E155" s="521" t="s">
        <v>859</v>
      </c>
      <c r="F155" s="522">
        <v>201612</v>
      </c>
      <c r="G155" s="482">
        <v>-70.510000000000005</v>
      </c>
      <c r="H155" s="112">
        <f t="shared" si="6"/>
        <v>2017</v>
      </c>
      <c r="I155" s="312">
        <v>20</v>
      </c>
      <c r="J155" s="107" t="s">
        <v>189</v>
      </c>
      <c r="K155" s="103"/>
      <c r="L155" s="101"/>
      <c r="M155" s="101">
        <f t="shared" si="7"/>
        <v>3301</v>
      </c>
      <c r="O155" s="101"/>
      <c r="P155" s="101"/>
      <c r="Q155" s="101"/>
      <c r="R155" s="101"/>
    </row>
    <row r="156" spans="2:18">
      <c r="B156" s="521" t="s">
        <v>318</v>
      </c>
      <c r="C156" s="522" t="s">
        <v>808</v>
      </c>
      <c r="D156" s="423" t="s">
        <v>329</v>
      </c>
      <c r="E156" s="521" t="s">
        <v>809</v>
      </c>
      <c r="F156" s="522">
        <v>201612</v>
      </c>
      <c r="G156" s="482">
        <v>-46.7</v>
      </c>
      <c r="H156" s="112">
        <f t="shared" si="6"/>
        <v>2017</v>
      </c>
      <c r="I156" s="312">
        <v>20</v>
      </c>
      <c r="J156" s="107" t="s">
        <v>189</v>
      </c>
      <c r="K156" s="103"/>
      <c r="L156" s="101"/>
      <c r="M156" s="101">
        <f t="shared" si="7"/>
        <v>3301</v>
      </c>
      <c r="O156" s="101"/>
      <c r="P156" s="101"/>
      <c r="Q156" s="101"/>
      <c r="R156" s="101"/>
    </row>
    <row r="157" spans="2:18">
      <c r="B157" s="521" t="s">
        <v>318</v>
      </c>
      <c r="C157" s="522" t="s">
        <v>808</v>
      </c>
      <c r="D157" s="423" t="s">
        <v>329</v>
      </c>
      <c r="E157" s="521" t="s">
        <v>809</v>
      </c>
      <c r="F157" s="522">
        <v>201612</v>
      </c>
      <c r="G157" s="482">
        <v>-33.96</v>
      </c>
      <c r="H157" s="112">
        <f t="shared" si="6"/>
        <v>2017</v>
      </c>
      <c r="I157" s="312">
        <v>20</v>
      </c>
      <c r="J157" s="107" t="s">
        <v>189</v>
      </c>
      <c r="K157" s="103"/>
      <c r="L157" s="101"/>
      <c r="M157" s="101">
        <f t="shared" si="7"/>
        <v>3301</v>
      </c>
      <c r="O157" s="101"/>
      <c r="P157" s="101"/>
      <c r="Q157" s="101"/>
      <c r="R157" s="101"/>
    </row>
    <row r="158" spans="2:18">
      <c r="B158" s="521" t="s">
        <v>322</v>
      </c>
      <c r="C158" s="522" t="s">
        <v>667</v>
      </c>
      <c r="D158" s="423" t="s">
        <v>329</v>
      </c>
      <c r="E158" s="521" t="s">
        <v>668</v>
      </c>
      <c r="F158" s="522">
        <v>201612</v>
      </c>
      <c r="G158" s="482">
        <v>-3.68</v>
      </c>
      <c r="H158" s="112">
        <f t="shared" si="6"/>
        <v>2017</v>
      </c>
      <c r="I158" s="312">
        <v>20</v>
      </c>
      <c r="J158" s="107" t="s">
        <v>189</v>
      </c>
      <c r="K158" s="103"/>
      <c r="L158" s="101"/>
      <c r="M158" s="101">
        <f t="shared" si="7"/>
        <v>3301</v>
      </c>
      <c r="O158" s="101"/>
      <c r="P158" s="101"/>
      <c r="Q158" s="101"/>
      <c r="R158" s="101"/>
    </row>
    <row r="159" spans="2:18">
      <c r="B159" s="521" t="s">
        <v>318</v>
      </c>
      <c r="C159" s="522" t="s">
        <v>667</v>
      </c>
      <c r="D159" s="423" t="s">
        <v>329</v>
      </c>
      <c r="E159" s="521" t="s">
        <v>668</v>
      </c>
      <c r="F159" s="522">
        <v>201612</v>
      </c>
      <c r="G159" s="482">
        <v>-50.23</v>
      </c>
      <c r="H159" s="112">
        <f t="shared" si="6"/>
        <v>2017</v>
      </c>
      <c r="I159" s="312">
        <v>20</v>
      </c>
      <c r="J159" s="107" t="s">
        <v>189</v>
      </c>
      <c r="K159" s="103"/>
      <c r="L159" s="101"/>
      <c r="M159" s="101">
        <f t="shared" si="7"/>
        <v>3301</v>
      </c>
      <c r="O159" s="101"/>
      <c r="P159" s="101"/>
      <c r="Q159" s="101"/>
      <c r="R159" s="101"/>
    </row>
    <row r="160" spans="2:18">
      <c r="B160" s="521" t="s">
        <v>318</v>
      </c>
      <c r="C160" s="522" t="s">
        <v>667</v>
      </c>
      <c r="D160" s="423" t="s">
        <v>329</v>
      </c>
      <c r="E160" s="521" t="s">
        <v>668</v>
      </c>
      <c r="F160" s="522">
        <v>201612</v>
      </c>
      <c r="G160" s="482">
        <v>-26.75</v>
      </c>
      <c r="H160" s="112">
        <f t="shared" si="6"/>
        <v>2017</v>
      </c>
      <c r="I160" s="312">
        <v>20</v>
      </c>
      <c r="J160" s="107" t="s">
        <v>189</v>
      </c>
      <c r="K160" s="103"/>
      <c r="L160" s="101"/>
      <c r="M160" s="101">
        <f t="shared" si="7"/>
        <v>3301</v>
      </c>
      <c r="O160" s="101"/>
      <c r="P160" s="101"/>
      <c r="Q160" s="101"/>
      <c r="R160" s="101"/>
    </row>
    <row r="161" spans="2:18">
      <c r="B161" s="521" t="s">
        <v>318</v>
      </c>
      <c r="C161" s="522" t="s">
        <v>1033</v>
      </c>
      <c r="D161" s="423" t="s">
        <v>330</v>
      </c>
      <c r="E161" s="521" t="s">
        <v>1034</v>
      </c>
      <c r="F161" s="522">
        <v>201612</v>
      </c>
      <c r="G161" s="482">
        <v>26.22</v>
      </c>
      <c r="H161" s="112">
        <f t="shared" si="6"/>
        <v>2017</v>
      </c>
      <c r="I161" s="312">
        <v>20</v>
      </c>
      <c r="J161" s="107" t="s">
        <v>189</v>
      </c>
      <c r="K161" s="103"/>
      <c r="L161" s="101"/>
      <c r="M161" s="101">
        <f t="shared" si="7"/>
        <v>3301</v>
      </c>
      <c r="O161" s="101"/>
      <c r="P161" s="101"/>
      <c r="Q161" s="101"/>
      <c r="R161" s="101"/>
    </row>
    <row r="162" spans="2:18">
      <c r="B162" s="521" t="s">
        <v>318</v>
      </c>
      <c r="C162" s="522" t="s">
        <v>1033</v>
      </c>
      <c r="D162" s="423" t="s">
        <v>330</v>
      </c>
      <c r="E162" s="521" t="s">
        <v>1034</v>
      </c>
      <c r="F162" s="522">
        <v>201612</v>
      </c>
      <c r="G162" s="482">
        <v>477.91</v>
      </c>
      <c r="H162" s="112">
        <f t="shared" si="6"/>
        <v>2017</v>
      </c>
      <c r="I162" s="312">
        <v>20</v>
      </c>
      <c r="J162" s="107" t="s">
        <v>189</v>
      </c>
      <c r="K162" s="103"/>
      <c r="L162" s="101"/>
      <c r="M162" s="101">
        <f t="shared" si="7"/>
        <v>3301</v>
      </c>
      <c r="O162" s="101"/>
      <c r="P162" s="101"/>
      <c r="Q162" s="101"/>
      <c r="R162" s="101"/>
    </row>
    <row r="163" spans="2:18">
      <c r="B163" s="521" t="s">
        <v>318</v>
      </c>
      <c r="C163" s="522" t="s">
        <v>832</v>
      </c>
      <c r="D163" s="423" t="s">
        <v>330</v>
      </c>
      <c r="E163" s="521" t="s">
        <v>833</v>
      </c>
      <c r="F163" s="522">
        <v>201612</v>
      </c>
      <c r="G163" s="482">
        <v>0.13</v>
      </c>
      <c r="H163" s="112">
        <f t="shared" si="6"/>
        <v>2017</v>
      </c>
      <c r="I163" s="312">
        <v>20</v>
      </c>
      <c r="J163" s="107" t="s">
        <v>189</v>
      </c>
      <c r="K163" s="103"/>
      <c r="L163" s="101"/>
      <c r="M163" s="101">
        <f t="shared" si="7"/>
        <v>3301</v>
      </c>
      <c r="O163" s="101"/>
      <c r="P163" s="101"/>
      <c r="Q163" s="101"/>
      <c r="R163" s="101"/>
    </row>
    <row r="164" spans="2:18">
      <c r="B164" s="521" t="s">
        <v>318</v>
      </c>
      <c r="C164" s="522" t="s">
        <v>832</v>
      </c>
      <c r="D164" s="423" t="s">
        <v>330</v>
      </c>
      <c r="E164" s="521" t="s">
        <v>833</v>
      </c>
      <c r="F164" s="522">
        <v>201612</v>
      </c>
      <c r="G164" s="482">
        <v>6.18</v>
      </c>
      <c r="H164" s="112">
        <f t="shared" si="6"/>
        <v>2017</v>
      </c>
      <c r="I164" s="312">
        <v>20</v>
      </c>
      <c r="J164" s="107" t="s">
        <v>189</v>
      </c>
      <c r="K164" s="103"/>
      <c r="L164" s="101"/>
      <c r="M164" s="101">
        <f t="shared" si="7"/>
        <v>3301</v>
      </c>
      <c r="O164" s="101"/>
      <c r="P164" s="101"/>
      <c r="Q164" s="101"/>
      <c r="R164" s="101"/>
    </row>
    <row r="165" spans="2:18">
      <c r="B165" s="521" t="s">
        <v>318</v>
      </c>
      <c r="C165" s="522" t="s">
        <v>947</v>
      </c>
      <c r="D165" s="423" t="s">
        <v>330</v>
      </c>
      <c r="E165" s="521" t="s">
        <v>948</v>
      </c>
      <c r="F165" s="522">
        <v>201612</v>
      </c>
      <c r="G165" s="482">
        <v>7.51</v>
      </c>
      <c r="H165" s="112">
        <f t="shared" si="6"/>
        <v>2017</v>
      </c>
      <c r="I165" s="312">
        <v>20</v>
      </c>
      <c r="J165" s="107" t="s">
        <v>189</v>
      </c>
      <c r="K165" s="103"/>
      <c r="L165" s="101"/>
      <c r="M165" s="101">
        <f t="shared" si="7"/>
        <v>3301</v>
      </c>
      <c r="O165" s="101"/>
      <c r="P165" s="101"/>
      <c r="Q165" s="101"/>
      <c r="R165" s="101"/>
    </row>
    <row r="166" spans="2:18">
      <c r="B166" s="521" t="s">
        <v>318</v>
      </c>
      <c r="C166" s="522" t="s">
        <v>947</v>
      </c>
      <c r="D166" s="423" t="s">
        <v>330</v>
      </c>
      <c r="E166" s="521" t="s">
        <v>948</v>
      </c>
      <c r="F166" s="522">
        <v>201612</v>
      </c>
      <c r="G166" s="482">
        <v>209.41</v>
      </c>
      <c r="H166" s="112">
        <f t="shared" si="6"/>
        <v>2017</v>
      </c>
      <c r="I166" s="312">
        <v>20</v>
      </c>
      <c r="J166" s="107" t="s">
        <v>189</v>
      </c>
      <c r="K166" s="103"/>
      <c r="L166" s="101"/>
      <c r="M166" s="101">
        <f t="shared" si="7"/>
        <v>3301</v>
      </c>
      <c r="O166" s="101"/>
      <c r="P166" s="101"/>
      <c r="Q166" s="101"/>
      <c r="R166" s="101"/>
    </row>
    <row r="167" spans="2:18">
      <c r="B167" s="521" t="s">
        <v>318</v>
      </c>
      <c r="C167" s="522" t="s">
        <v>834</v>
      </c>
      <c r="D167" s="423" t="s">
        <v>330</v>
      </c>
      <c r="E167" s="521" t="s">
        <v>835</v>
      </c>
      <c r="F167" s="522">
        <v>201612</v>
      </c>
      <c r="G167" s="482">
        <v>-456957.15</v>
      </c>
      <c r="H167" s="112">
        <f t="shared" si="6"/>
        <v>2017</v>
      </c>
      <c r="I167" s="312">
        <v>20</v>
      </c>
      <c r="J167" s="107" t="s">
        <v>189</v>
      </c>
      <c r="K167" s="103"/>
      <c r="L167" s="101"/>
      <c r="M167" s="101">
        <f t="shared" si="7"/>
        <v>3301</v>
      </c>
      <c r="O167" s="101"/>
      <c r="P167" s="101"/>
      <c r="Q167" s="101"/>
      <c r="R167" s="101"/>
    </row>
    <row r="168" spans="2:18">
      <c r="B168" s="521" t="s">
        <v>318</v>
      </c>
      <c r="C168" s="522" t="s">
        <v>834</v>
      </c>
      <c r="D168" s="423" t="s">
        <v>330</v>
      </c>
      <c r="E168" s="521" t="s">
        <v>835</v>
      </c>
      <c r="F168" s="522">
        <v>201612</v>
      </c>
      <c r="G168" s="482">
        <v>-55531</v>
      </c>
      <c r="H168" s="112">
        <f t="shared" si="6"/>
        <v>2017</v>
      </c>
      <c r="I168" s="312">
        <v>20</v>
      </c>
      <c r="J168" s="107" t="s">
        <v>189</v>
      </c>
      <c r="K168" s="103"/>
      <c r="L168" s="101"/>
      <c r="M168" s="101">
        <f t="shared" si="7"/>
        <v>3301</v>
      </c>
      <c r="O168" s="101"/>
      <c r="P168" s="101"/>
      <c r="Q168" s="101"/>
      <c r="R168" s="101"/>
    </row>
    <row r="169" spans="2:18">
      <c r="B169" s="521" t="s">
        <v>318</v>
      </c>
      <c r="C169" s="522" t="s">
        <v>951</v>
      </c>
      <c r="D169" s="423" t="s">
        <v>330</v>
      </c>
      <c r="E169" s="521" t="s">
        <v>952</v>
      </c>
      <c r="F169" s="522">
        <v>201612</v>
      </c>
      <c r="G169" s="482">
        <v>-138.94</v>
      </c>
      <c r="H169" s="112">
        <f t="shared" si="6"/>
        <v>2017</v>
      </c>
      <c r="I169" s="312">
        <v>20</v>
      </c>
      <c r="J169" s="107" t="s">
        <v>189</v>
      </c>
      <c r="K169" s="103"/>
      <c r="L169" s="101"/>
      <c r="M169" s="101">
        <f t="shared" si="7"/>
        <v>3301</v>
      </c>
      <c r="O169" s="101"/>
      <c r="P169" s="101"/>
      <c r="Q169" s="101"/>
      <c r="R169" s="101"/>
    </row>
    <row r="170" spans="2:18">
      <c r="B170" s="521" t="s">
        <v>318</v>
      </c>
      <c r="C170" s="522" t="s">
        <v>951</v>
      </c>
      <c r="D170" s="423" t="s">
        <v>330</v>
      </c>
      <c r="E170" s="521" t="s">
        <v>952</v>
      </c>
      <c r="F170" s="522">
        <v>201612</v>
      </c>
      <c r="G170" s="482">
        <v>-4.46</v>
      </c>
      <c r="H170" s="112">
        <f t="shared" si="6"/>
        <v>2017</v>
      </c>
      <c r="I170" s="312">
        <v>20</v>
      </c>
      <c r="J170" s="107" t="s">
        <v>189</v>
      </c>
      <c r="K170" s="103"/>
      <c r="L170" s="101"/>
      <c r="M170" s="101">
        <f t="shared" si="7"/>
        <v>3301</v>
      </c>
      <c r="O170" s="101"/>
      <c r="P170" s="101"/>
      <c r="Q170" s="101"/>
      <c r="R170" s="101"/>
    </row>
    <row r="171" spans="2:18">
      <c r="B171" s="521" t="s">
        <v>318</v>
      </c>
      <c r="C171" s="522" t="s">
        <v>953</v>
      </c>
      <c r="D171" s="423" t="s">
        <v>330</v>
      </c>
      <c r="E171" s="521" t="s">
        <v>954</v>
      </c>
      <c r="F171" s="522">
        <v>201612</v>
      </c>
      <c r="G171" s="482">
        <v>5326</v>
      </c>
      <c r="H171" s="112">
        <f t="shared" si="6"/>
        <v>2017</v>
      </c>
      <c r="I171" s="312">
        <v>20</v>
      </c>
      <c r="J171" s="107" t="s">
        <v>189</v>
      </c>
      <c r="K171" s="103"/>
      <c r="L171" s="101"/>
      <c r="M171" s="101">
        <f t="shared" si="7"/>
        <v>3301</v>
      </c>
      <c r="O171" s="101"/>
      <c r="P171" s="101"/>
      <c r="Q171" s="101"/>
      <c r="R171" s="101"/>
    </row>
    <row r="172" spans="2:18" ht="15">
      <c r="B172" s="521" t="s">
        <v>318</v>
      </c>
      <c r="C172" s="522" t="s">
        <v>953</v>
      </c>
      <c r="D172" s="424" t="s">
        <v>330</v>
      </c>
      <c r="E172" s="521" t="s">
        <v>954</v>
      </c>
      <c r="F172" s="522">
        <v>201612</v>
      </c>
      <c r="G172" s="482">
        <v>12515.84</v>
      </c>
      <c r="H172" s="112">
        <f t="shared" si="6"/>
        <v>2017</v>
      </c>
      <c r="I172" s="312">
        <v>20</v>
      </c>
      <c r="J172" s="107" t="s">
        <v>189</v>
      </c>
      <c r="K172" s="103"/>
      <c r="L172" s="101"/>
      <c r="M172" s="101">
        <f t="shared" si="7"/>
        <v>3301</v>
      </c>
      <c r="O172" s="101"/>
      <c r="P172" s="101"/>
      <c r="Q172" s="101"/>
      <c r="R172" s="101"/>
    </row>
    <row r="173" spans="2:18" ht="15">
      <c r="B173" s="521" t="s">
        <v>318</v>
      </c>
      <c r="C173" s="522" t="s">
        <v>955</v>
      </c>
      <c r="D173" s="424" t="s">
        <v>330</v>
      </c>
      <c r="E173" s="521" t="s">
        <v>956</v>
      </c>
      <c r="F173" s="522">
        <v>201612</v>
      </c>
      <c r="G173" s="482">
        <v>0.38</v>
      </c>
      <c r="H173" s="112">
        <f t="shared" si="6"/>
        <v>2017</v>
      </c>
      <c r="I173" s="312">
        <v>20</v>
      </c>
      <c r="J173" s="107" t="s">
        <v>189</v>
      </c>
      <c r="K173" s="103"/>
      <c r="L173" s="101"/>
      <c r="M173" s="101">
        <f t="shared" si="7"/>
        <v>3301</v>
      </c>
      <c r="O173" s="101"/>
      <c r="P173" s="101"/>
      <c r="Q173" s="101"/>
      <c r="R173" s="101"/>
    </row>
    <row r="174" spans="2:18">
      <c r="B174" s="521" t="s">
        <v>318</v>
      </c>
      <c r="C174" s="522" t="s">
        <v>955</v>
      </c>
      <c r="D174" s="423" t="s">
        <v>330</v>
      </c>
      <c r="E174" s="521" t="s">
        <v>956</v>
      </c>
      <c r="F174" s="522">
        <v>201612</v>
      </c>
      <c r="G174" s="482">
        <v>11.42</v>
      </c>
      <c r="H174" s="112">
        <f t="shared" si="6"/>
        <v>2017</v>
      </c>
      <c r="I174" s="312">
        <v>20</v>
      </c>
      <c r="J174" s="107" t="s">
        <v>189</v>
      </c>
      <c r="K174" s="103"/>
      <c r="L174" s="101"/>
      <c r="M174" s="101">
        <f t="shared" si="7"/>
        <v>3301</v>
      </c>
      <c r="O174" s="101"/>
      <c r="P174" s="101"/>
      <c r="Q174" s="101"/>
      <c r="R174" s="101"/>
    </row>
    <row r="175" spans="2:18">
      <c r="B175" s="521" t="s">
        <v>318</v>
      </c>
      <c r="C175" s="522" t="s">
        <v>672</v>
      </c>
      <c r="D175" s="423" t="s">
        <v>330</v>
      </c>
      <c r="E175" s="521" t="s">
        <v>673</v>
      </c>
      <c r="F175" s="522">
        <v>201612</v>
      </c>
      <c r="G175" s="482">
        <v>-92.08</v>
      </c>
      <c r="H175" s="112">
        <f t="shared" si="6"/>
        <v>2017</v>
      </c>
      <c r="I175" s="312">
        <v>20</v>
      </c>
      <c r="J175" s="107" t="s">
        <v>189</v>
      </c>
      <c r="K175" s="103"/>
      <c r="L175" s="101"/>
      <c r="M175" s="101">
        <f t="shared" si="7"/>
        <v>3301</v>
      </c>
      <c r="O175" s="101"/>
      <c r="P175" s="101"/>
      <c r="Q175" s="101"/>
      <c r="R175" s="101"/>
    </row>
    <row r="176" spans="2:18">
      <c r="B176" s="521" t="s">
        <v>318</v>
      </c>
      <c r="C176" s="522" t="s">
        <v>814</v>
      </c>
      <c r="D176" s="423" t="s">
        <v>330</v>
      </c>
      <c r="E176" s="521" t="s">
        <v>815</v>
      </c>
      <c r="F176" s="522">
        <v>201612</v>
      </c>
      <c r="G176" s="482">
        <v>72441.429999999993</v>
      </c>
      <c r="H176" s="112">
        <f t="shared" si="6"/>
        <v>2017</v>
      </c>
      <c r="I176" s="312">
        <v>20</v>
      </c>
      <c r="J176" s="107" t="s">
        <v>189</v>
      </c>
      <c r="K176" s="103"/>
      <c r="L176" s="101"/>
      <c r="M176" s="101">
        <f t="shared" si="7"/>
        <v>3301</v>
      </c>
      <c r="O176" s="101"/>
      <c r="P176" s="101"/>
      <c r="Q176" s="101"/>
      <c r="R176" s="101"/>
    </row>
    <row r="177" spans="2:18">
      <c r="B177" s="521" t="s">
        <v>318</v>
      </c>
      <c r="C177" s="522" t="s">
        <v>814</v>
      </c>
      <c r="D177" s="423" t="s">
        <v>330</v>
      </c>
      <c r="E177" s="521" t="s">
        <v>815</v>
      </c>
      <c r="F177" s="522">
        <v>201612</v>
      </c>
      <c r="G177" s="482">
        <v>75297.440000000002</v>
      </c>
      <c r="H177" s="112">
        <f t="shared" si="6"/>
        <v>2017</v>
      </c>
      <c r="I177" s="312">
        <v>20</v>
      </c>
      <c r="J177" s="107" t="s">
        <v>189</v>
      </c>
      <c r="K177" s="103"/>
      <c r="L177" s="101"/>
      <c r="M177" s="101">
        <f t="shared" si="7"/>
        <v>3301</v>
      </c>
      <c r="O177" s="101"/>
      <c r="P177" s="101"/>
      <c r="Q177" s="101"/>
      <c r="R177" s="101"/>
    </row>
    <row r="178" spans="2:18">
      <c r="B178" s="521" t="s">
        <v>318</v>
      </c>
      <c r="C178" s="522" t="s">
        <v>961</v>
      </c>
      <c r="D178" s="423" t="s">
        <v>330</v>
      </c>
      <c r="E178" s="521" t="s">
        <v>962</v>
      </c>
      <c r="F178" s="522">
        <v>201612</v>
      </c>
      <c r="G178" s="482">
        <v>-126.79</v>
      </c>
      <c r="H178" s="112">
        <f t="shared" si="6"/>
        <v>2017</v>
      </c>
      <c r="I178" s="312">
        <v>20</v>
      </c>
      <c r="J178" s="107" t="s">
        <v>189</v>
      </c>
      <c r="K178" s="103"/>
      <c r="L178" s="101"/>
      <c r="M178" s="101">
        <f t="shared" si="7"/>
        <v>3301</v>
      </c>
      <c r="O178" s="101"/>
      <c r="P178" s="101"/>
      <c r="Q178" s="101"/>
      <c r="R178" s="101"/>
    </row>
    <row r="179" spans="2:18">
      <c r="B179" s="521" t="s">
        <v>318</v>
      </c>
      <c r="C179" s="522" t="s">
        <v>961</v>
      </c>
      <c r="D179" s="423" t="s">
        <v>330</v>
      </c>
      <c r="E179" s="521" t="s">
        <v>962</v>
      </c>
      <c r="F179" s="522">
        <v>201612</v>
      </c>
      <c r="G179" s="482">
        <v>-7.9</v>
      </c>
      <c r="H179" s="112">
        <f t="shared" si="6"/>
        <v>2017</v>
      </c>
      <c r="I179" s="312">
        <v>20</v>
      </c>
      <c r="J179" s="107" t="s">
        <v>189</v>
      </c>
      <c r="K179" s="103"/>
      <c r="L179" s="101"/>
      <c r="M179" s="101">
        <f t="shared" si="7"/>
        <v>3301</v>
      </c>
      <c r="O179" s="101"/>
      <c r="P179" s="101"/>
      <c r="Q179" s="101"/>
      <c r="R179" s="101"/>
    </row>
    <row r="180" spans="2:18">
      <c r="B180" s="521" t="s">
        <v>318</v>
      </c>
      <c r="C180" s="522" t="s">
        <v>963</v>
      </c>
      <c r="D180" s="423" t="s">
        <v>330</v>
      </c>
      <c r="E180" s="521" t="s">
        <v>964</v>
      </c>
      <c r="F180" s="522">
        <v>201612</v>
      </c>
      <c r="G180" s="482">
        <v>8.17</v>
      </c>
      <c r="H180" s="112">
        <f t="shared" si="6"/>
        <v>2017</v>
      </c>
      <c r="I180" s="312">
        <v>20</v>
      </c>
      <c r="J180" s="107" t="s">
        <v>189</v>
      </c>
      <c r="K180" s="103"/>
      <c r="L180" s="101"/>
      <c r="M180" s="101">
        <f t="shared" si="7"/>
        <v>3301</v>
      </c>
      <c r="O180" s="101"/>
      <c r="P180" s="101"/>
      <c r="Q180" s="101"/>
      <c r="R180" s="101"/>
    </row>
    <row r="181" spans="2:18">
      <c r="B181" s="521" t="s">
        <v>318</v>
      </c>
      <c r="C181" s="522" t="s">
        <v>963</v>
      </c>
      <c r="D181" s="423" t="s">
        <v>330</v>
      </c>
      <c r="E181" s="521" t="s">
        <v>964</v>
      </c>
      <c r="F181" s="522">
        <v>201612</v>
      </c>
      <c r="G181" s="482">
        <v>105.05</v>
      </c>
      <c r="H181" s="112">
        <f t="shared" si="6"/>
        <v>2017</v>
      </c>
      <c r="I181" s="312">
        <v>20</v>
      </c>
      <c r="J181" s="107" t="s">
        <v>189</v>
      </c>
      <c r="K181" s="103"/>
      <c r="L181" s="101"/>
      <c r="M181" s="101">
        <f t="shared" si="7"/>
        <v>3301</v>
      </c>
      <c r="O181" s="101"/>
      <c r="P181" s="101"/>
      <c r="Q181" s="101"/>
      <c r="R181" s="101"/>
    </row>
    <row r="182" spans="2:18">
      <c r="B182" s="521" t="s">
        <v>318</v>
      </c>
      <c r="C182" s="522" t="s">
        <v>842</v>
      </c>
      <c r="D182" s="423" t="s">
        <v>330</v>
      </c>
      <c r="E182" s="521" t="s">
        <v>843</v>
      </c>
      <c r="F182" s="522">
        <v>201612</v>
      </c>
      <c r="G182" s="482">
        <v>-950025.59</v>
      </c>
      <c r="H182" s="112">
        <f t="shared" si="6"/>
        <v>2017</v>
      </c>
      <c r="I182" s="312">
        <v>20</v>
      </c>
      <c r="J182" s="107" t="s">
        <v>189</v>
      </c>
      <c r="K182" s="103"/>
      <c r="L182" s="101"/>
      <c r="M182" s="101">
        <f t="shared" si="7"/>
        <v>3301</v>
      </c>
      <c r="O182" s="101"/>
      <c r="P182" s="101"/>
      <c r="Q182" s="101"/>
      <c r="R182" s="101"/>
    </row>
    <row r="183" spans="2:18">
      <c r="B183" s="521" t="s">
        <v>318</v>
      </c>
      <c r="C183" s="522" t="s">
        <v>842</v>
      </c>
      <c r="D183" s="423" t="s">
        <v>330</v>
      </c>
      <c r="E183" s="521" t="s">
        <v>843</v>
      </c>
      <c r="F183" s="522">
        <v>201612</v>
      </c>
      <c r="G183" s="482">
        <v>-65717.08</v>
      </c>
      <c r="H183" s="112">
        <f t="shared" si="6"/>
        <v>2017</v>
      </c>
      <c r="I183" s="312">
        <v>20</v>
      </c>
      <c r="J183" s="107" t="s">
        <v>189</v>
      </c>
      <c r="K183" s="103"/>
      <c r="L183" s="101"/>
      <c r="M183" s="101">
        <f t="shared" si="7"/>
        <v>3301</v>
      </c>
      <c r="O183" s="101"/>
      <c r="P183" s="101"/>
      <c r="Q183" s="101"/>
      <c r="R183" s="101"/>
    </row>
    <row r="184" spans="2:18">
      <c r="B184" s="521" t="s">
        <v>318</v>
      </c>
      <c r="C184" s="522" t="s">
        <v>842</v>
      </c>
      <c r="D184" s="423" t="s">
        <v>330</v>
      </c>
      <c r="E184" s="521" t="s">
        <v>843</v>
      </c>
      <c r="F184" s="522">
        <v>201612</v>
      </c>
      <c r="G184" s="482">
        <v>180514.63</v>
      </c>
      <c r="H184" s="112">
        <f t="shared" si="6"/>
        <v>2017</v>
      </c>
      <c r="I184" s="312">
        <v>20</v>
      </c>
      <c r="J184" s="107" t="s">
        <v>189</v>
      </c>
      <c r="K184" s="103"/>
      <c r="L184" s="101"/>
      <c r="M184" s="101">
        <f t="shared" si="7"/>
        <v>3301</v>
      </c>
      <c r="O184" s="101"/>
      <c r="P184" s="101"/>
      <c r="Q184" s="101"/>
      <c r="R184" s="101"/>
    </row>
    <row r="185" spans="2:18">
      <c r="B185" s="521" t="s">
        <v>318</v>
      </c>
      <c r="C185" s="522" t="s">
        <v>842</v>
      </c>
      <c r="D185" s="423" t="s">
        <v>330</v>
      </c>
      <c r="E185" s="521" t="s">
        <v>843</v>
      </c>
      <c r="F185" s="522">
        <v>201612</v>
      </c>
      <c r="G185" s="482">
        <v>835768.31</v>
      </c>
      <c r="H185" s="112">
        <f t="shared" si="6"/>
        <v>2017</v>
      </c>
      <c r="I185" s="312">
        <v>20</v>
      </c>
      <c r="J185" s="107" t="s">
        <v>189</v>
      </c>
      <c r="K185" s="103"/>
      <c r="L185" s="101"/>
      <c r="M185" s="101">
        <f t="shared" si="7"/>
        <v>3301</v>
      </c>
      <c r="O185" s="101"/>
      <c r="P185" s="101"/>
      <c r="Q185" s="101"/>
      <c r="R185" s="101"/>
    </row>
    <row r="186" spans="2:18">
      <c r="B186" s="521" t="s">
        <v>318</v>
      </c>
      <c r="C186" s="522" t="s">
        <v>844</v>
      </c>
      <c r="D186" s="423" t="s">
        <v>329</v>
      </c>
      <c r="E186" s="521" t="s">
        <v>845</v>
      </c>
      <c r="F186" s="522">
        <v>201612</v>
      </c>
      <c r="G186" s="482">
        <v>-414.62</v>
      </c>
      <c r="H186" s="112">
        <f t="shared" si="6"/>
        <v>2017</v>
      </c>
      <c r="I186" s="312">
        <v>20</v>
      </c>
      <c r="J186" s="107" t="s">
        <v>189</v>
      </c>
      <c r="K186" s="103"/>
      <c r="L186" s="101"/>
      <c r="M186" s="101">
        <f t="shared" si="7"/>
        <v>3301</v>
      </c>
      <c r="O186" s="101"/>
      <c r="P186" s="101"/>
      <c r="Q186" s="101"/>
      <c r="R186" s="101"/>
    </row>
    <row r="187" spans="2:18">
      <c r="B187" s="521" t="s">
        <v>318</v>
      </c>
      <c r="C187" s="522" t="s">
        <v>844</v>
      </c>
      <c r="D187" s="423" t="s">
        <v>329</v>
      </c>
      <c r="E187" s="521" t="s">
        <v>845</v>
      </c>
      <c r="F187" s="522">
        <v>201612</v>
      </c>
      <c r="G187" s="482">
        <v>-322.36</v>
      </c>
      <c r="H187" s="112">
        <f t="shared" si="6"/>
        <v>2017</v>
      </c>
      <c r="I187" s="312">
        <v>20</v>
      </c>
      <c r="J187" s="107" t="s">
        <v>189</v>
      </c>
      <c r="K187" s="103"/>
      <c r="L187" s="101"/>
      <c r="M187" s="101">
        <f t="shared" si="7"/>
        <v>3301</v>
      </c>
      <c r="O187" s="101"/>
      <c r="P187" s="101"/>
      <c r="Q187" s="101"/>
      <c r="R187" s="101"/>
    </row>
    <row r="188" spans="2:18">
      <c r="B188" s="521" t="s">
        <v>318</v>
      </c>
      <c r="C188" s="522" t="s">
        <v>1035</v>
      </c>
      <c r="D188" s="423" t="s">
        <v>329</v>
      </c>
      <c r="E188" s="521" t="s">
        <v>1036</v>
      </c>
      <c r="F188" s="522">
        <v>201612</v>
      </c>
      <c r="G188" s="482">
        <v>-78.45</v>
      </c>
      <c r="H188" s="112">
        <f t="shared" si="6"/>
        <v>2017</v>
      </c>
      <c r="I188" s="312">
        <v>20</v>
      </c>
      <c r="J188" s="107" t="s">
        <v>189</v>
      </c>
      <c r="K188" s="103"/>
      <c r="L188" s="101"/>
      <c r="M188" s="101">
        <f t="shared" si="7"/>
        <v>3301</v>
      </c>
      <c r="O188" s="101"/>
      <c r="P188" s="101"/>
      <c r="Q188" s="101"/>
      <c r="R188" s="101"/>
    </row>
    <row r="189" spans="2:18">
      <c r="B189" s="521" t="s">
        <v>318</v>
      </c>
      <c r="C189" s="522" t="s">
        <v>1035</v>
      </c>
      <c r="D189" s="423" t="s">
        <v>329</v>
      </c>
      <c r="E189" s="521" t="s">
        <v>1036</v>
      </c>
      <c r="F189" s="522">
        <v>201612</v>
      </c>
      <c r="G189" s="482">
        <v>-2.21</v>
      </c>
      <c r="H189" s="112">
        <f t="shared" si="6"/>
        <v>2017</v>
      </c>
      <c r="I189" s="312">
        <v>20</v>
      </c>
      <c r="J189" s="107" t="s">
        <v>189</v>
      </c>
      <c r="K189" s="103"/>
      <c r="L189" s="101"/>
      <c r="M189" s="101">
        <f t="shared" si="7"/>
        <v>3301</v>
      </c>
      <c r="O189" s="101"/>
      <c r="P189" s="101"/>
      <c r="Q189" s="101"/>
      <c r="R189" s="101"/>
    </row>
    <row r="190" spans="2:18">
      <c r="B190" s="521" t="s">
        <v>318</v>
      </c>
      <c r="C190" s="522" t="s">
        <v>862</v>
      </c>
      <c r="D190" s="423" t="s">
        <v>330</v>
      </c>
      <c r="E190" s="521" t="s">
        <v>863</v>
      </c>
      <c r="F190" s="522">
        <v>201612</v>
      </c>
      <c r="G190" s="482">
        <v>-89463.92</v>
      </c>
      <c r="H190" s="112">
        <f t="shared" si="6"/>
        <v>2017</v>
      </c>
      <c r="I190" s="312">
        <v>20</v>
      </c>
      <c r="J190" s="107" t="s">
        <v>189</v>
      </c>
      <c r="K190" s="103"/>
      <c r="L190" s="101"/>
      <c r="M190" s="101">
        <f t="shared" si="7"/>
        <v>3301</v>
      </c>
      <c r="O190" s="101"/>
      <c r="P190" s="101"/>
      <c r="Q190" s="101"/>
      <c r="R190" s="101"/>
    </row>
    <row r="191" spans="2:18">
      <c r="B191" s="521" t="s">
        <v>318</v>
      </c>
      <c r="C191" s="522" t="s">
        <v>862</v>
      </c>
      <c r="D191" s="423" t="s">
        <v>330</v>
      </c>
      <c r="E191" s="521" t="s">
        <v>863</v>
      </c>
      <c r="F191" s="522">
        <v>201612</v>
      </c>
      <c r="G191" s="482">
        <v>2852.43</v>
      </c>
      <c r="H191" s="112">
        <f t="shared" si="6"/>
        <v>2017</v>
      </c>
      <c r="I191" s="312">
        <v>20</v>
      </c>
      <c r="J191" s="107" t="s">
        <v>189</v>
      </c>
      <c r="K191" s="103"/>
      <c r="L191" s="101"/>
      <c r="M191" s="101">
        <f t="shared" si="7"/>
        <v>3301</v>
      </c>
      <c r="O191" s="101"/>
      <c r="P191" s="101"/>
      <c r="Q191" s="101"/>
      <c r="R191" s="101"/>
    </row>
    <row r="192" spans="2:18" ht="15">
      <c r="B192" s="521" t="s">
        <v>318</v>
      </c>
      <c r="C192" s="522" t="s">
        <v>967</v>
      </c>
      <c r="D192" s="424" t="s">
        <v>330</v>
      </c>
      <c r="E192" s="521" t="s">
        <v>968</v>
      </c>
      <c r="F192" s="522">
        <v>201612</v>
      </c>
      <c r="G192" s="482">
        <v>7.95</v>
      </c>
      <c r="H192" s="112">
        <f t="shared" si="6"/>
        <v>2017</v>
      </c>
      <c r="I192" s="312">
        <v>20</v>
      </c>
      <c r="J192" s="107" t="s">
        <v>189</v>
      </c>
      <c r="K192" s="103"/>
      <c r="L192" s="101"/>
      <c r="M192" s="101">
        <f t="shared" si="7"/>
        <v>3301</v>
      </c>
      <c r="O192" s="101"/>
      <c r="P192" s="101"/>
      <c r="Q192" s="101"/>
      <c r="R192" s="101"/>
    </row>
    <row r="193" spans="2:18" ht="15">
      <c r="B193" s="521" t="s">
        <v>318</v>
      </c>
      <c r="C193" s="522" t="s">
        <v>967</v>
      </c>
      <c r="D193" s="424" t="s">
        <v>330</v>
      </c>
      <c r="E193" s="521" t="s">
        <v>968</v>
      </c>
      <c r="F193" s="522">
        <v>201612</v>
      </c>
      <c r="G193" s="482">
        <v>210.4</v>
      </c>
      <c r="H193" s="112">
        <f t="shared" si="6"/>
        <v>2017</v>
      </c>
      <c r="I193" s="312">
        <v>20</v>
      </c>
      <c r="J193" s="107" t="s">
        <v>189</v>
      </c>
      <c r="K193" s="103"/>
      <c r="L193" s="101"/>
      <c r="M193" s="101">
        <f t="shared" si="7"/>
        <v>3301</v>
      </c>
      <c r="O193" s="101"/>
      <c r="P193" s="101"/>
      <c r="Q193" s="101"/>
      <c r="R193" s="101"/>
    </row>
    <row r="194" spans="2:18">
      <c r="B194" s="521" t="s">
        <v>318</v>
      </c>
      <c r="C194" s="522" t="s">
        <v>682</v>
      </c>
      <c r="D194" s="423" t="s">
        <v>330</v>
      </c>
      <c r="E194" s="521" t="s">
        <v>683</v>
      </c>
      <c r="F194" s="522">
        <v>201612</v>
      </c>
      <c r="G194" s="482">
        <v>356.49</v>
      </c>
      <c r="H194" s="112">
        <f t="shared" si="6"/>
        <v>2017</v>
      </c>
      <c r="I194" s="312">
        <v>20</v>
      </c>
      <c r="J194" s="107" t="s">
        <v>189</v>
      </c>
      <c r="K194" s="103"/>
      <c r="L194" s="101"/>
      <c r="M194" s="101">
        <f t="shared" si="7"/>
        <v>3301</v>
      </c>
      <c r="O194" s="101"/>
      <c r="P194" s="101"/>
      <c r="Q194" s="101"/>
      <c r="R194" s="101"/>
    </row>
    <row r="195" spans="2:18">
      <c r="B195" s="521" t="s">
        <v>318</v>
      </c>
      <c r="C195" s="522" t="s">
        <v>682</v>
      </c>
      <c r="D195" s="423" t="s">
        <v>330</v>
      </c>
      <c r="E195" s="521" t="s">
        <v>683</v>
      </c>
      <c r="F195" s="522">
        <v>201612</v>
      </c>
      <c r="G195" s="482">
        <v>8545.99</v>
      </c>
      <c r="H195" s="112">
        <f t="shared" si="6"/>
        <v>2017</v>
      </c>
      <c r="I195" s="312">
        <v>20</v>
      </c>
      <c r="J195" s="107" t="s">
        <v>189</v>
      </c>
      <c r="K195" s="103"/>
      <c r="L195" s="101"/>
      <c r="M195" s="101">
        <f t="shared" si="7"/>
        <v>3301</v>
      </c>
      <c r="O195" s="101"/>
      <c r="P195" s="101"/>
      <c r="Q195" s="101"/>
      <c r="R195" s="101"/>
    </row>
    <row r="196" spans="2:18">
      <c r="B196" s="521" t="s">
        <v>318</v>
      </c>
      <c r="C196" s="522" t="s">
        <v>846</v>
      </c>
      <c r="D196" s="423" t="s">
        <v>330</v>
      </c>
      <c r="E196" s="521" t="s">
        <v>847</v>
      </c>
      <c r="F196" s="522">
        <v>201612</v>
      </c>
      <c r="G196" s="482">
        <v>38.85</v>
      </c>
      <c r="H196" s="112">
        <f t="shared" ref="H196:H257" si="8">IF(F196&gt;$H$5,0+2017,0+2016)</f>
        <v>2017</v>
      </c>
      <c r="I196" s="312">
        <v>20</v>
      </c>
      <c r="J196" s="107" t="s">
        <v>189</v>
      </c>
      <c r="K196" s="103"/>
      <c r="L196" s="101"/>
      <c r="M196" s="101">
        <f t="shared" ref="M196:M257" si="9">IF(LEFT(D196,2)="34",3401,IF(LEFT(D196,2)="33",3301))</f>
        <v>3301</v>
      </c>
      <c r="O196" s="101"/>
      <c r="P196" s="101"/>
      <c r="Q196" s="101"/>
      <c r="R196" s="101"/>
    </row>
    <row r="197" spans="2:18" ht="15">
      <c r="B197" s="521" t="s">
        <v>318</v>
      </c>
      <c r="C197" s="522" t="s">
        <v>846</v>
      </c>
      <c r="D197" s="424" t="s">
        <v>330</v>
      </c>
      <c r="E197" s="521" t="s">
        <v>847</v>
      </c>
      <c r="F197" s="522">
        <v>201612</v>
      </c>
      <c r="G197" s="482">
        <v>406.21</v>
      </c>
      <c r="H197" s="112">
        <f t="shared" si="8"/>
        <v>2017</v>
      </c>
      <c r="I197" s="312">
        <v>20</v>
      </c>
      <c r="J197" s="107" t="s">
        <v>189</v>
      </c>
      <c r="K197" s="103"/>
      <c r="L197" s="101"/>
      <c r="M197" s="101">
        <f t="shared" si="9"/>
        <v>3301</v>
      </c>
      <c r="O197" s="101"/>
      <c r="P197" s="101"/>
      <c r="Q197" s="101"/>
      <c r="R197" s="101"/>
    </row>
    <row r="198" spans="2:18" ht="15">
      <c r="B198" s="521" t="s">
        <v>322</v>
      </c>
      <c r="C198" s="522" t="s">
        <v>1106</v>
      </c>
      <c r="D198" s="424" t="s">
        <v>330</v>
      </c>
      <c r="E198" s="521" t="s">
        <v>1107</v>
      </c>
      <c r="F198" s="522">
        <v>201612</v>
      </c>
      <c r="G198" s="482">
        <v>621.71</v>
      </c>
      <c r="H198" s="112">
        <f t="shared" si="8"/>
        <v>2017</v>
      </c>
      <c r="I198" s="312">
        <v>20</v>
      </c>
      <c r="J198" s="107" t="s">
        <v>189</v>
      </c>
      <c r="K198" s="103"/>
      <c r="L198" s="101"/>
      <c r="M198" s="101">
        <f t="shared" si="9"/>
        <v>3301</v>
      </c>
      <c r="O198" s="101"/>
      <c r="P198" s="101"/>
      <c r="Q198" s="101"/>
      <c r="R198" s="101"/>
    </row>
    <row r="199" spans="2:18" ht="15">
      <c r="B199" s="521" t="s">
        <v>318</v>
      </c>
      <c r="C199" s="522" t="s">
        <v>1106</v>
      </c>
      <c r="D199" s="424" t="s">
        <v>330</v>
      </c>
      <c r="E199" s="521" t="s">
        <v>1107</v>
      </c>
      <c r="F199" s="522">
        <v>201612</v>
      </c>
      <c r="G199" s="482">
        <v>15673.6</v>
      </c>
      <c r="H199" s="112">
        <f t="shared" si="8"/>
        <v>2017</v>
      </c>
      <c r="I199" s="312">
        <v>20</v>
      </c>
      <c r="J199" s="107" t="s">
        <v>189</v>
      </c>
      <c r="K199" s="103"/>
      <c r="L199" s="101"/>
      <c r="M199" s="101">
        <f t="shared" si="9"/>
        <v>3301</v>
      </c>
      <c r="O199" s="101"/>
      <c r="P199" s="101"/>
      <c r="Q199" s="101"/>
      <c r="R199" s="101"/>
    </row>
    <row r="200" spans="2:18">
      <c r="B200" s="521" t="s">
        <v>318</v>
      </c>
      <c r="C200" s="522" t="s">
        <v>1106</v>
      </c>
      <c r="D200" s="423" t="s">
        <v>330</v>
      </c>
      <c r="E200" s="521" t="s">
        <v>1107</v>
      </c>
      <c r="F200" s="522">
        <v>201612</v>
      </c>
      <c r="G200" s="482">
        <v>194730.47</v>
      </c>
      <c r="H200" s="112">
        <f t="shared" si="8"/>
        <v>2017</v>
      </c>
      <c r="I200" s="312">
        <v>20</v>
      </c>
      <c r="J200" s="107" t="s">
        <v>189</v>
      </c>
      <c r="K200" s="103"/>
      <c r="L200" s="101"/>
      <c r="M200" s="101">
        <f t="shared" si="9"/>
        <v>3301</v>
      </c>
      <c r="O200" s="101"/>
      <c r="P200" s="101"/>
      <c r="Q200" s="101"/>
      <c r="R200" s="101"/>
    </row>
    <row r="201" spans="2:18">
      <c r="B201" s="521" t="s">
        <v>318</v>
      </c>
      <c r="C201" s="522" t="s">
        <v>848</v>
      </c>
      <c r="D201" s="423" t="s">
        <v>329</v>
      </c>
      <c r="E201" s="521" t="s">
        <v>849</v>
      </c>
      <c r="F201" s="522">
        <v>201612</v>
      </c>
      <c r="G201" s="482">
        <v>44.67</v>
      </c>
      <c r="H201" s="112">
        <f t="shared" si="8"/>
        <v>2017</v>
      </c>
      <c r="I201" s="312">
        <v>20</v>
      </c>
      <c r="J201" s="107" t="s">
        <v>189</v>
      </c>
      <c r="K201" s="103"/>
      <c r="L201" s="101"/>
      <c r="M201" s="101">
        <f t="shared" si="9"/>
        <v>3301</v>
      </c>
      <c r="O201" s="101"/>
      <c r="P201" s="101"/>
      <c r="Q201" s="101"/>
      <c r="R201" s="101"/>
    </row>
    <row r="202" spans="2:18">
      <c r="B202" s="521" t="s">
        <v>318</v>
      </c>
      <c r="C202" s="522" t="s">
        <v>848</v>
      </c>
      <c r="D202" s="423" t="s">
        <v>329</v>
      </c>
      <c r="E202" s="521" t="s">
        <v>849</v>
      </c>
      <c r="F202" s="522">
        <v>201612</v>
      </c>
      <c r="G202" s="482">
        <v>189.5</v>
      </c>
      <c r="H202" s="112">
        <f t="shared" si="8"/>
        <v>2017</v>
      </c>
      <c r="I202" s="312">
        <v>20</v>
      </c>
      <c r="J202" s="107" t="s">
        <v>189</v>
      </c>
      <c r="K202" s="103"/>
      <c r="L202" s="101"/>
      <c r="M202" s="101">
        <f t="shared" si="9"/>
        <v>3301</v>
      </c>
      <c r="O202" s="101"/>
      <c r="P202" s="101"/>
      <c r="Q202" s="101"/>
      <c r="R202" s="101"/>
    </row>
    <row r="203" spans="2:18">
      <c r="B203" s="521" t="s">
        <v>318</v>
      </c>
      <c r="C203" s="522" t="s">
        <v>971</v>
      </c>
      <c r="D203" s="423" t="s">
        <v>329</v>
      </c>
      <c r="E203" s="521" t="s">
        <v>972</v>
      </c>
      <c r="F203" s="522">
        <v>201612</v>
      </c>
      <c r="G203" s="482">
        <v>1.45</v>
      </c>
      <c r="H203" s="112">
        <f t="shared" si="8"/>
        <v>2017</v>
      </c>
      <c r="I203" s="312">
        <v>20</v>
      </c>
      <c r="J203" s="107" t="s">
        <v>189</v>
      </c>
      <c r="K203" s="103"/>
      <c r="L203" s="101"/>
      <c r="M203" s="101">
        <f t="shared" si="9"/>
        <v>3301</v>
      </c>
      <c r="O203" s="101"/>
      <c r="P203" s="101"/>
      <c r="Q203" s="101"/>
      <c r="R203" s="101"/>
    </row>
    <row r="204" spans="2:18">
      <c r="B204" s="521" t="s">
        <v>318</v>
      </c>
      <c r="C204" s="522" t="s">
        <v>971</v>
      </c>
      <c r="D204" s="423" t="s">
        <v>329</v>
      </c>
      <c r="E204" s="521" t="s">
        <v>972</v>
      </c>
      <c r="F204" s="522">
        <v>201612</v>
      </c>
      <c r="G204" s="482">
        <v>15.92</v>
      </c>
      <c r="H204" s="112">
        <f t="shared" si="8"/>
        <v>2017</v>
      </c>
      <c r="I204" s="312">
        <v>20</v>
      </c>
      <c r="J204" s="107" t="s">
        <v>189</v>
      </c>
      <c r="K204" s="103"/>
      <c r="L204" s="101"/>
      <c r="M204" s="101">
        <f t="shared" si="9"/>
        <v>3301</v>
      </c>
      <c r="O204" s="101"/>
      <c r="P204" s="101"/>
      <c r="Q204" s="101"/>
      <c r="R204" s="101"/>
    </row>
    <row r="205" spans="2:18">
      <c r="B205" s="521" t="s">
        <v>322</v>
      </c>
      <c r="C205" s="522" t="s">
        <v>822</v>
      </c>
      <c r="D205" s="423" t="s">
        <v>330</v>
      </c>
      <c r="E205" s="521" t="s">
        <v>823</v>
      </c>
      <c r="F205" s="522">
        <v>201612</v>
      </c>
      <c r="G205" s="482">
        <v>-6.07</v>
      </c>
      <c r="H205" s="112">
        <f t="shared" si="8"/>
        <v>2017</v>
      </c>
      <c r="I205" s="312">
        <v>20</v>
      </c>
      <c r="J205" s="107" t="s">
        <v>189</v>
      </c>
      <c r="K205" s="103"/>
      <c r="L205" s="101"/>
      <c r="M205" s="101">
        <f t="shared" si="9"/>
        <v>3301</v>
      </c>
      <c r="O205" s="101"/>
      <c r="P205" s="101"/>
      <c r="Q205" s="101"/>
      <c r="R205" s="101"/>
    </row>
    <row r="206" spans="2:18">
      <c r="B206" s="521" t="s">
        <v>322</v>
      </c>
      <c r="C206" s="522" t="s">
        <v>822</v>
      </c>
      <c r="D206" s="423" t="s">
        <v>330</v>
      </c>
      <c r="E206" s="521" t="s">
        <v>823</v>
      </c>
      <c r="F206" s="522">
        <v>201612</v>
      </c>
      <c r="G206" s="482">
        <v>-0.01</v>
      </c>
      <c r="H206" s="112">
        <f t="shared" si="8"/>
        <v>2017</v>
      </c>
      <c r="I206" s="312">
        <v>20</v>
      </c>
      <c r="J206" s="107" t="s">
        <v>189</v>
      </c>
      <c r="K206" s="103"/>
      <c r="L206" s="101"/>
      <c r="M206" s="101">
        <f t="shared" si="9"/>
        <v>3301</v>
      </c>
      <c r="O206" s="101"/>
      <c r="P206" s="101"/>
      <c r="Q206" s="101"/>
      <c r="R206" s="101"/>
    </row>
    <row r="207" spans="2:18">
      <c r="B207" s="521" t="s">
        <v>318</v>
      </c>
      <c r="C207" s="522" t="s">
        <v>822</v>
      </c>
      <c r="D207" s="423" t="s">
        <v>330</v>
      </c>
      <c r="E207" s="521" t="s">
        <v>823</v>
      </c>
      <c r="F207" s="522">
        <v>201612</v>
      </c>
      <c r="G207" s="482">
        <v>-49.15</v>
      </c>
      <c r="H207" s="112">
        <f t="shared" si="8"/>
        <v>2017</v>
      </c>
      <c r="I207" s="312">
        <v>20</v>
      </c>
      <c r="J207" s="107" t="s">
        <v>189</v>
      </c>
      <c r="K207" s="103"/>
      <c r="L207" s="101"/>
      <c r="M207" s="101">
        <f t="shared" si="9"/>
        <v>3301</v>
      </c>
      <c r="O207" s="101"/>
      <c r="P207" s="101"/>
      <c r="Q207" s="101"/>
      <c r="R207" s="101"/>
    </row>
    <row r="208" spans="2:18">
      <c r="B208" s="521" t="s">
        <v>318</v>
      </c>
      <c r="C208" s="522" t="s">
        <v>822</v>
      </c>
      <c r="D208" s="423" t="s">
        <v>330</v>
      </c>
      <c r="E208" s="521" t="s">
        <v>823</v>
      </c>
      <c r="F208" s="522">
        <v>201612</v>
      </c>
      <c r="G208" s="482">
        <v>-38.590000000000003</v>
      </c>
      <c r="H208" s="112">
        <f t="shared" si="8"/>
        <v>2017</v>
      </c>
      <c r="I208" s="312">
        <v>20</v>
      </c>
      <c r="J208" s="107" t="s">
        <v>189</v>
      </c>
      <c r="K208" s="103"/>
      <c r="L208" s="101"/>
      <c r="M208" s="101">
        <f t="shared" si="9"/>
        <v>3301</v>
      </c>
      <c r="O208" s="101"/>
      <c r="P208" s="101"/>
      <c r="Q208" s="101"/>
      <c r="R208" s="101"/>
    </row>
    <row r="209" spans="2:18">
      <c r="B209" s="521" t="s">
        <v>318</v>
      </c>
      <c r="C209" s="522" t="s">
        <v>822</v>
      </c>
      <c r="D209" s="423" t="s">
        <v>330</v>
      </c>
      <c r="E209" s="521" t="s">
        <v>823</v>
      </c>
      <c r="F209" s="522">
        <v>201612</v>
      </c>
      <c r="G209" s="482">
        <v>-2.93</v>
      </c>
      <c r="H209" s="112">
        <f t="shared" si="8"/>
        <v>2017</v>
      </c>
      <c r="I209" s="312">
        <v>20</v>
      </c>
      <c r="J209" s="107" t="s">
        <v>189</v>
      </c>
      <c r="K209" s="103"/>
      <c r="L209" s="101"/>
      <c r="M209" s="101">
        <f t="shared" si="9"/>
        <v>3301</v>
      </c>
      <c r="O209" s="101"/>
      <c r="P209" s="101"/>
      <c r="Q209" s="101"/>
      <c r="R209" s="101"/>
    </row>
    <row r="210" spans="2:18">
      <c r="B210" s="521" t="s">
        <v>318</v>
      </c>
      <c r="C210" s="522" t="s">
        <v>973</v>
      </c>
      <c r="D210" s="423" t="s">
        <v>330</v>
      </c>
      <c r="E210" s="521" t="s">
        <v>974</v>
      </c>
      <c r="F210" s="522">
        <v>201612</v>
      </c>
      <c r="G210" s="482">
        <v>84.24</v>
      </c>
      <c r="H210" s="112">
        <f t="shared" si="8"/>
        <v>2017</v>
      </c>
      <c r="I210" s="312">
        <v>20</v>
      </c>
      <c r="J210" s="107" t="s">
        <v>189</v>
      </c>
      <c r="K210" s="103"/>
      <c r="L210" s="101"/>
      <c r="M210" s="101">
        <f t="shared" si="9"/>
        <v>3301</v>
      </c>
      <c r="O210" s="101"/>
      <c r="P210" s="101"/>
      <c r="Q210" s="101"/>
      <c r="R210" s="101"/>
    </row>
    <row r="211" spans="2:18">
      <c r="B211" s="521" t="s">
        <v>318</v>
      </c>
      <c r="C211" s="522" t="s">
        <v>973</v>
      </c>
      <c r="D211" s="423" t="s">
        <v>330</v>
      </c>
      <c r="E211" s="521" t="s">
        <v>974</v>
      </c>
      <c r="F211" s="522">
        <v>201612</v>
      </c>
      <c r="G211" s="482">
        <v>2162.9699999999998</v>
      </c>
      <c r="H211" s="112">
        <f t="shared" si="8"/>
        <v>2017</v>
      </c>
      <c r="I211" s="312">
        <v>20</v>
      </c>
      <c r="J211" s="107" t="s">
        <v>189</v>
      </c>
      <c r="K211" s="103"/>
      <c r="L211" s="101"/>
      <c r="M211" s="101">
        <f t="shared" si="9"/>
        <v>3301</v>
      </c>
      <c r="O211" s="101"/>
      <c r="P211" s="101"/>
      <c r="Q211" s="101"/>
      <c r="R211" s="101"/>
    </row>
    <row r="212" spans="2:18">
      <c r="B212" s="521" t="s">
        <v>318</v>
      </c>
      <c r="C212" s="522" t="s">
        <v>868</v>
      </c>
      <c r="D212" s="423" t="s">
        <v>330</v>
      </c>
      <c r="E212" s="521" t="s">
        <v>869</v>
      </c>
      <c r="F212" s="522">
        <v>201612</v>
      </c>
      <c r="G212" s="482">
        <v>78.11</v>
      </c>
      <c r="H212" s="112">
        <f t="shared" si="8"/>
        <v>2017</v>
      </c>
      <c r="I212" s="312">
        <v>20</v>
      </c>
      <c r="J212" s="107" t="s">
        <v>189</v>
      </c>
      <c r="K212" s="103"/>
      <c r="L212" s="101"/>
      <c r="M212" s="101">
        <f t="shared" si="9"/>
        <v>3301</v>
      </c>
      <c r="O212" s="101"/>
      <c r="P212" s="101"/>
      <c r="Q212" s="101"/>
      <c r="R212" s="101"/>
    </row>
    <row r="213" spans="2:18">
      <c r="B213" s="521" t="s">
        <v>318</v>
      </c>
      <c r="C213" s="522" t="s">
        <v>868</v>
      </c>
      <c r="D213" s="423" t="s">
        <v>330</v>
      </c>
      <c r="E213" s="521" t="s">
        <v>869</v>
      </c>
      <c r="F213" s="522">
        <v>201612</v>
      </c>
      <c r="G213" s="482">
        <v>355.91</v>
      </c>
      <c r="H213" s="112">
        <f t="shared" si="8"/>
        <v>2017</v>
      </c>
      <c r="I213" s="312">
        <v>20</v>
      </c>
      <c r="J213" s="107" t="s">
        <v>189</v>
      </c>
      <c r="K213" s="103"/>
      <c r="L213" s="101"/>
      <c r="M213" s="101">
        <f t="shared" si="9"/>
        <v>3301</v>
      </c>
      <c r="O213" s="101"/>
      <c r="P213" s="101"/>
      <c r="Q213" s="101"/>
      <c r="R213" s="101"/>
    </row>
    <row r="214" spans="2:18">
      <c r="B214" s="521" t="s">
        <v>318</v>
      </c>
      <c r="C214" s="522" t="s">
        <v>1108</v>
      </c>
      <c r="D214" s="423" t="s">
        <v>330</v>
      </c>
      <c r="E214" s="521" t="s">
        <v>1109</v>
      </c>
      <c r="F214" s="522">
        <v>201612</v>
      </c>
      <c r="G214" s="482">
        <v>6083.13</v>
      </c>
      <c r="H214" s="112">
        <f t="shared" si="8"/>
        <v>2017</v>
      </c>
      <c r="I214" s="312">
        <v>20</v>
      </c>
      <c r="J214" s="107" t="s">
        <v>189</v>
      </c>
      <c r="K214" s="103"/>
      <c r="L214" s="101"/>
      <c r="M214" s="101">
        <f t="shared" si="9"/>
        <v>3301</v>
      </c>
      <c r="O214" s="101"/>
      <c r="P214" s="101"/>
      <c r="Q214" s="101"/>
      <c r="R214" s="101"/>
    </row>
    <row r="215" spans="2:18">
      <c r="B215" s="521" t="s">
        <v>318</v>
      </c>
      <c r="C215" s="522" t="s">
        <v>1108</v>
      </c>
      <c r="D215" s="423" t="s">
        <v>330</v>
      </c>
      <c r="E215" s="521" t="s">
        <v>1109</v>
      </c>
      <c r="F215" s="522">
        <v>201612</v>
      </c>
      <c r="G215" s="482">
        <v>206561.57</v>
      </c>
      <c r="H215" s="112">
        <f t="shared" si="8"/>
        <v>2017</v>
      </c>
      <c r="I215" s="312">
        <v>20</v>
      </c>
      <c r="J215" s="107" t="s">
        <v>189</v>
      </c>
      <c r="K215" s="103"/>
      <c r="L215" s="101"/>
      <c r="M215" s="101">
        <f t="shared" si="9"/>
        <v>3301</v>
      </c>
      <c r="O215" s="101"/>
      <c r="P215" s="101"/>
      <c r="Q215" s="101"/>
      <c r="R215" s="101"/>
    </row>
    <row r="216" spans="2:18">
      <c r="B216" s="521" t="s">
        <v>318</v>
      </c>
      <c r="C216" s="522" t="s">
        <v>1037</v>
      </c>
      <c r="D216" s="423" t="s">
        <v>329</v>
      </c>
      <c r="E216" s="521" t="s">
        <v>1038</v>
      </c>
      <c r="F216" s="522">
        <v>201612</v>
      </c>
      <c r="G216" s="482">
        <v>-964.24</v>
      </c>
      <c r="H216" s="112">
        <f t="shared" si="8"/>
        <v>2017</v>
      </c>
      <c r="I216" s="312">
        <v>20</v>
      </c>
      <c r="J216" s="107" t="s">
        <v>189</v>
      </c>
      <c r="K216" s="103"/>
      <c r="L216" s="101"/>
      <c r="M216" s="101">
        <f t="shared" si="9"/>
        <v>3301</v>
      </c>
      <c r="O216" s="101"/>
      <c r="P216" s="101"/>
      <c r="Q216" s="101"/>
      <c r="R216" s="101"/>
    </row>
    <row r="217" spans="2:18" ht="15">
      <c r="B217" s="521" t="s">
        <v>318</v>
      </c>
      <c r="C217" s="522" t="s">
        <v>1037</v>
      </c>
      <c r="D217" s="424" t="s">
        <v>329</v>
      </c>
      <c r="E217" s="521" t="s">
        <v>1038</v>
      </c>
      <c r="F217" s="522">
        <v>201612</v>
      </c>
      <c r="G217" s="482">
        <v>-72.819999999999993</v>
      </c>
      <c r="H217" s="112">
        <f t="shared" si="8"/>
        <v>2017</v>
      </c>
      <c r="I217" s="312">
        <v>20</v>
      </c>
      <c r="J217" s="107" t="s">
        <v>189</v>
      </c>
      <c r="K217" s="103"/>
      <c r="L217" s="101"/>
      <c r="M217" s="101">
        <f t="shared" si="9"/>
        <v>3301</v>
      </c>
      <c r="O217" s="101"/>
      <c r="P217" s="101"/>
      <c r="Q217" s="101"/>
      <c r="R217" s="101"/>
    </row>
    <row r="218" spans="2:18" ht="15">
      <c r="B218" s="521" t="s">
        <v>318</v>
      </c>
      <c r="C218" s="522" t="s">
        <v>850</v>
      </c>
      <c r="D218" s="424" t="s">
        <v>329</v>
      </c>
      <c r="E218" s="521" t="s">
        <v>851</v>
      </c>
      <c r="F218" s="522">
        <v>201612</v>
      </c>
      <c r="G218" s="482">
        <v>29.44</v>
      </c>
      <c r="H218" s="112">
        <f t="shared" si="8"/>
        <v>2017</v>
      </c>
      <c r="I218" s="312">
        <v>20</v>
      </c>
      <c r="J218" s="107" t="s">
        <v>189</v>
      </c>
      <c r="K218" s="103"/>
      <c r="L218" s="101"/>
      <c r="M218" s="101">
        <f t="shared" si="9"/>
        <v>3301</v>
      </c>
      <c r="O218" s="101"/>
      <c r="P218" s="101"/>
      <c r="Q218" s="101"/>
      <c r="R218" s="101"/>
    </row>
    <row r="219" spans="2:18" ht="15">
      <c r="B219" s="521" t="s">
        <v>318</v>
      </c>
      <c r="C219" s="522" t="s">
        <v>850</v>
      </c>
      <c r="D219" s="424" t="s">
        <v>329</v>
      </c>
      <c r="E219" s="521" t="s">
        <v>851</v>
      </c>
      <c r="F219" s="522">
        <v>201612</v>
      </c>
      <c r="G219" s="482">
        <v>357.86</v>
      </c>
      <c r="H219" s="112">
        <f t="shared" si="8"/>
        <v>2017</v>
      </c>
      <c r="I219" s="312">
        <v>20</v>
      </c>
      <c r="J219" s="107" t="s">
        <v>189</v>
      </c>
      <c r="K219" s="103"/>
      <c r="L219" s="101"/>
      <c r="M219" s="101">
        <f t="shared" si="9"/>
        <v>3301</v>
      </c>
      <c r="O219" s="101"/>
      <c r="P219" s="101"/>
      <c r="Q219" s="101"/>
      <c r="R219" s="101"/>
    </row>
    <row r="220" spans="2:18" ht="15">
      <c r="B220" s="521" t="s">
        <v>318</v>
      </c>
      <c r="C220" s="522" t="s">
        <v>1069</v>
      </c>
      <c r="D220" s="424" t="s">
        <v>330</v>
      </c>
      <c r="E220" s="521" t="s">
        <v>1105</v>
      </c>
      <c r="F220" s="522">
        <v>201612</v>
      </c>
      <c r="G220" s="482">
        <v>398.74</v>
      </c>
      <c r="H220" s="112">
        <f t="shared" si="8"/>
        <v>2017</v>
      </c>
      <c r="I220" s="312">
        <v>20</v>
      </c>
      <c r="J220" s="107" t="s">
        <v>189</v>
      </c>
      <c r="K220" s="103"/>
      <c r="L220" s="101"/>
      <c r="M220" s="101">
        <f t="shared" si="9"/>
        <v>3301</v>
      </c>
      <c r="O220" s="101"/>
      <c r="P220" s="101"/>
      <c r="Q220" s="101"/>
      <c r="R220" s="101"/>
    </row>
    <row r="221" spans="2:18" ht="15">
      <c r="B221" s="521" t="s">
        <v>318</v>
      </c>
      <c r="C221" s="522" t="s">
        <v>1069</v>
      </c>
      <c r="D221" s="424" t="s">
        <v>330</v>
      </c>
      <c r="E221" s="521" t="s">
        <v>1105</v>
      </c>
      <c r="F221" s="522">
        <v>201612</v>
      </c>
      <c r="G221" s="482">
        <v>8808.9699999999993</v>
      </c>
      <c r="H221" s="112">
        <f t="shared" si="8"/>
        <v>2017</v>
      </c>
      <c r="I221" s="312">
        <v>20</v>
      </c>
      <c r="J221" s="107" t="s">
        <v>189</v>
      </c>
      <c r="K221" s="103"/>
      <c r="L221" s="101"/>
      <c r="M221" s="101">
        <f t="shared" si="9"/>
        <v>3301</v>
      </c>
      <c r="O221" s="101"/>
      <c r="P221" s="101"/>
      <c r="Q221" s="101"/>
      <c r="R221" s="101"/>
    </row>
    <row r="222" spans="2:18" ht="15">
      <c r="B222" s="521" t="s">
        <v>318</v>
      </c>
      <c r="C222" s="522" t="s">
        <v>975</v>
      </c>
      <c r="D222" s="424" t="s">
        <v>330</v>
      </c>
      <c r="E222" s="521" t="s">
        <v>976</v>
      </c>
      <c r="F222" s="522">
        <v>201612</v>
      </c>
      <c r="G222" s="482">
        <v>-170.62</v>
      </c>
      <c r="H222" s="112">
        <f t="shared" si="8"/>
        <v>2017</v>
      </c>
      <c r="I222" s="312">
        <v>20</v>
      </c>
      <c r="J222" s="107" t="s">
        <v>189</v>
      </c>
      <c r="K222" s="103"/>
      <c r="L222" s="101"/>
      <c r="M222" s="101">
        <f t="shared" si="9"/>
        <v>3301</v>
      </c>
      <c r="O222" s="101"/>
      <c r="P222" s="101"/>
      <c r="Q222" s="101"/>
      <c r="R222" s="101"/>
    </row>
    <row r="223" spans="2:18" ht="15">
      <c r="B223" s="521" t="s">
        <v>318</v>
      </c>
      <c r="C223" s="522" t="s">
        <v>975</v>
      </c>
      <c r="D223" s="424" t="s">
        <v>330</v>
      </c>
      <c r="E223" s="521" t="s">
        <v>976</v>
      </c>
      <c r="F223" s="522">
        <v>201612</v>
      </c>
      <c r="G223" s="482">
        <v>-2.4900000000000002</v>
      </c>
      <c r="H223" s="112">
        <f t="shared" si="8"/>
        <v>2017</v>
      </c>
      <c r="I223" s="312">
        <v>20</v>
      </c>
      <c r="J223" s="107" t="s">
        <v>189</v>
      </c>
      <c r="K223" s="103"/>
      <c r="L223" s="101"/>
      <c r="M223" s="101">
        <f t="shared" si="9"/>
        <v>3301</v>
      </c>
      <c r="O223" s="101"/>
      <c r="P223" s="101"/>
      <c r="Q223" s="101"/>
      <c r="R223" s="101"/>
    </row>
    <row r="224" spans="2:18" ht="15">
      <c r="B224" s="521" t="s">
        <v>318</v>
      </c>
      <c r="C224" s="522" t="s">
        <v>852</v>
      </c>
      <c r="D224" s="424" t="s">
        <v>330</v>
      </c>
      <c r="E224" s="521" t="s">
        <v>853</v>
      </c>
      <c r="F224" s="522">
        <v>201612</v>
      </c>
      <c r="G224" s="482">
        <v>56.08</v>
      </c>
      <c r="H224" s="112">
        <f t="shared" si="8"/>
        <v>2017</v>
      </c>
      <c r="I224" s="312">
        <v>20</v>
      </c>
      <c r="J224" s="107" t="s">
        <v>189</v>
      </c>
      <c r="K224" s="103"/>
      <c r="L224" s="101"/>
      <c r="M224" s="101">
        <f t="shared" si="9"/>
        <v>3301</v>
      </c>
      <c r="O224" s="101"/>
      <c r="P224" s="101"/>
      <c r="Q224" s="101"/>
      <c r="R224" s="101"/>
    </row>
    <row r="225" spans="2:18" ht="15">
      <c r="B225" s="521" t="s">
        <v>318</v>
      </c>
      <c r="C225" s="522" t="s">
        <v>852</v>
      </c>
      <c r="D225" s="424" t="s">
        <v>330</v>
      </c>
      <c r="E225" s="521" t="s">
        <v>853</v>
      </c>
      <c r="F225" s="522">
        <v>201612</v>
      </c>
      <c r="G225" s="482">
        <v>655.22</v>
      </c>
      <c r="H225" s="112">
        <f t="shared" si="8"/>
        <v>2017</v>
      </c>
      <c r="I225" s="312">
        <v>20</v>
      </c>
      <c r="J225" s="107" t="s">
        <v>189</v>
      </c>
      <c r="K225" s="103"/>
      <c r="L225" s="101"/>
      <c r="M225" s="101">
        <f t="shared" si="9"/>
        <v>3301</v>
      </c>
      <c r="O225" s="101"/>
      <c r="P225" s="101"/>
      <c r="Q225" s="101"/>
      <c r="R225" s="101"/>
    </row>
    <row r="226" spans="2:18" ht="15">
      <c r="B226" s="521" t="s">
        <v>318</v>
      </c>
      <c r="C226" s="522" t="s">
        <v>870</v>
      </c>
      <c r="D226" s="424" t="s">
        <v>330</v>
      </c>
      <c r="E226" s="521" t="s">
        <v>871</v>
      </c>
      <c r="F226" s="522">
        <v>201612</v>
      </c>
      <c r="G226" s="482">
        <v>-518.27</v>
      </c>
      <c r="H226" s="112">
        <f t="shared" si="8"/>
        <v>2017</v>
      </c>
      <c r="I226" s="312">
        <v>20</v>
      </c>
      <c r="J226" s="107" t="s">
        <v>189</v>
      </c>
      <c r="K226" s="103"/>
      <c r="L226" s="101"/>
      <c r="M226" s="101">
        <f t="shared" si="9"/>
        <v>3301</v>
      </c>
      <c r="O226" s="101"/>
      <c r="P226" s="101"/>
      <c r="Q226" s="101"/>
      <c r="R226" s="101"/>
    </row>
    <row r="227" spans="2:18" ht="15">
      <c r="B227" s="521" t="s">
        <v>318</v>
      </c>
      <c r="C227" s="522" t="s">
        <v>870</v>
      </c>
      <c r="D227" s="424" t="s">
        <v>330</v>
      </c>
      <c r="E227" s="521" t="s">
        <v>871</v>
      </c>
      <c r="F227" s="522">
        <v>201612</v>
      </c>
      <c r="G227" s="482">
        <v>-461.5</v>
      </c>
      <c r="H227" s="112">
        <f t="shared" si="8"/>
        <v>2017</v>
      </c>
      <c r="I227" s="312">
        <v>20</v>
      </c>
      <c r="J227" s="107" t="s">
        <v>189</v>
      </c>
      <c r="K227" s="103"/>
      <c r="L227" s="101"/>
      <c r="M227" s="101">
        <f t="shared" si="9"/>
        <v>3301</v>
      </c>
      <c r="O227" s="101"/>
      <c r="P227" s="101"/>
      <c r="Q227" s="101"/>
      <c r="R227" s="101"/>
    </row>
    <row r="228" spans="2:18" ht="15">
      <c r="B228" s="521" t="s">
        <v>318</v>
      </c>
      <c r="C228" s="522" t="s">
        <v>1039</v>
      </c>
      <c r="D228" s="424" t="s">
        <v>330</v>
      </c>
      <c r="E228" s="521" t="s">
        <v>1040</v>
      </c>
      <c r="F228" s="522">
        <v>201612</v>
      </c>
      <c r="G228" s="482">
        <v>72.84</v>
      </c>
      <c r="H228" s="112">
        <f t="shared" si="8"/>
        <v>2017</v>
      </c>
      <c r="I228" s="312">
        <v>20</v>
      </c>
      <c r="J228" s="107" t="s">
        <v>189</v>
      </c>
      <c r="K228" s="103"/>
      <c r="L228" s="101"/>
      <c r="M228" s="101">
        <f t="shared" si="9"/>
        <v>3301</v>
      </c>
      <c r="O228" s="101"/>
      <c r="P228" s="101"/>
      <c r="Q228" s="101"/>
      <c r="R228" s="101"/>
    </row>
    <row r="229" spans="2:18" ht="15">
      <c r="B229" s="521" t="s">
        <v>318</v>
      </c>
      <c r="C229" s="522" t="s">
        <v>1039</v>
      </c>
      <c r="D229" s="424" t="s">
        <v>330</v>
      </c>
      <c r="E229" s="521" t="s">
        <v>1040</v>
      </c>
      <c r="F229" s="522">
        <v>201612</v>
      </c>
      <c r="G229" s="482">
        <v>1478.2</v>
      </c>
      <c r="H229" s="112">
        <f t="shared" si="8"/>
        <v>2017</v>
      </c>
      <c r="I229" s="312">
        <v>20</v>
      </c>
      <c r="J229" s="107" t="s">
        <v>189</v>
      </c>
      <c r="K229" s="103"/>
      <c r="L229" s="101"/>
      <c r="M229" s="101">
        <f t="shared" si="9"/>
        <v>3301</v>
      </c>
      <c r="O229" s="101"/>
      <c r="P229" s="101"/>
      <c r="Q229" s="101"/>
      <c r="R229" s="101"/>
    </row>
    <row r="230" spans="2:18" ht="15">
      <c r="B230" s="521" t="s">
        <v>318</v>
      </c>
      <c r="C230" s="522" t="s">
        <v>872</v>
      </c>
      <c r="D230" s="424" t="s">
        <v>330</v>
      </c>
      <c r="E230" s="521" t="s">
        <v>873</v>
      </c>
      <c r="F230" s="522">
        <v>201612</v>
      </c>
      <c r="G230" s="482">
        <v>-86.06</v>
      </c>
      <c r="H230" s="112">
        <f t="shared" si="8"/>
        <v>2017</v>
      </c>
      <c r="I230" s="312">
        <v>20</v>
      </c>
      <c r="J230" s="107" t="s">
        <v>189</v>
      </c>
      <c r="K230" s="103"/>
      <c r="L230" s="101"/>
      <c r="M230" s="101">
        <f t="shared" si="9"/>
        <v>3301</v>
      </c>
      <c r="O230" s="101"/>
      <c r="P230" s="101"/>
      <c r="Q230" s="101"/>
      <c r="R230" s="101"/>
    </row>
    <row r="231" spans="2:18">
      <c r="B231" s="521" t="s">
        <v>318</v>
      </c>
      <c r="C231" s="522" t="s">
        <v>872</v>
      </c>
      <c r="D231" s="423" t="s">
        <v>330</v>
      </c>
      <c r="E231" s="521" t="s">
        <v>873</v>
      </c>
      <c r="F231" s="522">
        <v>201612</v>
      </c>
      <c r="G231" s="482">
        <v>-54.65</v>
      </c>
      <c r="H231" s="112">
        <f t="shared" si="8"/>
        <v>2017</v>
      </c>
      <c r="I231" s="312">
        <v>20</v>
      </c>
      <c r="J231" s="107" t="s">
        <v>189</v>
      </c>
      <c r="K231" s="103"/>
      <c r="L231" s="101"/>
      <c r="M231" s="101">
        <f t="shared" si="9"/>
        <v>3301</v>
      </c>
      <c r="O231" s="101"/>
      <c r="P231" s="101"/>
      <c r="Q231" s="101"/>
      <c r="R231" s="101"/>
    </row>
    <row r="232" spans="2:18" ht="15">
      <c r="B232" s="521" t="s">
        <v>318</v>
      </c>
      <c r="C232" s="522" t="s">
        <v>977</v>
      </c>
      <c r="D232" s="424" t="s">
        <v>330</v>
      </c>
      <c r="E232" s="521" t="s">
        <v>978</v>
      </c>
      <c r="F232" s="522">
        <v>201612</v>
      </c>
      <c r="G232" s="482">
        <v>2.34</v>
      </c>
      <c r="H232" s="112">
        <f t="shared" si="8"/>
        <v>2017</v>
      </c>
      <c r="I232" s="312">
        <v>20</v>
      </c>
      <c r="J232" s="107" t="s">
        <v>189</v>
      </c>
      <c r="K232" s="103"/>
      <c r="L232" s="101"/>
      <c r="M232" s="101">
        <f t="shared" si="9"/>
        <v>3301</v>
      </c>
      <c r="O232" s="101"/>
      <c r="P232" s="101"/>
      <c r="Q232" s="101"/>
      <c r="R232" s="101"/>
    </row>
    <row r="233" spans="2:18" ht="15">
      <c r="B233" s="521" t="s">
        <v>318</v>
      </c>
      <c r="C233" s="522" t="s">
        <v>977</v>
      </c>
      <c r="D233" s="424" t="s">
        <v>330</v>
      </c>
      <c r="E233" s="521" t="s">
        <v>978</v>
      </c>
      <c r="F233" s="522">
        <v>201612</v>
      </c>
      <c r="G233" s="482">
        <v>36.9</v>
      </c>
      <c r="H233" s="112">
        <f t="shared" si="8"/>
        <v>2017</v>
      </c>
      <c r="I233" s="312">
        <v>20</v>
      </c>
      <c r="J233" s="107" t="s">
        <v>189</v>
      </c>
      <c r="K233" s="103"/>
      <c r="L233" s="101"/>
      <c r="M233" s="101">
        <f t="shared" si="9"/>
        <v>3301</v>
      </c>
      <c r="O233" s="101"/>
      <c r="P233" s="101"/>
      <c r="Q233" s="101"/>
      <c r="R233" s="101"/>
    </row>
    <row r="234" spans="2:18" ht="15">
      <c r="B234" s="521" t="s">
        <v>318</v>
      </c>
      <c r="C234" s="522" t="s">
        <v>1041</v>
      </c>
      <c r="D234" s="424" t="s">
        <v>330</v>
      </c>
      <c r="E234" s="521" t="s">
        <v>1042</v>
      </c>
      <c r="F234" s="522">
        <v>201612</v>
      </c>
      <c r="G234" s="482">
        <v>-79.11</v>
      </c>
      <c r="H234" s="112">
        <f t="shared" si="8"/>
        <v>2017</v>
      </c>
      <c r="I234" s="312">
        <v>20</v>
      </c>
      <c r="J234" s="107" t="s">
        <v>189</v>
      </c>
      <c r="K234" s="103"/>
      <c r="L234" s="101"/>
      <c r="M234" s="101">
        <f t="shared" si="9"/>
        <v>3301</v>
      </c>
      <c r="O234" s="101"/>
      <c r="P234" s="101"/>
      <c r="Q234" s="101"/>
      <c r="R234" s="101"/>
    </row>
    <row r="235" spans="2:18" ht="15">
      <c r="B235" s="521" t="s">
        <v>318</v>
      </c>
      <c r="C235" s="522" t="s">
        <v>1041</v>
      </c>
      <c r="D235" s="424" t="s">
        <v>330</v>
      </c>
      <c r="E235" s="521" t="s">
        <v>1042</v>
      </c>
      <c r="F235" s="522">
        <v>201612</v>
      </c>
      <c r="G235" s="482">
        <v>-5.9</v>
      </c>
      <c r="H235" s="112">
        <f t="shared" si="8"/>
        <v>2017</v>
      </c>
      <c r="I235" s="312">
        <v>20</v>
      </c>
      <c r="J235" s="107" t="s">
        <v>189</v>
      </c>
      <c r="K235" s="103"/>
      <c r="L235" s="101"/>
      <c r="M235" s="101">
        <f t="shared" si="9"/>
        <v>3301</v>
      </c>
      <c r="O235" s="101"/>
      <c r="P235" s="101"/>
      <c r="Q235" s="101"/>
      <c r="R235" s="101"/>
    </row>
    <row r="236" spans="2:18" ht="15">
      <c r="B236" s="521" t="s">
        <v>318</v>
      </c>
      <c r="C236" s="522" t="s">
        <v>979</v>
      </c>
      <c r="D236" s="424" t="s">
        <v>330</v>
      </c>
      <c r="E236" s="521" t="s">
        <v>980</v>
      </c>
      <c r="F236" s="522">
        <v>201612</v>
      </c>
      <c r="G236" s="482">
        <v>143.44999999999999</v>
      </c>
      <c r="H236" s="112">
        <f t="shared" si="8"/>
        <v>2017</v>
      </c>
      <c r="I236" s="312">
        <v>20</v>
      </c>
      <c r="J236" s="107" t="s">
        <v>189</v>
      </c>
      <c r="K236" s="103"/>
      <c r="L236" s="101"/>
      <c r="M236" s="101">
        <f t="shared" si="9"/>
        <v>3301</v>
      </c>
      <c r="O236" s="101"/>
      <c r="P236" s="101"/>
      <c r="Q236" s="101"/>
      <c r="R236" s="101"/>
    </row>
    <row r="237" spans="2:18">
      <c r="B237" s="521" t="s">
        <v>318</v>
      </c>
      <c r="C237" s="522" t="s">
        <v>979</v>
      </c>
      <c r="D237" s="423" t="s">
        <v>330</v>
      </c>
      <c r="E237" s="521" t="s">
        <v>980</v>
      </c>
      <c r="F237" s="522">
        <v>201612</v>
      </c>
      <c r="G237" s="482">
        <v>2919.8</v>
      </c>
      <c r="H237" s="112">
        <f t="shared" si="8"/>
        <v>2017</v>
      </c>
      <c r="I237" s="312">
        <v>20</v>
      </c>
      <c r="J237" s="107" t="s">
        <v>189</v>
      </c>
      <c r="K237" s="103"/>
      <c r="L237" s="101"/>
      <c r="M237" s="101">
        <f t="shared" si="9"/>
        <v>3301</v>
      </c>
      <c r="O237" s="101"/>
      <c r="P237" s="101"/>
      <c r="Q237" s="101"/>
      <c r="R237" s="101"/>
    </row>
    <row r="238" spans="2:18">
      <c r="B238" s="521" t="s">
        <v>318</v>
      </c>
      <c r="C238" s="522" t="s">
        <v>981</v>
      </c>
      <c r="D238" s="423" t="s">
        <v>330</v>
      </c>
      <c r="E238" s="521" t="s">
        <v>1014</v>
      </c>
      <c r="F238" s="522">
        <v>201612</v>
      </c>
      <c r="G238" s="482">
        <v>10.25</v>
      </c>
      <c r="H238" s="112">
        <f t="shared" si="8"/>
        <v>2017</v>
      </c>
      <c r="I238" s="312">
        <v>20</v>
      </c>
      <c r="J238" s="107" t="s">
        <v>189</v>
      </c>
      <c r="K238" s="103"/>
      <c r="L238" s="101"/>
      <c r="M238" s="101">
        <f t="shared" si="9"/>
        <v>3301</v>
      </c>
      <c r="O238" s="101"/>
      <c r="P238" s="101"/>
      <c r="Q238" s="101"/>
      <c r="R238" s="101"/>
    </row>
    <row r="239" spans="2:18">
      <c r="B239" s="521" t="s">
        <v>318</v>
      </c>
      <c r="C239" s="522" t="s">
        <v>981</v>
      </c>
      <c r="D239" s="423" t="s">
        <v>330</v>
      </c>
      <c r="E239" s="521" t="s">
        <v>1014</v>
      </c>
      <c r="F239" s="522">
        <v>201612</v>
      </c>
      <c r="G239" s="482">
        <v>56.23</v>
      </c>
      <c r="H239" s="112">
        <f t="shared" si="8"/>
        <v>2017</v>
      </c>
      <c r="I239" s="312">
        <v>20</v>
      </c>
      <c r="J239" s="107" t="s">
        <v>189</v>
      </c>
      <c r="K239" s="103"/>
      <c r="L239" s="101"/>
      <c r="M239" s="101">
        <f t="shared" si="9"/>
        <v>3301</v>
      </c>
      <c r="O239" s="101"/>
      <c r="P239" s="101"/>
      <c r="Q239" s="101"/>
      <c r="R239" s="101"/>
    </row>
    <row r="240" spans="2:18">
      <c r="B240" s="521" t="s">
        <v>318</v>
      </c>
      <c r="C240" s="522" t="s">
        <v>981</v>
      </c>
      <c r="D240" s="423" t="s">
        <v>330</v>
      </c>
      <c r="E240" s="521" t="s">
        <v>1014</v>
      </c>
      <c r="F240" s="522">
        <v>201612</v>
      </c>
      <c r="G240" s="482">
        <v>1110.28</v>
      </c>
      <c r="H240" s="112">
        <f t="shared" si="8"/>
        <v>2017</v>
      </c>
      <c r="I240" s="312">
        <v>20</v>
      </c>
      <c r="J240" s="107" t="s">
        <v>189</v>
      </c>
      <c r="K240" s="103"/>
      <c r="L240" s="101"/>
      <c r="M240" s="101">
        <f t="shared" si="9"/>
        <v>3301</v>
      </c>
      <c r="O240" s="101"/>
      <c r="P240" s="101"/>
      <c r="Q240" s="101"/>
      <c r="R240" s="101"/>
    </row>
    <row r="241" spans="2:18" ht="15">
      <c r="B241" s="521" t="s">
        <v>318</v>
      </c>
      <c r="C241" s="522" t="s">
        <v>874</v>
      </c>
      <c r="D241" s="424" t="s">
        <v>330</v>
      </c>
      <c r="E241" s="521" t="s">
        <v>875</v>
      </c>
      <c r="F241" s="522">
        <v>201612</v>
      </c>
      <c r="G241" s="482">
        <v>0.5</v>
      </c>
      <c r="H241" s="112">
        <f t="shared" si="8"/>
        <v>2017</v>
      </c>
      <c r="I241" s="312">
        <v>20</v>
      </c>
      <c r="J241" s="107" t="s">
        <v>189</v>
      </c>
      <c r="K241" s="103"/>
      <c r="L241" s="101"/>
      <c r="M241" s="101">
        <f t="shared" si="9"/>
        <v>3301</v>
      </c>
      <c r="O241" s="101"/>
      <c r="P241" s="101"/>
      <c r="Q241" s="101"/>
      <c r="R241" s="101"/>
    </row>
    <row r="242" spans="2:18" ht="15">
      <c r="B242" s="521" t="s">
        <v>318</v>
      </c>
      <c r="C242" s="522" t="s">
        <v>874</v>
      </c>
      <c r="D242" s="424" t="s">
        <v>330</v>
      </c>
      <c r="E242" s="521" t="s">
        <v>875</v>
      </c>
      <c r="F242" s="522">
        <v>201612</v>
      </c>
      <c r="G242" s="482">
        <v>69.569999999999993</v>
      </c>
      <c r="H242" s="112">
        <f t="shared" si="8"/>
        <v>2017</v>
      </c>
      <c r="I242" s="312">
        <v>20</v>
      </c>
      <c r="J242" s="107" t="s">
        <v>189</v>
      </c>
      <c r="K242" s="103"/>
      <c r="L242" s="101"/>
      <c r="M242" s="101">
        <f t="shared" si="9"/>
        <v>3301</v>
      </c>
      <c r="O242" s="101"/>
      <c r="P242" s="101"/>
      <c r="Q242" s="101"/>
      <c r="R242" s="101"/>
    </row>
    <row r="243" spans="2:18" ht="15">
      <c r="B243" s="521" t="s">
        <v>318</v>
      </c>
      <c r="C243" s="522" t="s">
        <v>983</v>
      </c>
      <c r="D243" s="424" t="s">
        <v>330</v>
      </c>
      <c r="E243" s="521" t="s">
        <v>984</v>
      </c>
      <c r="F243" s="522">
        <v>201612</v>
      </c>
      <c r="G243" s="482">
        <v>3.39</v>
      </c>
      <c r="H243" s="112">
        <f t="shared" si="8"/>
        <v>2017</v>
      </c>
      <c r="I243" s="312">
        <v>20</v>
      </c>
      <c r="J243" s="107" t="s">
        <v>189</v>
      </c>
      <c r="K243" s="103"/>
      <c r="L243" s="101"/>
      <c r="M243" s="101">
        <f t="shared" si="9"/>
        <v>3301</v>
      </c>
      <c r="O243" s="101"/>
      <c r="P243" s="101"/>
      <c r="Q243" s="101"/>
      <c r="R243" s="101"/>
    </row>
    <row r="244" spans="2:18" ht="15">
      <c r="B244" s="521" t="s">
        <v>318</v>
      </c>
      <c r="C244" s="522" t="s">
        <v>983</v>
      </c>
      <c r="D244" s="424" t="s">
        <v>330</v>
      </c>
      <c r="E244" s="521" t="s">
        <v>984</v>
      </c>
      <c r="F244" s="522">
        <v>201612</v>
      </c>
      <c r="G244" s="482">
        <v>94.56</v>
      </c>
      <c r="H244" s="112">
        <f t="shared" si="8"/>
        <v>2017</v>
      </c>
      <c r="I244" s="312">
        <v>20</v>
      </c>
      <c r="J244" s="107" t="s">
        <v>189</v>
      </c>
      <c r="K244" s="103"/>
      <c r="L244" s="101"/>
      <c r="M244" s="101">
        <f t="shared" si="9"/>
        <v>3301</v>
      </c>
      <c r="O244" s="101"/>
      <c r="P244" s="101"/>
      <c r="Q244" s="101"/>
      <c r="R244" s="101"/>
    </row>
    <row r="245" spans="2:18" ht="15">
      <c r="B245" s="521" t="s">
        <v>318</v>
      </c>
      <c r="C245" s="522" t="s">
        <v>1043</v>
      </c>
      <c r="D245" s="424" t="s">
        <v>330</v>
      </c>
      <c r="E245" s="521" t="s">
        <v>1044</v>
      </c>
      <c r="F245" s="522">
        <v>201612</v>
      </c>
      <c r="G245" s="482">
        <v>-7.4</v>
      </c>
      <c r="H245" s="112">
        <f t="shared" si="8"/>
        <v>2017</v>
      </c>
      <c r="I245" s="312">
        <v>20</v>
      </c>
      <c r="J245" s="107" t="s">
        <v>189</v>
      </c>
      <c r="K245" s="103"/>
      <c r="L245" s="101"/>
      <c r="M245" s="101">
        <f t="shared" si="9"/>
        <v>3301</v>
      </c>
      <c r="O245" s="101"/>
      <c r="P245" s="101"/>
      <c r="Q245" s="101"/>
      <c r="R245" s="101"/>
    </row>
    <row r="246" spans="2:18" ht="15">
      <c r="B246" s="521" t="s">
        <v>318</v>
      </c>
      <c r="C246" s="522" t="s">
        <v>1043</v>
      </c>
      <c r="D246" s="424" t="s">
        <v>330</v>
      </c>
      <c r="E246" s="521" t="s">
        <v>1044</v>
      </c>
      <c r="F246" s="522">
        <v>201612</v>
      </c>
      <c r="G246" s="482">
        <v>-0.41</v>
      </c>
      <c r="H246" s="112">
        <f t="shared" si="8"/>
        <v>2017</v>
      </c>
      <c r="I246" s="312">
        <v>20</v>
      </c>
      <c r="J246" s="107" t="s">
        <v>189</v>
      </c>
      <c r="K246" s="103"/>
      <c r="L246" s="101"/>
      <c r="M246" s="101">
        <f t="shared" si="9"/>
        <v>3301</v>
      </c>
      <c r="O246" s="101"/>
      <c r="P246" s="101"/>
      <c r="Q246" s="101"/>
      <c r="R246" s="101"/>
    </row>
    <row r="247" spans="2:18">
      <c r="B247" s="521" t="s">
        <v>318</v>
      </c>
      <c r="C247" s="522" t="s">
        <v>876</v>
      </c>
      <c r="D247" s="423" t="s">
        <v>330</v>
      </c>
      <c r="E247" s="521" t="s">
        <v>877</v>
      </c>
      <c r="F247" s="522">
        <v>201612</v>
      </c>
      <c r="G247" s="482">
        <v>-23.65</v>
      </c>
      <c r="H247" s="112">
        <f t="shared" si="8"/>
        <v>2017</v>
      </c>
      <c r="I247" s="312">
        <v>20</v>
      </c>
      <c r="J247" s="107" t="s">
        <v>189</v>
      </c>
      <c r="K247" s="103"/>
      <c r="L247" s="101"/>
      <c r="M247" s="101">
        <f t="shared" si="9"/>
        <v>3301</v>
      </c>
      <c r="O247" s="101"/>
      <c r="P247" s="101"/>
      <c r="Q247" s="101"/>
      <c r="R247" s="101"/>
    </row>
    <row r="248" spans="2:18">
      <c r="B248" s="521" t="s">
        <v>318</v>
      </c>
      <c r="C248" s="522" t="s">
        <v>876</v>
      </c>
      <c r="D248" s="423" t="s">
        <v>330</v>
      </c>
      <c r="E248" s="521" t="s">
        <v>877</v>
      </c>
      <c r="F248" s="522">
        <v>201612</v>
      </c>
      <c r="G248" s="482">
        <v>-1.33</v>
      </c>
      <c r="H248" s="112">
        <f t="shared" si="8"/>
        <v>2017</v>
      </c>
      <c r="I248" s="312">
        <v>20</v>
      </c>
      <c r="J248" s="107" t="s">
        <v>189</v>
      </c>
      <c r="K248" s="103"/>
      <c r="L248" s="101"/>
      <c r="M248" s="101">
        <f t="shared" si="9"/>
        <v>3301</v>
      </c>
      <c r="O248" s="101"/>
      <c r="P248" s="101"/>
      <c r="Q248" s="101"/>
      <c r="R248" s="101"/>
    </row>
    <row r="249" spans="2:18" ht="15">
      <c r="B249" s="521" t="s">
        <v>318</v>
      </c>
      <c r="C249" s="522" t="s">
        <v>1045</v>
      </c>
      <c r="D249" s="424" t="s">
        <v>330</v>
      </c>
      <c r="E249" s="521" t="s">
        <v>1046</v>
      </c>
      <c r="F249" s="522">
        <v>201612</v>
      </c>
      <c r="G249" s="482">
        <v>-89.32</v>
      </c>
      <c r="H249" s="112">
        <f t="shared" si="8"/>
        <v>2017</v>
      </c>
      <c r="I249" s="312">
        <v>20</v>
      </c>
      <c r="J249" s="107" t="s">
        <v>189</v>
      </c>
      <c r="K249" s="103"/>
      <c r="L249" s="101"/>
      <c r="M249" s="101">
        <f t="shared" si="9"/>
        <v>3301</v>
      </c>
      <c r="O249" s="101"/>
      <c r="P249" s="101"/>
      <c r="Q249" s="101"/>
      <c r="R249" s="101"/>
    </row>
    <row r="250" spans="2:18" ht="15">
      <c r="B250" s="521" t="s">
        <v>318</v>
      </c>
      <c r="C250" s="522" t="s">
        <v>1045</v>
      </c>
      <c r="D250" s="424" t="s">
        <v>330</v>
      </c>
      <c r="E250" s="521" t="s">
        <v>1046</v>
      </c>
      <c r="F250" s="522">
        <v>201612</v>
      </c>
      <c r="G250" s="482">
        <v>-5</v>
      </c>
      <c r="H250" s="112">
        <f t="shared" si="8"/>
        <v>2017</v>
      </c>
      <c r="I250" s="312">
        <v>20</v>
      </c>
      <c r="J250" s="107" t="s">
        <v>189</v>
      </c>
      <c r="K250" s="103"/>
      <c r="L250" s="101"/>
      <c r="M250" s="101">
        <f t="shared" si="9"/>
        <v>3301</v>
      </c>
      <c r="O250" s="101"/>
      <c r="P250" s="101"/>
      <c r="Q250" s="101"/>
      <c r="R250" s="101"/>
    </row>
    <row r="251" spans="2:18" ht="15">
      <c r="B251" s="521" t="s">
        <v>318</v>
      </c>
      <c r="C251" s="522" t="s">
        <v>985</v>
      </c>
      <c r="D251" s="424" t="s">
        <v>330</v>
      </c>
      <c r="E251" s="521" t="s">
        <v>986</v>
      </c>
      <c r="F251" s="522">
        <v>201612</v>
      </c>
      <c r="G251" s="482">
        <v>33.700000000000003</v>
      </c>
      <c r="H251" s="112">
        <f t="shared" si="8"/>
        <v>2017</v>
      </c>
      <c r="I251" s="312">
        <v>20</v>
      </c>
      <c r="J251" s="107" t="s">
        <v>189</v>
      </c>
      <c r="K251" s="103"/>
      <c r="L251" s="101"/>
      <c r="M251" s="101">
        <f t="shared" si="9"/>
        <v>3301</v>
      </c>
      <c r="O251" s="101"/>
      <c r="P251" s="101"/>
      <c r="Q251" s="101"/>
      <c r="R251" s="101"/>
    </row>
    <row r="252" spans="2:18" ht="15">
      <c r="B252" s="521" t="s">
        <v>318</v>
      </c>
      <c r="C252" s="522" t="s">
        <v>985</v>
      </c>
      <c r="D252" s="424" t="s">
        <v>330</v>
      </c>
      <c r="E252" s="521" t="s">
        <v>986</v>
      </c>
      <c r="F252" s="522">
        <v>201612</v>
      </c>
      <c r="G252" s="482">
        <v>1053.18</v>
      </c>
      <c r="H252" s="112">
        <f t="shared" si="8"/>
        <v>2017</v>
      </c>
      <c r="I252" s="312">
        <v>20</v>
      </c>
      <c r="J252" s="107" t="s">
        <v>189</v>
      </c>
      <c r="K252" s="103"/>
      <c r="L252" s="101"/>
      <c r="M252" s="101">
        <f t="shared" si="9"/>
        <v>3301</v>
      </c>
      <c r="O252" s="101"/>
      <c r="P252" s="101"/>
      <c r="Q252" s="101"/>
      <c r="R252" s="101"/>
    </row>
    <row r="253" spans="2:18" ht="15">
      <c r="B253" s="521" t="s">
        <v>318</v>
      </c>
      <c r="C253" s="522" t="s">
        <v>878</v>
      </c>
      <c r="D253" s="424" t="s">
        <v>330</v>
      </c>
      <c r="E253" s="521" t="s">
        <v>879</v>
      </c>
      <c r="F253" s="522">
        <v>201612</v>
      </c>
      <c r="G253" s="482">
        <v>-807.02</v>
      </c>
      <c r="H253" s="112">
        <f t="shared" si="8"/>
        <v>2017</v>
      </c>
      <c r="I253" s="312">
        <v>20</v>
      </c>
      <c r="J253" s="107" t="s">
        <v>189</v>
      </c>
      <c r="K253" s="103"/>
      <c r="L253" s="101"/>
      <c r="M253" s="101">
        <f t="shared" si="9"/>
        <v>3301</v>
      </c>
      <c r="O253" s="101"/>
      <c r="P253" s="101"/>
      <c r="Q253" s="101"/>
      <c r="R253" s="101"/>
    </row>
    <row r="254" spans="2:18" ht="15">
      <c r="B254" s="521" t="s">
        <v>318</v>
      </c>
      <c r="C254" s="522" t="s">
        <v>878</v>
      </c>
      <c r="D254" s="424" t="s">
        <v>330</v>
      </c>
      <c r="E254" s="521" t="s">
        <v>879</v>
      </c>
      <c r="F254" s="522">
        <v>201612</v>
      </c>
      <c r="G254" s="482">
        <v>-39.880000000000003</v>
      </c>
      <c r="H254" s="112">
        <f t="shared" si="8"/>
        <v>2017</v>
      </c>
      <c r="I254" s="312">
        <v>20</v>
      </c>
      <c r="J254" s="107" t="s">
        <v>189</v>
      </c>
      <c r="K254" s="103"/>
      <c r="L254" s="101"/>
      <c r="M254" s="101">
        <f t="shared" si="9"/>
        <v>3301</v>
      </c>
      <c r="O254" s="101"/>
      <c r="P254" s="101"/>
      <c r="Q254" s="101"/>
      <c r="R254" s="101"/>
    </row>
    <row r="255" spans="2:18">
      <c r="B255" s="521" t="s">
        <v>318</v>
      </c>
      <c r="C255" s="522" t="s">
        <v>987</v>
      </c>
      <c r="D255" s="423" t="s">
        <v>330</v>
      </c>
      <c r="E255" s="521" t="s">
        <v>988</v>
      </c>
      <c r="F255" s="522">
        <v>201612</v>
      </c>
      <c r="G255" s="482">
        <v>-1.38</v>
      </c>
      <c r="H255" s="112">
        <f t="shared" si="8"/>
        <v>2017</v>
      </c>
      <c r="I255" s="312">
        <v>20</v>
      </c>
      <c r="J255" s="107" t="s">
        <v>189</v>
      </c>
      <c r="K255" s="103"/>
      <c r="L255" s="101"/>
      <c r="M255" s="101">
        <f t="shared" si="9"/>
        <v>3301</v>
      </c>
      <c r="O255" s="101"/>
      <c r="P255" s="101"/>
      <c r="Q255" s="101"/>
      <c r="R255" s="101"/>
    </row>
    <row r="256" spans="2:18">
      <c r="B256" s="521" t="s">
        <v>318</v>
      </c>
      <c r="C256" s="522" t="s">
        <v>987</v>
      </c>
      <c r="D256" s="423" t="s">
        <v>330</v>
      </c>
      <c r="E256" s="521" t="s">
        <v>988</v>
      </c>
      <c r="F256" s="522">
        <v>201612</v>
      </c>
      <c r="G256" s="482">
        <v>-0.06</v>
      </c>
      <c r="H256" s="112">
        <f t="shared" si="8"/>
        <v>2017</v>
      </c>
      <c r="I256" s="312">
        <v>20</v>
      </c>
      <c r="J256" s="107" t="s">
        <v>189</v>
      </c>
      <c r="K256" s="103"/>
      <c r="L256" s="101"/>
      <c r="M256" s="101">
        <f t="shared" si="9"/>
        <v>3301</v>
      </c>
      <c r="O256" s="101"/>
      <c r="P256" s="101"/>
      <c r="Q256" s="101"/>
      <c r="R256" s="101"/>
    </row>
    <row r="257" spans="2:18" ht="15">
      <c r="B257" s="521" t="s">
        <v>318</v>
      </c>
      <c r="C257" s="522" t="s">
        <v>989</v>
      </c>
      <c r="D257" s="424" t="s">
        <v>330</v>
      </c>
      <c r="E257" s="521" t="s">
        <v>990</v>
      </c>
      <c r="F257" s="522">
        <v>201612</v>
      </c>
      <c r="G257" s="482">
        <v>-30.34</v>
      </c>
      <c r="H257" s="112">
        <f t="shared" si="8"/>
        <v>2017</v>
      </c>
      <c r="I257" s="312">
        <v>20</v>
      </c>
      <c r="J257" s="107" t="s">
        <v>189</v>
      </c>
      <c r="K257" s="103"/>
      <c r="L257" s="101"/>
      <c r="M257" s="101">
        <f t="shared" si="9"/>
        <v>3301</v>
      </c>
      <c r="O257" s="101"/>
      <c r="P257" s="101"/>
      <c r="Q257" s="101"/>
      <c r="R257" s="101"/>
    </row>
    <row r="258" spans="2:18" ht="15">
      <c r="B258" s="521" t="s">
        <v>318</v>
      </c>
      <c r="C258" s="522" t="s">
        <v>989</v>
      </c>
      <c r="D258" s="424" t="s">
        <v>330</v>
      </c>
      <c r="E258" s="521" t="s">
        <v>990</v>
      </c>
      <c r="F258" s="522">
        <v>201612</v>
      </c>
      <c r="G258" s="482">
        <v>-1.26</v>
      </c>
      <c r="H258" s="112">
        <f t="shared" ref="H258:H306" si="10">IF(F258&gt;$H$5,0+2017,0+2016)</f>
        <v>2017</v>
      </c>
      <c r="I258" s="312">
        <v>20</v>
      </c>
      <c r="J258" s="107" t="s">
        <v>189</v>
      </c>
      <c r="K258" s="103"/>
      <c r="L258" s="101"/>
      <c r="M258" s="101">
        <f t="shared" ref="M258:M306" si="11">IF(LEFT(D258,2)="34",3401,IF(LEFT(D258,2)="33",3301))</f>
        <v>3301</v>
      </c>
      <c r="O258" s="101"/>
      <c r="P258" s="101"/>
      <c r="Q258" s="101"/>
      <c r="R258" s="101"/>
    </row>
    <row r="259" spans="2:18" ht="15">
      <c r="B259" s="521" t="s">
        <v>318</v>
      </c>
      <c r="C259" s="522" t="s">
        <v>991</v>
      </c>
      <c r="D259" s="424" t="s">
        <v>330</v>
      </c>
      <c r="E259" s="521" t="s">
        <v>992</v>
      </c>
      <c r="F259" s="522">
        <v>201612</v>
      </c>
      <c r="G259" s="482">
        <v>27.76</v>
      </c>
      <c r="H259" s="112">
        <f t="shared" si="10"/>
        <v>2017</v>
      </c>
      <c r="I259" s="312">
        <v>20</v>
      </c>
      <c r="J259" s="107" t="s">
        <v>189</v>
      </c>
      <c r="K259" s="103"/>
      <c r="L259" s="101"/>
      <c r="M259" s="101">
        <f t="shared" si="11"/>
        <v>3301</v>
      </c>
      <c r="O259" s="101"/>
      <c r="P259" s="101"/>
      <c r="Q259" s="101"/>
      <c r="R259" s="101"/>
    </row>
    <row r="260" spans="2:18" ht="15">
      <c r="B260" s="521" t="s">
        <v>318</v>
      </c>
      <c r="C260" s="522" t="s">
        <v>991</v>
      </c>
      <c r="D260" s="424" t="s">
        <v>330</v>
      </c>
      <c r="E260" s="521" t="s">
        <v>992</v>
      </c>
      <c r="F260" s="522">
        <v>201612</v>
      </c>
      <c r="G260" s="482">
        <v>100.01</v>
      </c>
      <c r="H260" s="112">
        <f t="shared" si="10"/>
        <v>2017</v>
      </c>
      <c r="I260" s="312">
        <v>20</v>
      </c>
      <c r="J260" s="107" t="s">
        <v>189</v>
      </c>
      <c r="K260" s="103"/>
      <c r="L260" s="101"/>
      <c r="M260" s="101">
        <f t="shared" si="11"/>
        <v>3301</v>
      </c>
      <c r="O260" s="101"/>
      <c r="P260" s="101"/>
      <c r="Q260" s="101"/>
      <c r="R260" s="101"/>
    </row>
    <row r="261" spans="2:18" ht="15">
      <c r="B261" s="521" t="s">
        <v>318</v>
      </c>
      <c r="C261" s="522" t="s">
        <v>880</v>
      </c>
      <c r="D261" s="424" t="s">
        <v>330</v>
      </c>
      <c r="E261" s="521" t="s">
        <v>881</v>
      </c>
      <c r="F261" s="522">
        <v>201612</v>
      </c>
      <c r="G261" s="482">
        <v>68.09</v>
      </c>
      <c r="H261" s="112">
        <f t="shared" si="10"/>
        <v>2017</v>
      </c>
      <c r="I261" s="312">
        <v>20</v>
      </c>
      <c r="J261" s="107" t="s">
        <v>189</v>
      </c>
      <c r="K261" s="103"/>
      <c r="L261" s="101"/>
      <c r="M261" s="101">
        <f t="shared" si="11"/>
        <v>3301</v>
      </c>
      <c r="O261" s="101"/>
      <c r="P261" s="101"/>
      <c r="Q261" s="101"/>
      <c r="R261" s="101"/>
    </row>
    <row r="262" spans="2:18" ht="15">
      <c r="B262" s="521" t="s">
        <v>318</v>
      </c>
      <c r="C262" s="522" t="s">
        <v>880</v>
      </c>
      <c r="D262" s="424" t="s">
        <v>330</v>
      </c>
      <c r="E262" s="521" t="s">
        <v>881</v>
      </c>
      <c r="F262" s="522">
        <v>201612</v>
      </c>
      <c r="G262" s="482">
        <v>382.06</v>
      </c>
      <c r="H262" s="112">
        <f t="shared" si="10"/>
        <v>2017</v>
      </c>
      <c r="I262" s="312">
        <v>20</v>
      </c>
      <c r="J262" s="107" t="s">
        <v>189</v>
      </c>
      <c r="K262" s="103"/>
      <c r="L262" s="101"/>
      <c r="M262" s="101">
        <f t="shared" si="11"/>
        <v>3301</v>
      </c>
      <c r="O262" s="101"/>
      <c r="P262" s="101"/>
      <c r="Q262" s="101"/>
      <c r="R262" s="101"/>
    </row>
    <row r="263" spans="2:18" ht="15">
      <c r="B263" s="521" t="s">
        <v>318</v>
      </c>
      <c r="C263" s="522" t="s">
        <v>993</v>
      </c>
      <c r="D263" s="424" t="s">
        <v>330</v>
      </c>
      <c r="E263" s="521" t="s">
        <v>994</v>
      </c>
      <c r="F263" s="522">
        <v>201612</v>
      </c>
      <c r="G263" s="482">
        <v>3.35</v>
      </c>
      <c r="H263" s="112">
        <f t="shared" si="10"/>
        <v>2017</v>
      </c>
      <c r="I263" s="312">
        <v>20</v>
      </c>
      <c r="J263" s="107" t="s">
        <v>189</v>
      </c>
      <c r="K263" s="103"/>
      <c r="L263" s="101"/>
      <c r="M263" s="101">
        <f t="shared" si="11"/>
        <v>3301</v>
      </c>
      <c r="O263" s="101"/>
      <c r="P263" s="101"/>
      <c r="Q263" s="101"/>
      <c r="R263" s="101"/>
    </row>
    <row r="264" spans="2:18" ht="15">
      <c r="B264" s="521" t="s">
        <v>318</v>
      </c>
      <c r="C264" s="522" t="s">
        <v>993</v>
      </c>
      <c r="D264" s="424" t="s">
        <v>330</v>
      </c>
      <c r="E264" s="521" t="s">
        <v>994</v>
      </c>
      <c r="F264" s="522">
        <v>201612</v>
      </c>
      <c r="G264" s="482">
        <v>66.52</v>
      </c>
      <c r="H264" s="112">
        <f t="shared" si="10"/>
        <v>2017</v>
      </c>
      <c r="I264" s="312">
        <v>20</v>
      </c>
      <c r="J264" s="107" t="s">
        <v>189</v>
      </c>
      <c r="K264" s="103"/>
      <c r="L264" s="101"/>
      <c r="M264" s="101">
        <f t="shared" si="11"/>
        <v>3301</v>
      </c>
      <c r="O264" s="101"/>
      <c r="P264" s="101"/>
      <c r="Q264" s="101"/>
      <c r="R264" s="101"/>
    </row>
    <row r="265" spans="2:18">
      <c r="B265" s="521" t="s">
        <v>318</v>
      </c>
      <c r="C265" s="522" t="s">
        <v>882</v>
      </c>
      <c r="D265" s="423" t="s">
        <v>330</v>
      </c>
      <c r="E265" s="521" t="s">
        <v>995</v>
      </c>
      <c r="F265" s="522">
        <v>201612</v>
      </c>
      <c r="G265" s="482">
        <v>-93976.95</v>
      </c>
      <c r="H265" s="112">
        <f t="shared" si="10"/>
        <v>2017</v>
      </c>
      <c r="I265" s="312">
        <v>20</v>
      </c>
      <c r="J265" s="107" t="s">
        <v>189</v>
      </c>
      <c r="K265" s="103"/>
      <c r="L265" s="101"/>
      <c r="M265" s="101">
        <f t="shared" si="11"/>
        <v>3301</v>
      </c>
      <c r="O265" s="101"/>
      <c r="P265" s="101"/>
      <c r="Q265" s="101"/>
      <c r="R265" s="101"/>
    </row>
    <row r="266" spans="2:18">
      <c r="B266" s="521" t="s">
        <v>318</v>
      </c>
      <c r="C266" s="522" t="s">
        <v>882</v>
      </c>
      <c r="D266" s="423" t="s">
        <v>330</v>
      </c>
      <c r="E266" s="521" t="s">
        <v>995</v>
      </c>
      <c r="F266" s="522">
        <v>201612</v>
      </c>
      <c r="G266" s="482">
        <v>251.37</v>
      </c>
      <c r="H266" s="112">
        <f t="shared" si="10"/>
        <v>2017</v>
      </c>
      <c r="I266" s="312">
        <v>20</v>
      </c>
      <c r="J266" s="107" t="s">
        <v>189</v>
      </c>
      <c r="K266" s="103"/>
      <c r="L266" s="101"/>
      <c r="M266" s="101">
        <f t="shared" si="11"/>
        <v>3301</v>
      </c>
      <c r="O266" s="101"/>
      <c r="P266" s="101"/>
      <c r="Q266" s="101"/>
      <c r="R266" s="101"/>
    </row>
    <row r="267" spans="2:18">
      <c r="B267" s="521" t="s">
        <v>318</v>
      </c>
      <c r="C267" s="522" t="s">
        <v>882</v>
      </c>
      <c r="D267" s="423" t="s">
        <v>330</v>
      </c>
      <c r="E267" s="521" t="s">
        <v>995</v>
      </c>
      <c r="F267" s="522">
        <v>201612</v>
      </c>
      <c r="G267" s="482">
        <v>93118.65</v>
      </c>
      <c r="H267" s="112">
        <f t="shared" si="10"/>
        <v>2017</v>
      </c>
      <c r="I267" s="312">
        <v>20</v>
      </c>
      <c r="J267" s="107" t="s">
        <v>189</v>
      </c>
      <c r="K267" s="103"/>
      <c r="L267" s="101"/>
      <c r="M267" s="101">
        <f t="shared" si="11"/>
        <v>3301</v>
      </c>
      <c r="O267" s="101"/>
      <c r="P267" s="101"/>
      <c r="Q267" s="101"/>
      <c r="R267" s="101"/>
    </row>
    <row r="268" spans="2:18">
      <c r="B268" s="521" t="s">
        <v>318</v>
      </c>
      <c r="C268" s="522" t="s">
        <v>996</v>
      </c>
      <c r="D268" s="423" t="s">
        <v>330</v>
      </c>
      <c r="E268" s="521" t="s">
        <v>997</v>
      </c>
      <c r="F268" s="522">
        <v>201612</v>
      </c>
      <c r="G268" s="482">
        <v>84.84</v>
      </c>
      <c r="H268" s="112">
        <f t="shared" si="10"/>
        <v>2017</v>
      </c>
      <c r="I268" s="312">
        <v>20</v>
      </c>
      <c r="J268" s="107" t="s">
        <v>189</v>
      </c>
      <c r="K268" s="103"/>
      <c r="L268" s="101"/>
      <c r="M268" s="101">
        <f t="shared" si="11"/>
        <v>3301</v>
      </c>
      <c r="O268" s="101"/>
      <c r="P268" s="101"/>
      <c r="Q268" s="101"/>
      <c r="R268" s="101"/>
    </row>
    <row r="269" spans="2:18">
      <c r="B269" s="521" t="s">
        <v>318</v>
      </c>
      <c r="C269" s="522" t="s">
        <v>996</v>
      </c>
      <c r="D269" s="423" t="s">
        <v>330</v>
      </c>
      <c r="E269" s="521" t="s">
        <v>997</v>
      </c>
      <c r="F269" s="522">
        <v>201612</v>
      </c>
      <c r="G269" s="482">
        <v>2350.87</v>
      </c>
      <c r="H269" s="112">
        <f t="shared" si="10"/>
        <v>2017</v>
      </c>
      <c r="I269" s="312">
        <v>20</v>
      </c>
      <c r="J269" s="107" t="s">
        <v>189</v>
      </c>
      <c r="K269" s="103"/>
      <c r="L269" s="101"/>
      <c r="M269" s="101">
        <f t="shared" si="11"/>
        <v>3301</v>
      </c>
      <c r="O269" s="101"/>
      <c r="P269" s="101"/>
      <c r="Q269" s="101"/>
      <c r="R269" s="101"/>
    </row>
    <row r="270" spans="2:18">
      <c r="B270" s="521" t="s">
        <v>318</v>
      </c>
      <c r="C270" s="522" t="s">
        <v>854</v>
      </c>
      <c r="D270" s="423" t="s">
        <v>330</v>
      </c>
      <c r="E270" s="521" t="s">
        <v>855</v>
      </c>
      <c r="F270" s="522">
        <v>201612</v>
      </c>
      <c r="G270" s="482">
        <v>-312706.87</v>
      </c>
      <c r="H270" s="112">
        <f t="shared" si="10"/>
        <v>2017</v>
      </c>
      <c r="I270" s="312">
        <v>20</v>
      </c>
      <c r="J270" s="107" t="s">
        <v>189</v>
      </c>
      <c r="K270" s="103"/>
      <c r="L270" s="101"/>
      <c r="M270" s="101">
        <f t="shared" si="11"/>
        <v>3301</v>
      </c>
      <c r="O270" s="101"/>
      <c r="P270" s="101"/>
      <c r="Q270" s="101"/>
      <c r="R270" s="101"/>
    </row>
    <row r="271" spans="2:18">
      <c r="B271" s="521" t="s">
        <v>318</v>
      </c>
      <c r="C271" s="522" t="s">
        <v>854</v>
      </c>
      <c r="D271" s="423" t="s">
        <v>330</v>
      </c>
      <c r="E271" s="521" t="s">
        <v>855</v>
      </c>
      <c r="F271" s="522">
        <v>201612</v>
      </c>
      <c r="G271" s="482">
        <v>-10722.62</v>
      </c>
      <c r="H271" s="112">
        <f t="shared" si="10"/>
        <v>2017</v>
      </c>
      <c r="I271" s="312">
        <v>20</v>
      </c>
      <c r="J271" s="107" t="s">
        <v>189</v>
      </c>
      <c r="K271" s="103"/>
      <c r="L271" s="101"/>
      <c r="M271" s="101">
        <f t="shared" si="11"/>
        <v>3301</v>
      </c>
      <c r="O271" s="101"/>
      <c r="P271" s="101"/>
      <c r="Q271" s="101"/>
      <c r="R271" s="101"/>
    </row>
    <row r="272" spans="2:18">
      <c r="B272" s="521" t="s">
        <v>318</v>
      </c>
      <c r="C272" s="522" t="s">
        <v>854</v>
      </c>
      <c r="D272" s="423" t="s">
        <v>330</v>
      </c>
      <c r="E272" s="521" t="s">
        <v>855</v>
      </c>
      <c r="F272" s="522">
        <v>201612</v>
      </c>
      <c r="G272" s="482">
        <v>31369.9</v>
      </c>
      <c r="H272" s="112">
        <f t="shared" si="10"/>
        <v>2017</v>
      </c>
      <c r="I272" s="312">
        <v>20</v>
      </c>
      <c r="J272" s="107" t="s">
        <v>189</v>
      </c>
      <c r="K272" s="103"/>
      <c r="L272" s="101"/>
      <c r="M272" s="101">
        <f t="shared" si="11"/>
        <v>3301</v>
      </c>
      <c r="O272" s="101"/>
      <c r="P272" s="101"/>
      <c r="Q272" s="101"/>
      <c r="R272" s="101"/>
    </row>
    <row r="273" spans="2:18">
      <c r="B273" s="521" t="s">
        <v>318</v>
      </c>
      <c r="C273" s="522" t="s">
        <v>854</v>
      </c>
      <c r="D273" s="423" t="s">
        <v>330</v>
      </c>
      <c r="E273" s="521" t="s">
        <v>855</v>
      </c>
      <c r="F273" s="522">
        <v>201612</v>
      </c>
      <c r="G273" s="482">
        <v>364946.65</v>
      </c>
      <c r="H273" s="112">
        <f t="shared" si="10"/>
        <v>2017</v>
      </c>
      <c r="I273" s="312">
        <v>20</v>
      </c>
      <c r="J273" s="107" t="s">
        <v>189</v>
      </c>
      <c r="K273" s="103"/>
      <c r="L273" s="101"/>
      <c r="M273" s="101">
        <f t="shared" si="11"/>
        <v>3301</v>
      </c>
      <c r="O273" s="101"/>
      <c r="P273" s="101"/>
      <c r="Q273" s="101"/>
      <c r="R273" s="101"/>
    </row>
    <row r="274" spans="2:18">
      <c r="B274" s="521" t="s">
        <v>318</v>
      </c>
      <c r="C274" s="522" t="s">
        <v>1110</v>
      </c>
      <c r="D274" s="423" t="s">
        <v>330</v>
      </c>
      <c r="E274" s="521" t="s">
        <v>1111</v>
      </c>
      <c r="F274" s="522">
        <v>201612</v>
      </c>
      <c r="G274" s="482">
        <v>10846.25</v>
      </c>
      <c r="H274" s="112">
        <f t="shared" si="10"/>
        <v>2017</v>
      </c>
      <c r="I274" s="312">
        <v>20</v>
      </c>
      <c r="J274" s="107" t="s">
        <v>189</v>
      </c>
      <c r="K274" s="103"/>
      <c r="L274" s="101"/>
      <c r="M274" s="101">
        <f t="shared" si="11"/>
        <v>3301</v>
      </c>
      <c r="O274" s="101"/>
      <c r="P274" s="101"/>
      <c r="Q274" s="101"/>
      <c r="R274" s="101"/>
    </row>
    <row r="275" spans="2:18">
      <c r="B275" s="521" t="s">
        <v>318</v>
      </c>
      <c r="C275" s="522" t="s">
        <v>1110</v>
      </c>
      <c r="D275" s="423" t="s">
        <v>330</v>
      </c>
      <c r="E275" s="521" t="s">
        <v>1111</v>
      </c>
      <c r="F275" s="522">
        <v>201612</v>
      </c>
      <c r="G275" s="482">
        <v>173981.31</v>
      </c>
      <c r="H275" s="112">
        <f t="shared" si="10"/>
        <v>2017</v>
      </c>
      <c r="I275" s="312">
        <v>20</v>
      </c>
      <c r="J275" s="107" t="s">
        <v>189</v>
      </c>
      <c r="K275" s="103"/>
      <c r="L275" s="101"/>
      <c r="M275" s="101">
        <f t="shared" si="11"/>
        <v>3301</v>
      </c>
      <c r="O275" s="101"/>
      <c r="P275" s="101"/>
      <c r="Q275" s="101"/>
      <c r="R275" s="101"/>
    </row>
    <row r="276" spans="2:18">
      <c r="B276" s="521" t="s">
        <v>318</v>
      </c>
      <c r="C276" s="522" t="s">
        <v>1047</v>
      </c>
      <c r="D276" s="423" t="s">
        <v>329</v>
      </c>
      <c r="E276" s="521" t="s">
        <v>1048</v>
      </c>
      <c r="F276" s="522">
        <v>201612</v>
      </c>
      <c r="G276" s="482">
        <v>295.55</v>
      </c>
      <c r="H276" s="112">
        <f t="shared" si="10"/>
        <v>2017</v>
      </c>
      <c r="I276" s="312">
        <v>20</v>
      </c>
      <c r="J276" s="107" t="s">
        <v>189</v>
      </c>
      <c r="K276" s="103"/>
      <c r="L276" s="101"/>
      <c r="M276" s="101">
        <f t="shared" si="11"/>
        <v>3301</v>
      </c>
      <c r="O276" s="101"/>
      <c r="P276" s="101"/>
      <c r="Q276" s="101"/>
      <c r="R276" s="101"/>
    </row>
    <row r="277" spans="2:18" ht="15">
      <c r="B277" s="521" t="s">
        <v>318</v>
      </c>
      <c r="C277" s="522" t="s">
        <v>1047</v>
      </c>
      <c r="D277" s="424" t="s">
        <v>329</v>
      </c>
      <c r="E277" s="521" t="s">
        <v>1048</v>
      </c>
      <c r="F277" s="522">
        <v>201612</v>
      </c>
      <c r="G277" s="482">
        <v>935.58</v>
      </c>
      <c r="H277" s="112">
        <f t="shared" si="10"/>
        <v>2017</v>
      </c>
      <c r="I277" s="312">
        <v>20</v>
      </c>
      <c r="J277" s="107" t="s">
        <v>189</v>
      </c>
      <c r="K277" s="103"/>
      <c r="L277" s="101"/>
      <c r="M277" s="101">
        <f t="shared" si="11"/>
        <v>3301</v>
      </c>
      <c r="O277" s="101"/>
      <c r="P277" s="101"/>
      <c r="Q277" s="101"/>
      <c r="R277" s="101"/>
    </row>
    <row r="278" spans="2:18" ht="15">
      <c r="B278" s="521" t="s">
        <v>322</v>
      </c>
      <c r="C278" s="522" t="s">
        <v>998</v>
      </c>
      <c r="D278" s="424" t="s">
        <v>329</v>
      </c>
      <c r="E278" s="521" t="s">
        <v>999</v>
      </c>
      <c r="F278" s="522">
        <v>201612</v>
      </c>
      <c r="G278" s="482">
        <v>1085.73</v>
      </c>
      <c r="H278" s="112">
        <f t="shared" si="10"/>
        <v>2017</v>
      </c>
      <c r="I278" s="312">
        <v>20</v>
      </c>
      <c r="J278" s="107" t="s">
        <v>189</v>
      </c>
      <c r="K278" s="103"/>
      <c r="L278" s="101"/>
      <c r="M278" s="101">
        <f t="shared" si="11"/>
        <v>3301</v>
      </c>
      <c r="O278" s="101"/>
      <c r="P278" s="101"/>
      <c r="Q278" s="101"/>
      <c r="R278" s="101"/>
    </row>
    <row r="279" spans="2:18" ht="15">
      <c r="B279" s="521" t="s">
        <v>318</v>
      </c>
      <c r="C279" s="522" t="s">
        <v>998</v>
      </c>
      <c r="D279" s="424" t="s">
        <v>329</v>
      </c>
      <c r="E279" s="521" t="s">
        <v>999</v>
      </c>
      <c r="F279" s="522">
        <v>201612</v>
      </c>
      <c r="G279" s="482">
        <v>-19621.009999999998</v>
      </c>
      <c r="H279" s="112">
        <f t="shared" si="10"/>
        <v>2017</v>
      </c>
      <c r="I279" s="312">
        <v>20</v>
      </c>
      <c r="J279" s="107" t="s">
        <v>189</v>
      </c>
      <c r="K279" s="103"/>
      <c r="L279" s="101"/>
      <c r="M279" s="101">
        <f t="shared" si="11"/>
        <v>3301</v>
      </c>
      <c r="O279" s="101"/>
      <c r="P279" s="101"/>
      <c r="Q279" s="101"/>
      <c r="R279" s="101"/>
    </row>
    <row r="280" spans="2:18" ht="15">
      <c r="B280" s="521" t="s">
        <v>318</v>
      </c>
      <c r="C280" s="522" t="s">
        <v>998</v>
      </c>
      <c r="D280" s="424" t="s">
        <v>329</v>
      </c>
      <c r="E280" s="521" t="s">
        <v>999</v>
      </c>
      <c r="F280" s="522">
        <v>201612</v>
      </c>
      <c r="G280" s="482">
        <v>18535.28</v>
      </c>
      <c r="H280" s="112">
        <f t="shared" si="10"/>
        <v>2017</v>
      </c>
      <c r="I280" s="312">
        <v>20</v>
      </c>
      <c r="J280" s="107" t="s">
        <v>189</v>
      </c>
      <c r="K280" s="103"/>
      <c r="L280" s="101"/>
      <c r="M280" s="101">
        <f t="shared" si="11"/>
        <v>3301</v>
      </c>
      <c r="O280" s="101"/>
      <c r="P280" s="101"/>
      <c r="Q280" s="101"/>
      <c r="R280" s="101"/>
    </row>
    <row r="281" spans="2:18">
      <c r="B281" s="521" t="s">
        <v>318</v>
      </c>
      <c r="C281" s="522" t="s">
        <v>1112</v>
      </c>
      <c r="D281" s="423" t="s">
        <v>330</v>
      </c>
      <c r="E281" s="521" t="s">
        <v>1113</v>
      </c>
      <c r="F281" s="522">
        <v>201612</v>
      </c>
      <c r="G281" s="482">
        <v>9670.19</v>
      </c>
      <c r="H281" s="112">
        <f t="shared" si="10"/>
        <v>2017</v>
      </c>
      <c r="I281" s="312">
        <v>20</v>
      </c>
      <c r="J281" s="107" t="s">
        <v>189</v>
      </c>
      <c r="K281" s="103"/>
      <c r="L281" s="101"/>
      <c r="M281" s="101">
        <f t="shared" si="11"/>
        <v>3301</v>
      </c>
      <c r="O281" s="101"/>
      <c r="P281" s="101"/>
      <c r="Q281" s="101"/>
      <c r="R281" s="101"/>
    </row>
    <row r="282" spans="2:18">
      <c r="B282" s="521" t="s">
        <v>318</v>
      </c>
      <c r="C282" s="522" t="s">
        <v>1112</v>
      </c>
      <c r="D282" s="423" t="s">
        <v>330</v>
      </c>
      <c r="E282" s="521" t="s">
        <v>1113</v>
      </c>
      <c r="F282" s="522">
        <v>201612</v>
      </c>
      <c r="G282" s="482">
        <v>133136.48000000001</v>
      </c>
      <c r="H282" s="112">
        <f t="shared" si="10"/>
        <v>2017</v>
      </c>
      <c r="I282" s="312">
        <v>20</v>
      </c>
      <c r="J282" s="107" t="s">
        <v>189</v>
      </c>
      <c r="K282" s="103"/>
      <c r="L282" s="101"/>
      <c r="M282" s="101">
        <f t="shared" si="11"/>
        <v>3301</v>
      </c>
      <c r="O282" s="101"/>
      <c r="P282" s="101"/>
      <c r="Q282" s="101"/>
      <c r="R282" s="101"/>
    </row>
    <row r="283" spans="2:18" ht="15">
      <c r="B283" s="521" t="s">
        <v>318</v>
      </c>
      <c r="C283" s="522" t="s">
        <v>1114</v>
      </c>
      <c r="D283" s="424" t="s">
        <v>330</v>
      </c>
      <c r="E283" s="521" t="s">
        <v>1115</v>
      </c>
      <c r="F283" s="522">
        <v>201612</v>
      </c>
      <c r="G283" s="482">
        <v>14460.74</v>
      </c>
      <c r="H283" s="112">
        <f t="shared" si="10"/>
        <v>2017</v>
      </c>
      <c r="I283" s="312">
        <v>20</v>
      </c>
      <c r="J283" s="107" t="s">
        <v>189</v>
      </c>
      <c r="K283" s="103"/>
      <c r="L283" s="101"/>
      <c r="M283" s="101">
        <f t="shared" si="11"/>
        <v>3301</v>
      </c>
      <c r="O283" s="101"/>
      <c r="P283" s="101"/>
      <c r="Q283" s="101"/>
      <c r="R283" s="101"/>
    </row>
    <row r="284" spans="2:18" ht="15">
      <c r="B284" s="521" t="s">
        <v>318</v>
      </c>
      <c r="C284" s="522" t="s">
        <v>1114</v>
      </c>
      <c r="D284" s="424" t="s">
        <v>330</v>
      </c>
      <c r="E284" s="521" t="s">
        <v>1115</v>
      </c>
      <c r="F284" s="522">
        <v>201612</v>
      </c>
      <c r="G284" s="482">
        <v>214536.28</v>
      </c>
      <c r="H284" s="112">
        <f t="shared" si="10"/>
        <v>2017</v>
      </c>
      <c r="I284" s="312">
        <v>20</v>
      </c>
      <c r="J284" s="107" t="s">
        <v>189</v>
      </c>
      <c r="K284" s="103"/>
      <c r="L284" s="101"/>
      <c r="M284" s="101">
        <f t="shared" si="11"/>
        <v>3301</v>
      </c>
      <c r="O284" s="101"/>
      <c r="P284" s="101"/>
      <c r="Q284" s="101"/>
      <c r="R284" s="101"/>
    </row>
    <row r="285" spans="2:18" ht="15">
      <c r="B285" s="521" t="s">
        <v>318</v>
      </c>
      <c r="C285" s="522" t="s">
        <v>1004</v>
      </c>
      <c r="D285" s="424" t="s">
        <v>330</v>
      </c>
      <c r="E285" s="521" t="s">
        <v>1005</v>
      </c>
      <c r="F285" s="522">
        <v>201612</v>
      </c>
      <c r="G285" s="482">
        <v>-103.94</v>
      </c>
      <c r="H285" s="112">
        <f t="shared" si="10"/>
        <v>2017</v>
      </c>
      <c r="I285" s="312">
        <v>20</v>
      </c>
      <c r="J285" s="107" t="s">
        <v>189</v>
      </c>
      <c r="K285" s="103"/>
      <c r="L285" s="101"/>
      <c r="M285" s="101">
        <f t="shared" si="11"/>
        <v>3301</v>
      </c>
      <c r="O285" s="101"/>
      <c r="P285" s="101"/>
      <c r="Q285" s="101"/>
      <c r="R285" s="101"/>
    </row>
    <row r="286" spans="2:18" ht="15">
      <c r="B286" s="521" t="s">
        <v>318</v>
      </c>
      <c r="C286" s="522" t="s">
        <v>1004</v>
      </c>
      <c r="D286" s="424" t="s">
        <v>330</v>
      </c>
      <c r="E286" s="521" t="s">
        <v>1005</v>
      </c>
      <c r="F286" s="522">
        <v>201612</v>
      </c>
      <c r="G286" s="482">
        <v>79.92</v>
      </c>
      <c r="H286" s="112">
        <f t="shared" si="10"/>
        <v>2017</v>
      </c>
      <c r="I286" s="312">
        <v>20</v>
      </c>
      <c r="J286" s="107" t="s">
        <v>189</v>
      </c>
      <c r="K286" s="103"/>
      <c r="L286" s="101"/>
      <c r="M286" s="101">
        <f t="shared" si="11"/>
        <v>3301</v>
      </c>
      <c r="O286" s="101"/>
      <c r="P286" s="101"/>
      <c r="Q286" s="101"/>
      <c r="R286" s="101"/>
    </row>
    <row r="287" spans="2:18" ht="15">
      <c r="B287" s="521" t="s">
        <v>318</v>
      </c>
      <c r="C287" s="522" t="s">
        <v>1116</v>
      </c>
      <c r="D287" s="424" t="s">
        <v>330</v>
      </c>
      <c r="E287" s="521" t="s">
        <v>1117</v>
      </c>
      <c r="F287" s="522">
        <v>201612</v>
      </c>
      <c r="G287" s="482">
        <v>10492.48</v>
      </c>
      <c r="H287" s="112">
        <f t="shared" si="10"/>
        <v>2017</v>
      </c>
      <c r="I287" s="312">
        <v>20</v>
      </c>
      <c r="J287" s="107" t="s">
        <v>189</v>
      </c>
      <c r="K287" s="103"/>
      <c r="L287" s="101"/>
      <c r="M287" s="101">
        <f t="shared" si="11"/>
        <v>3301</v>
      </c>
      <c r="O287" s="101"/>
      <c r="P287" s="101"/>
      <c r="Q287" s="101"/>
      <c r="R287" s="101"/>
    </row>
    <row r="288" spans="2:18" ht="15">
      <c r="B288" s="521" t="s">
        <v>318</v>
      </c>
      <c r="C288" s="522" t="s">
        <v>1116</v>
      </c>
      <c r="D288" s="424" t="s">
        <v>330</v>
      </c>
      <c r="E288" s="521" t="s">
        <v>1117</v>
      </c>
      <c r="F288" s="522">
        <v>201612</v>
      </c>
      <c r="G288" s="482">
        <v>135648.13</v>
      </c>
      <c r="H288" s="112">
        <f t="shared" si="10"/>
        <v>2017</v>
      </c>
      <c r="I288" s="312">
        <v>20</v>
      </c>
      <c r="J288" s="107" t="s">
        <v>189</v>
      </c>
      <c r="K288" s="103"/>
      <c r="L288" s="101"/>
      <c r="M288" s="101">
        <f t="shared" si="11"/>
        <v>3301</v>
      </c>
      <c r="O288" s="101"/>
      <c r="P288" s="101"/>
      <c r="Q288" s="101"/>
      <c r="R288" s="101"/>
    </row>
    <row r="289" spans="2:18">
      <c r="B289" s="521" t="s">
        <v>318</v>
      </c>
      <c r="C289" s="522" t="s">
        <v>1071</v>
      </c>
      <c r="D289" s="423" t="s">
        <v>330</v>
      </c>
      <c r="E289" s="521" t="s">
        <v>1072</v>
      </c>
      <c r="F289" s="522">
        <v>201612</v>
      </c>
      <c r="G289" s="482">
        <v>335.27</v>
      </c>
      <c r="H289" s="112">
        <f t="shared" si="10"/>
        <v>2017</v>
      </c>
      <c r="I289" s="312">
        <v>20</v>
      </c>
      <c r="J289" s="107" t="s">
        <v>189</v>
      </c>
      <c r="K289" s="103"/>
      <c r="L289" s="101"/>
      <c r="M289" s="101">
        <f t="shared" si="11"/>
        <v>3301</v>
      </c>
      <c r="O289" s="101"/>
      <c r="P289" s="101"/>
      <c r="Q289" s="101"/>
      <c r="R289" s="101"/>
    </row>
    <row r="290" spans="2:18">
      <c r="B290" s="521" t="s">
        <v>318</v>
      </c>
      <c r="C290" s="522" t="s">
        <v>889</v>
      </c>
      <c r="D290" s="423" t="s">
        <v>414</v>
      </c>
      <c r="E290" s="521" t="s">
        <v>890</v>
      </c>
      <c r="F290" s="522">
        <v>201612</v>
      </c>
      <c r="G290" s="482">
        <v>-13.55</v>
      </c>
      <c r="H290" s="112">
        <f t="shared" si="10"/>
        <v>2017</v>
      </c>
      <c r="I290" s="312">
        <v>20</v>
      </c>
      <c r="J290" s="107" t="s">
        <v>189</v>
      </c>
      <c r="K290" s="103"/>
      <c r="L290" s="101"/>
      <c r="M290" s="101">
        <f t="shared" si="11"/>
        <v>3301</v>
      </c>
      <c r="O290" s="101"/>
      <c r="P290" s="101"/>
      <c r="Q290" s="101"/>
      <c r="R290" s="101"/>
    </row>
    <row r="291" spans="2:18">
      <c r="B291" s="521" t="s">
        <v>318</v>
      </c>
      <c r="C291" s="522" t="s">
        <v>889</v>
      </c>
      <c r="D291" s="423" t="s">
        <v>414</v>
      </c>
      <c r="E291" s="521" t="s">
        <v>890</v>
      </c>
      <c r="F291" s="522">
        <v>201612</v>
      </c>
      <c r="G291" s="482">
        <v>-0.51</v>
      </c>
      <c r="H291" s="112">
        <f t="shared" si="10"/>
        <v>2017</v>
      </c>
      <c r="I291" s="312">
        <v>20</v>
      </c>
      <c r="J291" s="107" t="s">
        <v>189</v>
      </c>
      <c r="K291" s="103"/>
      <c r="L291" s="101"/>
      <c r="M291" s="101">
        <f t="shared" si="11"/>
        <v>3301</v>
      </c>
      <c r="O291" s="101"/>
      <c r="P291" s="101"/>
      <c r="Q291" s="101"/>
      <c r="R291" s="101"/>
    </row>
    <row r="292" spans="2:18">
      <c r="B292" s="521" t="s">
        <v>318</v>
      </c>
      <c r="C292" s="522" t="s">
        <v>1006</v>
      </c>
      <c r="D292" s="423" t="s">
        <v>414</v>
      </c>
      <c r="E292" s="521" t="s">
        <v>1007</v>
      </c>
      <c r="F292" s="522">
        <v>201612</v>
      </c>
      <c r="G292" s="482">
        <v>0.22</v>
      </c>
      <c r="H292" s="112">
        <f t="shared" si="10"/>
        <v>2017</v>
      </c>
      <c r="I292" s="312">
        <v>20</v>
      </c>
      <c r="J292" s="107" t="s">
        <v>189</v>
      </c>
      <c r="K292" s="103"/>
      <c r="L292" s="101"/>
      <c r="M292" s="101">
        <f t="shared" si="11"/>
        <v>3301</v>
      </c>
      <c r="O292" s="101"/>
      <c r="P292" s="101"/>
      <c r="Q292" s="101"/>
      <c r="R292" s="101"/>
    </row>
    <row r="293" spans="2:18" ht="15">
      <c r="B293" s="521" t="s">
        <v>318</v>
      </c>
      <c r="C293" s="522" t="s">
        <v>1006</v>
      </c>
      <c r="D293" s="424" t="s">
        <v>414</v>
      </c>
      <c r="E293" s="521" t="s">
        <v>1007</v>
      </c>
      <c r="F293" s="522">
        <v>201612</v>
      </c>
      <c r="G293" s="482">
        <v>15.96</v>
      </c>
      <c r="H293" s="112">
        <f t="shared" si="10"/>
        <v>2017</v>
      </c>
      <c r="I293" s="312">
        <v>20</v>
      </c>
      <c r="J293" s="107" t="s">
        <v>189</v>
      </c>
      <c r="K293" s="103"/>
      <c r="L293" s="101"/>
      <c r="M293" s="101">
        <f t="shared" si="11"/>
        <v>3301</v>
      </c>
      <c r="O293" s="101"/>
      <c r="P293" s="101"/>
      <c r="Q293" s="101"/>
      <c r="R293" s="101"/>
    </row>
    <row r="294" spans="2:18" ht="15">
      <c r="B294" s="521" t="s">
        <v>318</v>
      </c>
      <c r="C294" s="522" t="s">
        <v>1012</v>
      </c>
      <c r="D294" s="424" t="s">
        <v>330</v>
      </c>
      <c r="E294" s="521" t="s">
        <v>1013</v>
      </c>
      <c r="F294" s="522">
        <v>201612</v>
      </c>
      <c r="G294" s="482">
        <v>-3.32</v>
      </c>
      <c r="H294" s="112">
        <f t="shared" si="10"/>
        <v>2017</v>
      </c>
      <c r="I294" s="312">
        <v>20</v>
      </c>
      <c r="J294" s="107" t="s">
        <v>189</v>
      </c>
      <c r="K294" s="103"/>
      <c r="L294" s="101"/>
      <c r="M294" s="101">
        <f t="shared" si="11"/>
        <v>3301</v>
      </c>
      <c r="O294" s="101"/>
      <c r="P294" s="101"/>
      <c r="Q294" s="101"/>
      <c r="R294" s="101"/>
    </row>
    <row r="295" spans="2:18" ht="15">
      <c r="B295" s="521" t="s">
        <v>318</v>
      </c>
      <c r="C295" s="522" t="s">
        <v>1012</v>
      </c>
      <c r="D295" s="424" t="s">
        <v>330</v>
      </c>
      <c r="E295" s="521" t="s">
        <v>1013</v>
      </c>
      <c r="F295" s="522">
        <v>201612</v>
      </c>
      <c r="G295" s="482">
        <v>-0.25</v>
      </c>
      <c r="H295" s="112">
        <f t="shared" si="10"/>
        <v>2017</v>
      </c>
      <c r="I295" s="312">
        <v>20</v>
      </c>
      <c r="J295" s="107" t="s">
        <v>189</v>
      </c>
      <c r="K295" s="103"/>
      <c r="L295" s="101"/>
      <c r="M295" s="101">
        <f t="shared" si="11"/>
        <v>3301</v>
      </c>
      <c r="O295" s="101"/>
      <c r="P295" s="101"/>
      <c r="Q295" s="101"/>
      <c r="R295" s="101"/>
    </row>
    <row r="296" spans="2:18" ht="15">
      <c r="B296" s="521" t="s">
        <v>318</v>
      </c>
      <c r="C296" s="522" t="s">
        <v>1073</v>
      </c>
      <c r="D296" s="424" t="s">
        <v>330</v>
      </c>
      <c r="E296" s="521" t="s">
        <v>1074</v>
      </c>
      <c r="F296" s="522">
        <v>201612</v>
      </c>
      <c r="G296" s="482">
        <v>62.58</v>
      </c>
      <c r="H296" s="112">
        <f t="shared" si="10"/>
        <v>2017</v>
      </c>
      <c r="I296" s="312">
        <v>20</v>
      </c>
      <c r="J296" s="107" t="s">
        <v>189</v>
      </c>
      <c r="K296" s="103"/>
      <c r="L296" s="101"/>
      <c r="M296" s="101">
        <f t="shared" si="11"/>
        <v>3301</v>
      </c>
      <c r="O296" s="101"/>
      <c r="P296" s="101"/>
      <c r="Q296" s="101"/>
      <c r="R296" s="101"/>
    </row>
    <row r="297" spans="2:18">
      <c r="B297" s="521" t="s">
        <v>318</v>
      </c>
      <c r="C297" s="522" t="s">
        <v>1073</v>
      </c>
      <c r="D297" s="423" t="s">
        <v>330</v>
      </c>
      <c r="E297" s="521" t="s">
        <v>1074</v>
      </c>
      <c r="F297" s="522">
        <v>201612</v>
      </c>
      <c r="G297" s="482">
        <v>652.44000000000005</v>
      </c>
      <c r="H297" s="112">
        <f t="shared" si="10"/>
        <v>2017</v>
      </c>
      <c r="I297" s="312">
        <v>20</v>
      </c>
      <c r="J297" s="107" t="s">
        <v>189</v>
      </c>
      <c r="K297" s="103"/>
      <c r="L297" s="101"/>
      <c r="M297" s="101">
        <f t="shared" si="11"/>
        <v>3301</v>
      </c>
      <c r="O297" s="101"/>
      <c r="P297" s="101"/>
      <c r="Q297" s="101"/>
      <c r="R297" s="101"/>
    </row>
    <row r="298" spans="2:18">
      <c r="B298" s="521" t="s">
        <v>318</v>
      </c>
      <c r="C298" s="522" t="s">
        <v>1049</v>
      </c>
      <c r="D298" s="423" t="s">
        <v>330</v>
      </c>
      <c r="E298" s="521" t="s">
        <v>1050</v>
      </c>
      <c r="F298" s="522">
        <v>201612</v>
      </c>
      <c r="G298" s="482">
        <v>37.799999999999997</v>
      </c>
      <c r="H298" s="112">
        <f t="shared" si="10"/>
        <v>2017</v>
      </c>
      <c r="I298" s="312">
        <v>20</v>
      </c>
      <c r="J298" s="107" t="s">
        <v>189</v>
      </c>
      <c r="K298" s="103"/>
      <c r="L298" s="101"/>
      <c r="M298" s="101">
        <f t="shared" si="11"/>
        <v>3301</v>
      </c>
      <c r="O298" s="101"/>
      <c r="P298" s="101"/>
      <c r="Q298" s="101"/>
      <c r="R298" s="101"/>
    </row>
    <row r="299" spans="2:18">
      <c r="B299" s="521" t="s">
        <v>318</v>
      </c>
      <c r="C299" s="522" t="s">
        <v>1049</v>
      </c>
      <c r="D299" s="423" t="s">
        <v>330</v>
      </c>
      <c r="E299" s="521" t="s">
        <v>1050</v>
      </c>
      <c r="F299" s="522">
        <v>201612</v>
      </c>
      <c r="G299" s="482">
        <v>1001.61</v>
      </c>
      <c r="H299" s="112">
        <f t="shared" si="10"/>
        <v>2017</v>
      </c>
      <c r="I299" s="312">
        <v>20</v>
      </c>
      <c r="J299" s="107" t="s">
        <v>189</v>
      </c>
      <c r="K299" s="103"/>
      <c r="L299" s="101"/>
      <c r="M299" s="101">
        <f t="shared" si="11"/>
        <v>3301</v>
      </c>
      <c r="O299" s="101"/>
      <c r="P299" s="101"/>
      <c r="Q299" s="101"/>
      <c r="R299" s="101"/>
    </row>
    <row r="300" spans="2:18">
      <c r="B300" s="521" t="s">
        <v>318</v>
      </c>
      <c r="C300" s="522" t="s">
        <v>1077</v>
      </c>
      <c r="D300" s="423" t="s">
        <v>330</v>
      </c>
      <c r="E300" s="521" t="s">
        <v>1078</v>
      </c>
      <c r="F300" s="522">
        <v>201612</v>
      </c>
      <c r="G300" s="482">
        <v>152.69</v>
      </c>
      <c r="H300" s="112">
        <f t="shared" si="10"/>
        <v>2017</v>
      </c>
      <c r="I300" s="312">
        <v>20</v>
      </c>
      <c r="J300" s="107" t="s">
        <v>189</v>
      </c>
      <c r="K300" s="103"/>
      <c r="L300" s="101"/>
      <c r="M300" s="101">
        <f t="shared" si="11"/>
        <v>3301</v>
      </c>
      <c r="O300" s="101"/>
      <c r="P300" s="101"/>
      <c r="Q300" s="101"/>
      <c r="R300" s="101"/>
    </row>
    <row r="301" spans="2:18">
      <c r="B301" s="521" t="s">
        <v>318</v>
      </c>
      <c r="C301" s="522" t="s">
        <v>1077</v>
      </c>
      <c r="D301" s="423" t="s">
        <v>330</v>
      </c>
      <c r="E301" s="521" t="s">
        <v>1078</v>
      </c>
      <c r="F301" s="522">
        <v>201612</v>
      </c>
      <c r="G301" s="482">
        <v>1721.22</v>
      </c>
      <c r="H301" s="112">
        <f t="shared" si="10"/>
        <v>2017</v>
      </c>
      <c r="I301" s="312">
        <v>20</v>
      </c>
      <c r="J301" s="107" t="s">
        <v>189</v>
      </c>
      <c r="K301" s="103"/>
      <c r="L301" s="101"/>
      <c r="M301" s="101">
        <f t="shared" si="11"/>
        <v>3301</v>
      </c>
      <c r="O301" s="101"/>
      <c r="P301" s="101"/>
      <c r="Q301" s="101"/>
      <c r="R301" s="101"/>
    </row>
    <row r="302" spans="2:18">
      <c r="B302" s="521" t="s">
        <v>318</v>
      </c>
      <c r="C302" s="522" t="s">
        <v>1079</v>
      </c>
      <c r="D302" s="423" t="s">
        <v>330</v>
      </c>
      <c r="E302" s="521" t="s">
        <v>1080</v>
      </c>
      <c r="F302" s="522">
        <v>201612</v>
      </c>
      <c r="G302" s="482">
        <v>127.1</v>
      </c>
      <c r="H302" s="112">
        <f t="shared" si="10"/>
        <v>2017</v>
      </c>
      <c r="I302" s="312">
        <v>20</v>
      </c>
      <c r="J302" s="107" t="s">
        <v>189</v>
      </c>
      <c r="K302" s="103"/>
      <c r="L302" s="101"/>
      <c r="M302" s="101">
        <f t="shared" si="11"/>
        <v>3301</v>
      </c>
      <c r="O302" s="101"/>
      <c r="P302" s="101"/>
      <c r="Q302" s="101"/>
      <c r="R302" s="101"/>
    </row>
    <row r="303" spans="2:18">
      <c r="B303" s="521" t="s">
        <v>318</v>
      </c>
      <c r="C303" s="522" t="s">
        <v>1079</v>
      </c>
      <c r="D303" s="423" t="s">
        <v>330</v>
      </c>
      <c r="E303" s="521" t="s">
        <v>1080</v>
      </c>
      <c r="F303" s="522">
        <v>201612</v>
      </c>
      <c r="G303" s="482">
        <v>1896.27</v>
      </c>
      <c r="H303" s="112">
        <f t="shared" si="10"/>
        <v>2017</v>
      </c>
      <c r="I303" s="312">
        <v>20</v>
      </c>
      <c r="J303" s="107" t="s">
        <v>189</v>
      </c>
      <c r="K303" s="103"/>
      <c r="L303" s="101"/>
      <c r="M303" s="101">
        <f t="shared" si="11"/>
        <v>3301</v>
      </c>
      <c r="O303" s="101"/>
      <c r="P303" s="101"/>
      <c r="Q303" s="101"/>
      <c r="R303" s="101"/>
    </row>
    <row r="304" spans="2:18">
      <c r="B304" s="521" t="s">
        <v>318</v>
      </c>
      <c r="C304" s="522" t="s">
        <v>1118</v>
      </c>
      <c r="D304" s="423" t="s">
        <v>330</v>
      </c>
      <c r="E304" s="521" t="s">
        <v>1119</v>
      </c>
      <c r="F304" s="522">
        <v>201612</v>
      </c>
      <c r="G304" s="482">
        <v>1314.1</v>
      </c>
      <c r="H304" s="112">
        <f t="shared" si="10"/>
        <v>2017</v>
      </c>
      <c r="I304" s="312">
        <v>20</v>
      </c>
      <c r="J304" s="107" t="s">
        <v>189</v>
      </c>
      <c r="K304" s="103"/>
      <c r="L304" s="101"/>
      <c r="M304" s="101">
        <f t="shared" si="11"/>
        <v>3301</v>
      </c>
      <c r="O304" s="101"/>
      <c r="P304" s="101"/>
      <c r="Q304" s="101"/>
      <c r="R304" s="101"/>
    </row>
    <row r="305" spans="2:18" ht="15">
      <c r="B305" s="521" t="s">
        <v>318</v>
      </c>
      <c r="C305" s="522" t="s">
        <v>1118</v>
      </c>
      <c r="D305" s="424" t="s">
        <v>330</v>
      </c>
      <c r="E305" s="521" t="s">
        <v>1119</v>
      </c>
      <c r="F305" s="522">
        <v>201612</v>
      </c>
      <c r="G305" s="482">
        <v>32365.71</v>
      </c>
      <c r="H305" s="112">
        <f t="shared" si="10"/>
        <v>2017</v>
      </c>
      <c r="I305" s="312">
        <v>20</v>
      </c>
      <c r="J305" s="107" t="s">
        <v>189</v>
      </c>
      <c r="K305" s="103"/>
      <c r="L305" s="101"/>
      <c r="M305" s="101">
        <f t="shared" si="11"/>
        <v>3301</v>
      </c>
      <c r="O305" s="101"/>
      <c r="P305" s="101"/>
      <c r="Q305" s="101"/>
      <c r="R305" s="101"/>
    </row>
    <row r="306" spans="2:18" ht="15">
      <c r="B306" s="521" t="s">
        <v>318</v>
      </c>
      <c r="C306" s="522" t="s">
        <v>1120</v>
      </c>
      <c r="D306" s="424" t="s">
        <v>330</v>
      </c>
      <c r="E306" s="521" t="s">
        <v>1121</v>
      </c>
      <c r="F306" s="522">
        <v>201612</v>
      </c>
      <c r="G306" s="482">
        <v>10790.88</v>
      </c>
      <c r="H306" s="112">
        <f t="shared" si="10"/>
        <v>2017</v>
      </c>
      <c r="I306" s="312">
        <v>20</v>
      </c>
      <c r="J306" s="107" t="s">
        <v>189</v>
      </c>
      <c r="K306" s="103"/>
      <c r="L306" s="101"/>
      <c r="M306" s="101">
        <f t="shared" si="11"/>
        <v>3301</v>
      </c>
      <c r="O306" s="101"/>
      <c r="P306" s="101"/>
      <c r="Q306" s="101"/>
      <c r="R306" s="101"/>
    </row>
    <row r="307" spans="2:18" ht="15">
      <c r="B307" s="521" t="s">
        <v>318</v>
      </c>
      <c r="C307" s="522" t="s">
        <v>1120</v>
      </c>
      <c r="D307" s="424" t="s">
        <v>330</v>
      </c>
      <c r="E307" s="521" t="s">
        <v>1121</v>
      </c>
      <c r="F307" s="522">
        <v>201612</v>
      </c>
      <c r="G307" s="482">
        <v>44537.57</v>
      </c>
      <c r="H307" s="112">
        <f t="shared" ref="H307:H370" si="12">IF(F307&gt;$H$5,0+2017,0+2016)</f>
        <v>2017</v>
      </c>
      <c r="I307" s="312">
        <v>20</v>
      </c>
      <c r="J307" s="107" t="s">
        <v>189</v>
      </c>
      <c r="K307" s="103"/>
      <c r="L307" s="101"/>
      <c r="M307" s="101">
        <f t="shared" ref="M307:M370" si="13">IF(LEFT(D307,2)="34",3401,IF(LEFT(D307,2)="33",3301))</f>
        <v>3301</v>
      </c>
      <c r="O307" s="101"/>
      <c r="P307" s="101"/>
      <c r="Q307" s="101"/>
      <c r="R307" s="101"/>
    </row>
    <row r="308" spans="2:18" s="559" customFormat="1" ht="15">
      <c r="B308" s="863" t="s">
        <v>318</v>
      </c>
      <c r="C308" s="864" t="s">
        <v>320</v>
      </c>
      <c r="D308" s="424" t="s">
        <v>319</v>
      </c>
      <c r="E308" s="863" t="s">
        <v>321</v>
      </c>
      <c r="F308" s="864">
        <v>201701</v>
      </c>
      <c r="G308" s="855">
        <v>4137.13</v>
      </c>
      <c r="H308" s="112">
        <f t="shared" si="12"/>
        <v>2017</v>
      </c>
      <c r="I308" s="312">
        <v>20</v>
      </c>
      <c r="J308" s="107" t="s">
        <v>189</v>
      </c>
      <c r="K308" s="103"/>
      <c r="M308" s="559">
        <f t="shared" si="13"/>
        <v>3301</v>
      </c>
    </row>
    <row r="309" spans="2:18" s="559" customFormat="1" ht="15">
      <c r="B309" s="863" t="s">
        <v>318</v>
      </c>
      <c r="C309" s="864" t="s">
        <v>323</v>
      </c>
      <c r="D309" s="424" t="s">
        <v>319</v>
      </c>
      <c r="E309" s="863" t="s">
        <v>324</v>
      </c>
      <c r="F309" s="864">
        <v>201701</v>
      </c>
      <c r="G309" s="855">
        <v>315.85000000000002</v>
      </c>
      <c r="H309" s="112">
        <f t="shared" si="12"/>
        <v>2017</v>
      </c>
      <c r="I309" s="312">
        <v>20</v>
      </c>
      <c r="J309" s="107" t="s">
        <v>189</v>
      </c>
      <c r="K309" s="103"/>
      <c r="M309" s="559">
        <f t="shared" si="13"/>
        <v>3301</v>
      </c>
    </row>
    <row r="310" spans="2:18" s="559" customFormat="1" ht="15">
      <c r="B310" s="863" t="s">
        <v>322</v>
      </c>
      <c r="C310" s="864" t="s">
        <v>325</v>
      </c>
      <c r="D310" s="424" t="s">
        <v>319</v>
      </c>
      <c r="E310" s="863" t="s">
        <v>326</v>
      </c>
      <c r="F310" s="864">
        <v>201701</v>
      </c>
      <c r="G310" s="855">
        <v>1053.44</v>
      </c>
      <c r="H310" s="112">
        <f t="shared" si="12"/>
        <v>2017</v>
      </c>
      <c r="I310" s="312">
        <v>20</v>
      </c>
      <c r="J310" s="107" t="s">
        <v>189</v>
      </c>
      <c r="K310" s="103"/>
      <c r="M310" s="559">
        <f t="shared" si="13"/>
        <v>3301</v>
      </c>
    </row>
    <row r="311" spans="2:18" s="559" customFormat="1" ht="15">
      <c r="B311" s="863" t="s">
        <v>318</v>
      </c>
      <c r="C311" s="864" t="s">
        <v>327</v>
      </c>
      <c r="D311" s="424" t="s">
        <v>319</v>
      </c>
      <c r="E311" s="863" t="s">
        <v>328</v>
      </c>
      <c r="F311" s="864">
        <v>201701</v>
      </c>
      <c r="G311" s="855">
        <v>30867.37</v>
      </c>
      <c r="H311" s="112">
        <f t="shared" si="12"/>
        <v>2017</v>
      </c>
      <c r="I311" s="312">
        <v>20</v>
      </c>
      <c r="J311" s="107" t="s">
        <v>189</v>
      </c>
      <c r="K311" s="103"/>
      <c r="M311" s="559">
        <f t="shared" si="13"/>
        <v>3301</v>
      </c>
    </row>
    <row r="312" spans="2:18" s="559" customFormat="1" ht="15">
      <c r="B312" s="863" t="s">
        <v>318</v>
      </c>
      <c r="C312" s="864" t="s">
        <v>941</v>
      </c>
      <c r="D312" s="424" t="s">
        <v>330</v>
      </c>
      <c r="E312" s="863" t="s">
        <v>942</v>
      </c>
      <c r="F312" s="864">
        <v>201701</v>
      </c>
      <c r="G312" s="855">
        <v>-9.17</v>
      </c>
      <c r="H312" s="112">
        <f t="shared" si="12"/>
        <v>2017</v>
      </c>
      <c r="I312" s="312">
        <v>20</v>
      </c>
      <c r="J312" s="107" t="s">
        <v>189</v>
      </c>
      <c r="K312" s="103"/>
      <c r="M312" s="559">
        <f t="shared" si="13"/>
        <v>3301</v>
      </c>
    </row>
    <row r="313" spans="2:18" s="559" customFormat="1" ht="15">
      <c r="B313" s="863" t="s">
        <v>318</v>
      </c>
      <c r="C313" s="864" t="s">
        <v>941</v>
      </c>
      <c r="D313" s="424" t="s">
        <v>330</v>
      </c>
      <c r="E313" s="863" t="s">
        <v>942</v>
      </c>
      <c r="F313" s="864">
        <v>201701</v>
      </c>
      <c r="G313" s="855">
        <v>-0.63</v>
      </c>
      <c r="H313" s="112">
        <f t="shared" si="12"/>
        <v>2017</v>
      </c>
      <c r="I313" s="312">
        <v>20</v>
      </c>
      <c r="J313" s="107" t="s">
        <v>189</v>
      </c>
      <c r="K313" s="103"/>
      <c r="M313" s="559">
        <f t="shared" si="13"/>
        <v>3301</v>
      </c>
    </row>
    <row r="314" spans="2:18" s="559" customFormat="1" ht="15">
      <c r="B314" s="863" t="s">
        <v>318</v>
      </c>
      <c r="C314" s="864" t="s">
        <v>856</v>
      </c>
      <c r="D314" s="424" t="s">
        <v>330</v>
      </c>
      <c r="E314" s="863" t="s">
        <v>857</v>
      </c>
      <c r="F314" s="864">
        <v>201701</v>
      </c>
      <c r="G314" s="855">
        <v>-4257.01</v>
      </c>
      <c r="H314" s="112">
        <f t="shared" si="12"/>
        <v>2017</v>
      </c>
      <c r="I314" s="312">
        <v>20</v>
      </c>
      <c r="J314" s="107" t="s">
        <v>189</v>
      </c>
      <c r="K314" s="103"/>
      <c r="M314" s="559">
        <f t="shared" si="13"/>
        <v>3301</v>
      </c>
    </row>
    <row r="315" spans="2:18" s="559" customFormat="1" ht="15">
      <c r="B315" s="863" t="s">
        <v>318</v>
      </c>
      <c r="C315" s="864" t="s">
        <v>856</v>
      </c>
      <c r="D315" s="424" t="s">
        <v>330</v>
      </c>
      <c r="E315" s="863" t="s">
        <v>857</v>
      </c>
      <c r="F315" s="864">
        <v>201701</v>
      </c>
      <c r="G315" s="855">
        <v>-236.97</v>
      </c>
      <c r="H315" s="112">
        <f t="shared" si="12"/>
        <v>2017</v>
      </c>
      <c r="I315" s="312">
        <v>20</v>
      </c>
      <c r="J315" s="107" t="s">
        <v>189</v>
      </c>
      <c r="K315" s="103"/>
      <c r="M315" s="559">
        <f t="shared" si="13"/>
        <v>3301</v>
      </c>
    </row>
    <row r="316" spans="2:18" s="559" customFormat="1" ht="15">
      <c r="B316" s="863" t="s">
        <v>318</v>
      </c>
      <c r="C316" s="864" t="s">
        <v>800</v>
      </c>
      <c r="D316" s="424" t="s">
        <v>330</v>
      </c>
      <c r="E316" s="863" t="s">
        <v>830</v>
      </c>
      <c r="F316" s="864">
        <v>201701</v>
      </c>
      <c r="G316" s="855">
        <v>-212.3</v>
      </c>
      <c r="H316" s="112">
        <f t="shared" si="12"/>
        <v>2017</v>
      </c>
      <c r="I316" s="312">
        <v>20</v>
      </c>
      <c r="J316" s="107" t="s">
        <v>189</v>
      </c>
      <c r="K316" s="103"/>
      <c r="M316" s="559">
        <f t="shared" si="13"/>
        <v>3301</v>
      </c>
    </row>
    <row r="317" spans="2:18" s="559" customFormat="1" ht="15">
      <c r="B317" s="863" t="s">
        <v>318</v>
      </c>
      <c r="C317" s="864" t="s">
        <v>800</v>
      </c>
      <c r="D317" s="424" t="s">
        <v>330</v>
      </c>
      <c r="E317" s="863" t="s">
        <v>830</v>
      </c>
      <c r="F317" s="864">
        <v>201701</v>
      </c>
      <c r="G317" s="855">
        <v>-15.59</v>
      </c>
      <c r="H317" s="112">
        <f t="shared" si="12"/>
        <v>2017</v>
      </c>
      <c r="I317" s="312">
        <v>20</v>
      </c>
      <c r="J317" s="107" t="s">
        <v>189</v>
      </c>
      <c r="K317" s="103"/>
      <c r="M317" s="559">
        <f t="shared" si="13"/>
        <v>3301</v>
      </c>
    </row>
    <row r="318" spans="2:18" s="559" customFormat="1" ht="15">
      <c r="B318" s="863" t="s">
        <v>318</v>
      </c>
      <c r="C318" s="864" t="s">
        <v>629</v>
      </c>
      <c r="D318" s="424" t="s">
        <v>330</v>
      </c>
      <c r="E318" s="863" t="s">
        <v>630</v>
      </c>
      <c r="F318" s="864">
        <v>201701</v>
      </c>
      <c r="G318" s="855">
        <v>0.38</v>
      </c>
      <c r="H318" s="112">
        <f t="shared" si="12"/>
        <v>2017</v>
      </c>
      <c r="I318" s="312">
        <v>20</v>
      </c>
      <c r="J318" s="107" t="s">
        <v>189</v>
      </c>
      <c r="K318" s="103"/>
      <c r="M318" s="559">
        <f t="shared" si="13"/>
        <v>3301</v>
      </c>
    </row>
    <row r="319" spans="2:18" s="559" customFormat="1" ht="15">
      <c r="B319" s="863" t="s">
        <v>318</v>
      </c>
      <c r="C319" s="864" t="s">
        <v>629</v>
      </c>
      <c r="D319" s="424" t="s">
        <v>330</v>
      </c>
      <c r="E319" s="863" t="s">
        <v>630</v>
      </c>
      <c r="F319" s="864">
        <v>201701</v>
      </c>
      <c r="G319" s="855">
        <v>23.01</v>
      </c>
      <c r="H319" s="112">
        <f t="shared" si="12"/>
        <v>2017</v>
      </c>
      <c r="I319" s="312">
        <v>20</v>
      </c>
      <c r="J319" s="107" t="s">
        <v>189</v>
      </c>
      <c r="K319" s="103"/>
      <c r="M319" s="559">
        <f t="shared" si="13"/>
        <v>3301</v>
      </c>
    </row>
    <row r="320" spans="2:18" s="559" customFormat="1" ht="15">
      <c r="B320" s="863" t="s">
        <v>318</v>
      </c>
      <c r="C320" s="864" t="s">
        <v>838</v>
      </c>
      <c r="D320" s="424" t="s">
        <v>330</v>
      </c>
      <c r="E320" s="863" t="s">
        <v>1015</v>
      </c>
      <c r="F320" s="864">
        <v>201701</v>
      </c>
      <c r="G320" s="855">
        <v>0.05</v>
      </c>
      <c r="H320" s="112">
        <f t="shared" si="12"/>
        <v>2017</v>
      </c>
      <c r="I320" s="312">
        <v>20</v>
      </c>
      <c r="J320" s="107" t="s">
        <v>189</v>
      </c>
      <c r="K320" s="103"/>
      <c r="M320" s="559">
        <f t="shared" si="13"/>
        <v>3301</v>
      </c>
    </row>
    <row r="321" spans="2:13" s="559" customFormat="1" ht="15">
      <c r="B321" s="863" t="s">
        <v>318</v>
      </c>
      <c r="C321" s="864" t="s">
        <v>838</v>
      </c>
      <c r="D321" s="424" t="s">
        <v>330</v>
      </c>
      <c r="E321" s="863" t="s">
        <v>1015</v>
      </c>
      <c r="F321" s="864">
        <v>201701</v>
      </c>
      <c r="G321" s="855">
        <v>0.12</v>
      </c>
      <c r="H321" s="112">
        <f t="shared" si="12"/>
        <v>2017</v>
      </c>
      <c r="I321" s="312">
        <v>20</v>
      </c>
      <c r="J321" s="107" t="s">
        <v>189</v>
      </c>
      <c r="K321" s="103"/>
      <c r="M321" s="559">
        <f t="shared" si="13"/>
        <v>3301</v>
      </c>
    </row>
    <row r="322" spans="2:13" s="559" customFormat="1" ht="15">
      <c r="B322" s="863" t="s">
        <v>318</v>
      </c>
      <c r="C322" s="864" t="s">
        <v>661</v>
      </c>
      <c r="D322" s="424" t="s">
        <v>330</v>
      </c>
      <c r="E322" s="863" t="s">
        <v>662</v>
      </c>
      <c r="F322" s="864">
        <v>201701</v>
      </c>
      <c r="G322" s="855">
        <v>0.05</v>
      </c>
      <c r="H322" s="112">
        <f t="shared" si="12"/>
        <v>2017</v>
      </c>
      <c r="I322" s="312">
        <v>20</v>
      </c>
      <c r="J322" s="107" t="s">
        <v>189</v>
      </c>
      <c r="K322" s="103"/>
      <c r="M322" s="559">
        <f t="shared" si="13"/>
        <v>3301</v>
      </c>
    </row>
    <row r="323" spans="2:13" s="559" customFormat="1" ht="15">
      <c r="B323" s="863" t="s">
        <v>318</v>
      </c>
      <c r="C323" s="864" t="s">
        <v>661</v>
      </c>
      <c r="D323" s="424" t="s">
        <v>330</v>
      </c>
      <c r="E323" s="863" t="s">
        <v>662</v>
      </c>
      <c r="F323" s="864">
        <v>201701</v>
      </c>
      <c r="G323" s="855">
        <v>0.96</v>
      </c>
      <c r="H323" s="112">
        <f t="shared" si="12"/>
        <v>2017</v>
      </c>
      <c r="I323" s="312">
        <v>20</v>
      </c>
      <c r="J323" s="107" t="s">
        <v>189</v>
      </c>
      <c r="K323" s="103"/>
      <c r="M323" s="559">
        <f t="shared" si="13"/>
        <v>3301</v>
      </c>
    </row>
    <row r="324" spans="2:13" s="559" customFormat="1" ht="15">
      <c r="B324" s="863" t="s">
        <v>318</v>
      </c>
      <c r="C324" s="864" t="s">
        <v>801</v>
      </c>
      <c r="D324" s="424" t="s">
        <v>330</v>
      </c>
      <c r="E324" s="863" t="s">
        <v>802</v>
      </c>
      <c r="F324" s="864">
        <v>201701</v>
      </c>
      <c r="G324" s="855">
        <v>0.03</v>
      </c>
      <c r="H324" s="112">
        <f t="shared" si="12"/>
        <v>2017</v>
      </c>
      <c r="I324" s="312">
        <v>20</v>
      </c>
      <c r="J324" s="107" t="s">
        <v>189</v>
      </c>
      <c r="K324" s="103"/>
      <c r="M324" s="559">
        <f t="shared" si="13"/>
        <v>3301</v>
      </c>
    </row>
    <row r="325" spans="2:13" s="559" customFormat="1" ht="15">
      <c r="B325" s="863" t="s">
        <v>318</v>
      </c>
      <c r="C325" s="864" t="s">
        <v>801</v>
      </c>
      <c r="D325" s="424" t="s">
        <v>330</v>
      </c>
      <c r="E325" s="863" t="s">
        <v>802</v>
      </c>
      <c r="F325" s="864">
        <v>201701</v>
      </c>
      <c r="G325" s="855">
        <v>0.65</v>
      </c>
      <c r="H325" s="112">
        <f t="shared" si="12"/>
        <v>2017</v>
      </c>
      <c r="I325" s="312">
        <v>20</v>
      </c>
      <c r="J325" s="107" t="s">
        <v>189</v>
      </c>
      <c r="K325" s="103"/>
      <c r="M325" s="559">
        <f t="shared" si="13"/>
        <v>3301</v>
      </c>
    </row>
    <row r="326" spans="2:13" s="559" customFormat="1" ht="15">
      <c r="B326" s="863" t="s">
        <v>318</v>
      </c>
      <c r="C326" s="864" t="s">
        <v>803</v>
      </c>
      <c r="D326" s="424" t="s">
        <v>330</v>
      </c>
      <c r="E326" s="863" t="s">
        <v>804</v>
      </c>
      <c r="F326" s="864">
        <v>201701</v>
      </c>
      <c r="G326" s="855">
        <v>0.23</v>
      </c>
      <c r="H326" s="112">
        <f t="shared" si="12"/>
        <v>2017</v>
      </c>
      <c r="I326" s="312">
        <v>20</v>
      </c>
      <c r="J326" s="107" t="s">
        <v>189</v>
      </c>
      <c r="K326" s="103"/>
      <c r="M326" s="559">
        <f t="shared" si="13"/>
        <v>3301</v>
      </c>
    </row>
    <row r="327" spans="2:13" s="559" customFormat="1" ht="15">
      <c r="B327" s="863" t="s">
        <v>318</v>
      </c>
      <c r="C327" s="864" t="s">
        <v>803</v>
      </c>
      <c r="D327" s="424" t="s">
        <v>330</v>
      </c>
      <c r="E327" s="863" t="s">
        <v>804</v>
      </c>
      <c r="F327" s="864">
        <v>201701</v>
      </c>
      <c r="G327" s="855">
        <v>2.81</v>
      </c>
      <c r="H327" s="112">
        <f t="shared" si="12"/>
        <v>2017</v>
      </c>
      <c r="I327" s="312">
        <v>20</v>
      </c>
      <c r="J327" s="107" t="s">
        <v>189</v>
      </c>
      <c r="K327" s="103"/>
      <c r="M327" s="559">
        <f t="shared" si="13"/>
        <v>3301</v>
      </c>
    </row>
    <row r="328" spans="2:13" s="559" customFormat="1" ht="15">
      <c r="B328" s="863" t="s">
        <v>318</v>
      </c>
      <c r="C328" s="864" t="s">
        <v>805</v>
      </c>
      <c r="D328" s="424" t="s">
        <v>330</v>
      </c>
      <c r="E328" s="863" t="s">
        <v>806</v>
      </c>
      <c r="F328" s="864">
        <v>201701</v>
      </c>
      <c r="G328" s="855">
        <v>-0.08</v>
      </c>
      <c r="H328" s="112">
        <f t="shared" si="12"/>
        <v>2017</v>
      </c>
      <c r="I328" s="312">
        <v>20</v>
      </c>
      <c r="J328" s="107" t="s">
        <v>189</v>
      </c>
      <c r="K328" s="103"/>
      <c r="M328" s="559">
        <f t="shared" si="13"/>
        <v>3301</v>
      </c>
    </row>
    <row r="329" spans="2:13" s="559" customFormat="1" ht="15">
      <c r="B329" s="863" t="s">
        <v>318</v>
      </c>
      <c r="C329" s="864" t="s">
        <v>805</v>
      </c>
      <c r="D329" s="424" t="s">
        <v>330</v>
      </c>
      <c r="E329" s="863" t="s">
        <v>806</v>
      </c>
      <c r="F329" s="864">
        <v>201701</v>
      </c>
      <c r="G329" s="855">
        <v>-0.01</v>
      </c>
      <c r="H329" s="112">
        <f t="shared" si="12"/>
        <v>2017</v>
      </c>
      <c r="I329" s="312">
        <v>20</v>
      </c>
      <c r="J329" s="107" t="s">
        <v>189</v>
      </c>
      <c r="K329" s="103"/>
      <c r="M329" s="559">
        <f t="shared" si="13"/>
        <v>3301</v>
      </c>
    </row>
    <row r="330" spans="2:13" s="559" customFormat="1" ht="15">
      <c r="B330" s="863" t="s">
        <v>318</v>
      </c>
      <c r="C330" s="864" t="s">
        <v>1067</v>
      </c>
      <c r="D330" s="424" t="s">
        <v>330</v>
      </c>
      <c r="E330" s="863" t="s">
        <v>1068</v>
      </c>
      <c r="F330" s="864">
        <v>201701</v>
      </c>
      <c r="G330" s="855">
        <v>11.07</v>
      </c>
      <c r="H330" s="112">
        <f t="shared" si="12"/>
        <v>2017</v>
      </c>
      <c r="I330" s="312">
        <v>20</v>
      </c>
      <c r="J330" s="107" t="s">
        <v>189</v>
      </c>
      <c r="K330" s="103"/>
      <c r="M330" s="559">
        <f t="shared" si="13"/>
        <v>3301</v>
      </c>
    </row>
    <row r="331" spans="2:13" s="559" customFormat="1" ht="15">
      <c r="B331" s="863" t="s">
        <v>318</v>
      </c>
      <c r="C331" s="864" t="s">
        <v>1067</v>
      </c>
      <c r="D331" s="424" t="s">
        <v>330</v>
      </c>
      <c r="E331" s="863" t="s">
        <v>1068</v>
      </c>
      <c r="F331" s="864">
        <v>201701</v>
      </c>
      <c r="G331" s="855">
        <v>512.19000000000005</v>
      </c>
      <c r="H331" s="112">
        <f t="shared" si="12"/>
        <v>2017</v>
      </c>
      <c r="I331" s="312">
        <v>20</v>
      </c>
      <c r="J331" s="107" t="s">
        <v>189</v>
      </c>
      <c r="K331" s="103"/>
      <c r="M331" s="559">
        <f t="shared" si="13"/>
        <v>3301</v>
      </c>
    </row>
    <row r="332" spans="2:13" s="559" customFormat="1" ht="15">
      <c r="B332" s="863" t="s">
        <v>318</v>
      </c>
      <c r="C332" s="864" t="s">
        <v>858</v>
      </c>
      <c r="D332" s="424" t="s">
        <v>329</v>
      </c>
      <c r="E332" s="863" t="s">
        <v>859</v>
      </c>
      <c r="F332" s="864">
        <v>201701</v>
      </c>
      <c r="G332" s="855">
        <v>0.12</v>
      </c>
      <c r="H332" s="112">
        <f t="shared" si="12"/>
        <v>2017</v>
      </c>
      <c r="I332" s="312">
        <v>20</v>
      </c>
      <c r="J332" s="107" t="s">
        <v>189</v>
      </c>
      <c r="K332" s="103"/>
      <c r="M332" s="559">
        <f t="shared" si="13"/>
        <v>3301</v>
      </c>
    </row>
    <row r="333" spans="2:13" s="559" customFormat="1" ht="15">
      <c r="B333" s="863" t="s">
        <v>318</v>
      </c>
      <c r="C333" s="864" t="s">
        <v>858</v>
      </c>
      <c r="D333" s="424" t="s">
        <v>329</v>
      </c>
      <c r="E333" s="863" t="s">
        <v>859</v>
      </c>
      <c r="F333" s="864">
        <v>201701</v>
      </c>
      <c r="G333" s="855">
        <v>0.31</v>
      </c>
      <c r="H333" s="112">
        <f t="shared" si="12"/>
        <v>2017</v>
      </c>
      <c r="I333" s="312">
        <v>20</v>
      </c>
      <c r="J333" s="107" t="s">
        <v>189</v>
      </c>
      <c r="K333" s="103"/>
      <c r="M333" s="559">
        <f t="shared" si="13"/>
        <v>3301</v>
      </c>
    </row>
    <row r="334" spans="2:13" s="559" customFormat="1" ht="15">
      <c r="B334" s="863" t="s">
        <v>318</v>
      </c>
      <c r="C334" s="864" t="s">
        <v>808</v>
      </c>
      <c r="D334" s="424" t="s">
        <v>329</v>
      </c>
      <c r="E334" s="863" t="s">
        <v>809</v>
      </c>
      <c r="F334" s="864">
        <v>201701</v>
      </c>
      <c r="G334" s="855">
        <v>7.0000000000000007E-2</v>
      </c>
      <c r="H334" s="112">
        <f t="shared" si="12"/>
        <v>2017</v>
      </c>
      <c r="I334" s="312">
        <v>20</v>
      </c>
      <c r="J334" s="107" t="s">
        <v>189</v>
      </c>
      <c r="K334" s="103"/>
      <c r="M334" s="559">
        <f t="shared" si="13"/>
        <v>3301</v>
      </c>
    </row>
    <row r="335" spans="2:13" s="559" customFormat="1" ht="15">
      <c r="B335" s="863" t="s">
        <v>318</v>
      </c>
      <c r="C335" s="864" t="s">
        <v>808</v>
      </c>
      <c r="D335" s="424" t="s">
        <v>329</v>
      </c>
      <c r="E335" s="863" t="s">
        <v>809</v>
      </c>
      <c r="F335" s="864">
        <v>201701</v>
      </c>
      <c r="G335" s="855">
        <v>0.18</v>
      </c>
      <c r="H335" s="112">
        <f t="shared" si="12"/>
        <v>2017</v>
      </c>
      <c r="I335" s="312">
        <v>20</v>
      </c>
      <c r="J335" s="107" t="s">
        <v>189</v>
      </c>
      <c r="K335" s="103"/>
      <c r="M335" s="559">
        <f t="shared" si="13"/>
        <v>3301</v>
      </c>
    </row>
    <row r="336" spans="2:13" s="559" customFormat="1" ht="15">
      <c r="B336" s="863" t="s">
        <v>322</v>
      </c>
      <c r="C336" s="864" t="s">
        <v>667</v>
      </c>
      <c r="D336" s="424" t="s">
        <v>329</v>
      </c>
      <c r="E336" s="863" t="s">
        <v>668</v>
      </c>
      <c r="F336" s="864">
        <v>201701</v>
      </c>
      <c r="G336" s="855">
        <v>0.02</v>
      </c>
      <c r="H336" s="112">
        <f t="shared" si="12"/>
        <v>2017</v>
      </c>
      <c r="I336" s="312">
        <v>20</v>
      </c>
      <c r="J336" s="107" t="s">
        <v>189</v>
      </c>
      <c r="K336" s="103"/>
      <c r="M336" s="559">
        <f t="shared" si="13"/>
        <v>3301</v>
      </c>
    </row>
    <row r="337" spans="2:13" s="559" customFormat="1" ht="15">
      <c r="B337" s="863" t="s">
        <v>318</v>
      </c>
      <c r="C337" s="864" t="s">
        <v>667</v>
      </c>
      <c r="D337" s="424" t="s">
        <v>329</v>
      </c>
      <c r="E337" s="863" t="s">
        <v>668</v>
      </c>
      <c r="F337" s="864">
        <v>201701</v>
      </c>
      <c r="G337" s="855">
        <v>0.05</v>
      </c>
      <c r="H337" s="112">
        <f t="shared" si="12"/>
        <v>2017</v>
      </c>
      <c r="I337" s="312">
        <v>20</v>
      </c>
      <c r="J337" s="107" t="s">
        <v>189</v>
      </c>
      <c r="K337" s="103"/>
      <c r="M337" s="559">
        <f t="shared" si="13"/>
        <v>3301</v>
      </c>
    </row>
    <row r="338" spans="2:13" s="559" customFormat="1" ht="15">
      <c r="B338" s="863" t="s">
        <v>318</v>
      </c>
      <c r="C338" s="864" t="s">
        <v>667</v>
      </c>
      <c r="D338" s="424" t="s">
        <v>329</v>
      </c>
      <c r="E338" s="863" t="s">
        <v>668</v>
      </c>
      <c r="F338" s="864">
        <v>201701</v>
      </c>
      <c r="G338" s="855">
        <v>0.18</v>
      </c>
      <c r="H338" s="112">
        <f t="shared" si="12"/>
        <v>2017</v>
      </c>
      <c r="I338" s="312">
        <v>20</v>
      </c>
      <c r="J338" s="107" t="s">
        <v>189</v>
      </c>
      <c r="K338" s="103"/>
      <c r="M338" s="559">
        <f t="shared" si="13"/>
        <v>3301</v>
      </c>
    </row>
    <row r="339" spans="2:13" s="559" customFormat="1" ht="15">
      <c r="B339" s="863" t="s">
        <v>318</v>
      </c>
      <c r="C339" s="864" t="s">
        <v>1033</v>
      </c>
      <c r="D339" s="424" t="s">
        <v>330</v>
      </c>
      <c r="E339" s="863" t="s">
        <v>1034</v>
      </c>
      <c r="F339" s="864">
        <v>201701</v>
      </c>
      <c r="G339" s="855">
        <v>30.06</v>
      </c>
      <c r="H339" s="112">
        <f t="shared" si="12"/>
        <v>2017</v>
      </c>
      <c r="I339" s="312">
        <v>20</v>
      </c>
      <c r="J339" s="107" t="s">
        <v>189</v>
      </c>
      <c r="K339" s="103"/>
      <c r="M339" s="559">
        <f t="shared" si="13"/>
        <v>3301</v>
      </c>
    </row>
    <row r="340" spans="2:13" s="559" customFormat="1" ht="15">
      <c r="B340" s="863" t="s">
        <v>318</v>
      </c>
      <c r="C340" s="864" t="s">
        <v>1033</v>
      </c>
      <c r="D340" s="424" t="s">
        <v>330</v>
      </c>
      <c r="E340" s="863" t="s">
        <v>1034</v>
      </c>
      <c r="F340" s="864">
        <v>201701</v>
      </c>
      <c r="G340" s="855">
        <v>548.07000000000005</v>
      </c>
      <c r="H340" s="112">
        <f t="shared" si="12"/>
        <v>2017</v>
      </c>
      <c r="I340" s="312">
        <v>20</v>
      </c>
      <c r="J340" s="107" t="s">
        <v>189</v>
      </c>
      <c r="K340" s="103"/>
      <c r="M340" s="559">
        <f t="shared" si="13"/>
        <v>3301</v>
      </c>
    </row>
    <row r="341" spans="2:13" s="559" customFormat="1" ht="15">
      <c r="B341" s="863" t="s">
        <v>318</v>
      </c>
      <c r="C341" s="864" t="s">
        <v>1132</v>
      </c>
      <c r="D341" s="424" t="s">
        <v>330</v>
      </c>
      <c r="E341" s="863" t="s">
        <v>1133</v>
      </c>
      <c r="F341" s="864">
        <v>201701</v>
      </c>
      <c r="G341" s="855">
        <v>-968.24</v>
      </c>
      <c r="H341" s="112">
        <f t="shared" si="12"/>
        <v>2017</v>
      </c>
      <c r="I341" s="312">
        <v>20</v>
      </c>
      <c r="J341" s="107" t="s">
        <v>189</v>
      </c>
      <c r="K341" s="103"/>
      <c r="M341" s="559">
        <f t="shared" si="13"/>
        <v>3301</v>
      </c>
    </row>
    <row r="342" spans="2:13" s="559" customFormat="1" ht="15">
      <c r="B342" s="863" t="s">
        <v>318</v>
      </c>
      <c r="C342" s="864" t="s">
        <v>1132</v>
      </c>
      <c r="D342" s="424" t="s">
        <v>330</v>
      </c>
      <c r="E342" s="863" t="s">
        <v>1133</v>
      </c>
      <c r="F342" s="864">
        <v>201701</v>
      </c>
      <c r="G342" s="855">
        <v>844.32</v>
      </c>
      <c r="H342" s="112">
        <f t="shared" si="12"/>
        <v>2017</v>
      </c>
      <c r="I342" s="312">
        <v>20</v>
      </c>
      <c r="J342" s="107" t="s">
        <v>189</v>
      </c>
      <c r="K342" s="103"/>
      <c r="M342" s="559">
        <f t="shared" si="13"/>
        <v>3301</v>
      </c>
    </row>
    <row r="343" spans="2:13" s="559" customFormat="1" ht="15">
      <c r="B343" s="863" t="s">
        <v>318</v>
      </c>
      <c r="C343" s="864" t="s">
        <v>832</v>
      </c>
      <c r="D343" s="424" t="s">
        <v>330</v>
      </c>
      <c r="E343" s="863" t="s">
        <v>833</v>
      </c>
      <c r="F343" s="864">
        <v>201701</v>
      </c>
      <c r="G343" s="855">
        <v>2288.98</v>
      </c>
      <c r="H343" s="112">
        <f t="shared" si="12"/>
        <v>2017</v>
      </c>
      <c r="I343" s="312">
        <v>20</v>
      </c>
      <c r="J343" s="107" t="s">
        <v>189</v>
      </c>
      <c r="K343" s="103"/>
      <c r="M343" s="559">
        <f t="shared" si="13"/>
        <v>3301</v>
      </c>
    </row>
    <row r="344" spans="2:13" s="559" customFormat="1" ht="15">
      <c r="B344" s="863" t="s">
        <v>318</v>
      </c>
      <c r="C344" s="864" t="s">
        <v>832</v>
      </c>
      <c r="D344" s="424" t="s">
        <v>330</v>
      </c>
      <c r="E344" s="863" t="s">
        <v>833</v>
      </c>
      <c r="F344" s="864">
        <v>201701</v>
      </c>
      <c r="G344" s="855">
        <v>9284.2000000000007</v>
      </c>
      <c r="H344" s="112">
        <f t="shared" si="12"/>
        <v>2017</v>
      </c>
      <c r="I344" s="312">
        <v>20</v>
      </c>
      <c r="J344" s="107" t="s">
        <v>189</v>
      </c>
      <c r="K344" s="103"/>
      <c r="M344" s="559">
        <f t="shared" si="13"/>
        <v>3301</v>
      </c>
    </row>
    <row r="345" spans="2:13" s="559" customFormat="1" ht="15">
      <c r="B345" s="863" t="s">
        <v>318</v>
      </c>
      <c r="C345" s="864" t="s">
        <v>947</v>
      </c>
      <c r="D345" s="424" t="s">
        <v>330</v>
      </c>
      <c r="E345" s="863" t="s">
        <v>948</v>
      </c>
      <c r="F345" s="864">
        <v>201701</v>
      </c>
      <c r="G345" s="855">
        <v>-62417.3</v>
      </c>
      <c r="H345" s="112">
        <f t="shared" si="12"/>
        <v>2017</v>
      </c>
      <c r="I345" s="312">
        <v>20</v>
      </c>
      <c r="J345" s="107" t="s">
        <v>189</v>
      </c>
      <c r="K345" s="103"/>
      <c r="M345" s="559">
        <f t="shared" si="13"/>
        <v>3301</v>
      </c>
    </row>
    <row r="346" spans="2:13" s="559" customFormat="1" ht="15">
      <c r="B346" s="863" t="s">
        <v>318</v>
      </c>
      <c r="C346" s="864" t="s">
        <v>947</v>
      </c>
      <c r="D346" s="424" t="s">
        <v>330</v>
      </c>
      <c r="E346" s="863" t="s">
        <v>948</v>
      </c>
      <c r="F346" s="864">
        <v>201701</v>
      </c>
      <c r="G346" s="855">
        <v>-9963.02</v>
      </c>
      <c r="H346" s="112">
        <f t="shared" si="12"/>
        <v>2017</v>
      </c>
      <c r="I346" s="312">
        <v>20</v>
      </c>
      <c r="J346" s="107" t="s">
        <v>189</v>
      </c>
      <c r="K346" s="103"/>
      <c r="M346" s="559">
        <f t="shared" si="13"/>
        <v>3301</v>
      </c>
    </row>
    <row r="347" spans="2:13" s="559" customFormat="1" ht="15">
      <c r="B347" s="863" t="s">
        <v>318</v>
      </c>
      <c r="C347" s="864" t="s">
        <v>949</v>
      </c>
      <c r="D347" s="424" t="s">
        <v>330</v>
      </c>
      <c r="E347" s="863" t="s">
        <v>950</v>
      </c>
      <c r="F347" s="864">
        <v>201701</v>
      </c>
      <c r="G347" s="855">
        <v>423.72</v>
      </c>
      <c r="H347" s="112">
        <f t="shared" si="12"/>
        <v>2017</v>
      </c>
      <c r="I347" s="312">
        <v>20</v>
      </c>
      <c r="J347" s="107" t="s">
        <v>189</v>
      </c>
      <c r="K347" s="103"/>
      <c r="M347" s="559">
        <f t="shared" si="13"/>
        <v>3301</v>
      </c>
    </row>
    <row r="348" spans="2:13" s="559" customFormat="1" ht="15">
      <c r="B348" s="863" t="s">
        <v>318</v>
      </c>
      <c r="C348" s="864" t="s">
        <v>949</v>
      </c>
      <c r="D348" s="424" t="s">
        <v>330</v>
      </c>
      <c r="E348" s="863" t="s">
        <v>950</v>
      </c>
      <c r="F348" s="864">
        <v>201701</v>
      </c>
      <c r="G348" s="855">
        <v>8699.2999999999993</v>
      </c>
      <c r="H348" s="112">
        <f t="shared" si="12"/>
        <v>2017</v>
      </c>
      <c r="I348" s="312">
        <v>20</v>
      </c>
      <c r="J348" s="107" t="s">
        <v>189</v>
      </c>
      <c r="K348" s="103"/>
      <c r="M348" s="559">
        <f t="shared" si="13"/>
        <v>3301</v>
      </c>
    </row>
    <row r="349" spans="2:13" s="559" customFormat="1" ht="15">
      <c r="B349" s="863" t="s">
        <v>318</v>
      </c>
      <c r="C349" s="864" t="s">
        <v>951</v>
      </c>
      <c r="D349" s="424" t="s">
        <v>330</v>
      </c>
      <c r="E349" s="863" t="s">
        <v>952</v>
      </c>
      <c r="F349" s="864">
        <v>201701</v>
      </c>
      <c r="G349" s="855">
        <v>-55764.47</v>
      </c>
      <c r="H349" s="112">
        <f t="shared" si="12"/>
        <v>2017</v>
      </c>
      <c r="I349" s="312">
        <v>20</v>
      </c>
      <c r="J349" s="107" t="s">
        <v>189</v>
      </c>
      <c r="K349" s="103"/>
      <c r="M349" s="559">
        <f t="shared" si="13"/>
        <v>3301</v>
      </c>
    </row>
    <row r="350" spans="2:13" s="559" customFormat="1" ht="15">
      <c r="B350" s="863" t="s">
        <v>318</v>
      </c>
      <c r="C350" s="864" t="s">
        <v>951</v>
      </c>
      <c r="D350" s="424" t="s">
        <v>330</v>
      </c>
      <c r="E350" s="863" t="s">
        <v>952</v>
      </c>
      <c r="F350" s="864">
        <v>201701</v>
      </c>
      <c r="G350" s="855">
        <v>-2929.44</v>
      </c>
      <c r="H350" s="112">
        <f t="shared" si="12"/>
        <v>2017</v>
      </c>
      <c r="I350" s="312">
        <v>20</v>
      </c>
      <c r="J350" s="107" t="s">
        <v>189</v>
      </c>
      <c r="K350" s="103"/>
      <c r="M350" s="559">
        <f t="shared" si="13"/>
        <v>3301</v>
      </c>
    </row>
    <row r="351" spans="2:13" s="559" customFormat="1" ht="15">
      <c r="B351" s="863" t="s">
        <v>318</v>
      </c>
      <c r="C351" s="864" t="s">
        <v>955</v>
      </c>
      <c r="D351" s="424" t="s">
        <v>330</v>
      </c>
      <c r="E351" s="863" t="s">
        <v>956</v>
      </c>
      <c r="F351" s="864">
        <v>201701</v>
      </c>
      <c r="G351" s="855">
        <v>-568.54</v>
      </c>
      <c r="H351" s="112">
        <f t="shared" si="12"/>
        <v>2017</v>
      </c>
      <c r="I351" s="312">
        <v>20</v>
      </c>
      <c r="J351" s="107" t="s">
        <v>189</v>
      </c>
      <c r="K351" s="103"/>
      <c r="M351" s="559">
        <f t="shared" si="13"/>
        <v>3301</v>
      </c>
    </row>
    <row r="352" spans="2:13" s="559" customFormat="1" ht="15">
      <c r="B352" s="863" t="s">
        <v>318</v>
      </c>
      <c r="C352" s="864" t="s">
        <v>955</v>
      </c>
      <c r="D352" s="424" t="s">
        <v>330</v>
      </c>
      <c r="E352" s="863" t="s">
        <v>956</v>
      </c>
      <c r="F352" s="864">
        <v>201701</v>
      </c>
      <c r="G352" s="855">
        <v>7955.74</v>
      </c>
      <c r="H352" s="112">
        <f t="shared" si="12"/>
        <v>2017</v>
      </c>
      <c r="I352" s="312">
        <v>20</v>
      </c>
      <c r="J352" s="107" t="s">
        <v>189</v>
      </c>
      <c r="K352" s="103"/>
      <c r="M352" s="559">
        <f t="shared" si="13"/>
        <v>3301</v>
      </c>
    </row>
    <row r="353" spans="2:13" s="559" customFormat="1" ht="15">
      <c r="B353" s="863" t="s">
        <v>318</v>
      </c>
      <c r="C353" s="864" t="s">
        <v>672</v>
      </c>
      <c r="D353" s="424" t="s">
        <v>330</v>
      </c>
      <c r="E353" s="863" t="s">
        <v>673</v>
      </c>
      <c r="F353" s="864">
        <v>201701</v>
      </c>
      <c r="G353" s="855">
        <v>0.35</v>
      </c>
      <c r="H353" s="112">
        <f t="shared" si="12"/>
        <v>2017</v>
      </c>
      <c r="I353" s="312">
        <v>20</v>
      </c>
      <c r="J353" s="107" t="s">
        <v>189</v>
      </c>
      <c r="K353" s="103"/>
      <c r="M353" s="559">
        <f t="shared" si="13"/>
        <v>3301</v>
      </c>
    </row>
    <row r="354" spans="2:13" s="559" customFormat="1" ht="15">
      <c r="B354" s="863" t="s">
        <v>318</v>
      </c>
      <c r="C354" s="864" t="s">
        <v>840</v>
      </c>
      <c r="D354" s="424" t="s">
        <v>330</v>
      </c>
      <c r="E354" s="863" t="s">
        <v>841</v>
      </c>
      <c r="F354" s="864">
        <v>201701</v>
      </c>
      <c r="G354" s="855">
        <v>996.01</v>
      </c>
      <c r="H354" s="112">
        <f t="shared" si="12"/>
        <v>2017</v>
      </c>
      <c r="I354" s="312">
        <v>20</v>
      </c>
      <c r="J354" s="107" t="s">
        <v>189</v>
      </c>
      <c r="K354" s="103"/>
      <c r="M354" s="559">
        <f t="shared" si="13"/>
        <v>3301</v>
      </c>
    </row>
    <row r="355" spans="2:13" s="559" customFormat="1" ht="15">
      <c r="B355" s="863" t="s">
        <v>318</v>
      </c>
      <c r="C355" s="864" t="s">
        <v>840</v>
      </c>
      <c r="D355" s="424" t="s">
        <v>330</v>
      </c>
      <c r="E355" s="863" t="s">
        <v>841</v>
      </c>
      <c r="F355" s="864">
        <v>201701</v>
      </c>
      <c r="G355" s="855">
        <v>10574.86</v>
      </c>
      <c r="H355" s="112">
        <f t="shared" si="12"/>
        <v>2017</v>
      </c>
      <c r="I355" s="312">
        <v>20</v>
      </c>
      <c r="J355" s="107" t="s">
        <v>189</v>
      </c>
      <c r="K355" s="103"/>
      <c r="M355" s="559">
        <f t="shared" si="13"/>
        <v>3301</v>
      </c>
    </row>
    <row r="356" spans="2:13" s="559" customFormat="1" ht="15">
      <c r="B356" s="863" t="s">
        <v>318</v>
      </c>
      <c r="C356" s="864" t="s">
        <v>961</v>
      </c>
      <c r="D356" s="424" t="s">
        <v>330</v>
      </c>
      <c r="E356" s="863" t="s">
        <v>962</v>
      </c>
      <c r="F356" s="864">
        <v>201701</v>
      </c>
      <c r="G356" s="855">
        <v>3733.01</v>
      </c>
      <c r="H356" s="112">
        <f t="shared" si="12"/>
        <v>2017</v>
      </c>
      <c r="I356" s="312">
        <v>20</v>
      </c>
      <c r="J356" s="107" t="s">
        <v>189</v>
      </c>
      <c r="K356" s="103"/>
      <c r="M356" s="559">
        <f t="shared" si="13"/>
        <v>3301</v>
      </c>
    </row>
    <row r="357" spans="2:13" s="559" customFormat="1" ht="15">
      <c r="B357" s="863" t="s">
        <v>318</v>
      </c>
      <c r="C357" s="864" t="s">
        <v>961</v>
      </c>
      <c r="D357" s="424" t="s">
        <v>330</v>
      </c>
      <c r="E357" s="863" t="s">
        <v>962</v>
      </c>
      <c r="F357" s="864">
        <v>201701</v>
      </c>
      <c r="G357" s="855">
        <v>60038.35</v>
      </c>
      <c r="H357" s="112">
        <f t="shared" si="12"/>
        <v>2017</v>
      </c>
      <c r="I357" s="312">
        <v>20</v>
      </c>
      <c r="J357" s="107" t="s">
        <v>189</v>
      </c>
      <c r="K357" s="103"/>
      <c r="M357" s="559">
        <f t="shared" si="13"/>
        <v>3301</v>
      </c>
    </row>
    <row r="358" spans="2:13" s="559" customFormat="1" ht="15">
      <c r="B358" s="863" t="s">
        <v>318</v>
      </c>
      <c r="C358" s="864" t="s">
        <v>963</v>
      </c>
      <c r="D358" s="424" t="s">
        <v>330</v>
      </c>
      <c r="E358" s="863" t="s">
        <v>964</v>
      </c>
      <c r="F358" s="864">
        <v>201701</v>
      </c>
      <c r="G358" s="855">
        <v>7.08</v>
      </c>
      <c r="H358" s="112">
        <f t="shared" si="12"/>
        <v>2017</v>
      </c>
      <c r="I358" s="312">
        <v>20</v>
      </c>
      <c r="J358" s="107" t="s">
        <v>189</v>
      </c>
      <c r="K358" s="103"/>
      <c r="M358" s="559">
        <f t="shared" si="13"/>
        <v>3301</v>
      </c>
    </row>
    <row r="359" spans="2:13" s="559" customFormat="1" ht="15">
      <c r="B359" s="863" t="s">
        <v>318</v>
      </c>
      <c r="C359" s="864" t="s">
        <v>963</v>
      </c>
      <c r="D359" s="424" t="s">
        <v>330</v>
      </c>
      <c r="E359" s="863" t="s">
        <v>964</v>
      </c>
      <c r="F359" s="864">
        <v>201701</v>
      </c>
      <c r="G359" s="855">
        <v>90.82</v>
      </c>
      <c r="H359" s="112">
        <f t="shared" si="12"/>
        <v>2017</v>
      </c>
      <c r="I359" s="312">
        <v>20</v>
      </c>
      <c r="J359" s="107" t="s">
        <v>189</v>
      </c>
      <c r="K359" s="103"/>
      <c r="M359" s="559">
        <f t="shared" si="13"/>
        <v>3301</v>
      </c>
    </row>
    <row r="360" spans="2:13" s="559" customFormat="1" ht="15">
      <c r="B360" s="863" t="s">
        <v>318</v>
      </c>
      <c r="C360" s="864" t="s">
        <v>842</v>
      </c>
      <c r="D360" s="424" t="s">
        <v>330</v>
      </c>
      <c r="E360" s="863" t="s">
        <v>843</v>
      </c>
      <c r="F360" s="864">
        <v>201701</v>
      </c>
      <c r="G360" s="855">
        <v>78.53</v>
      </c>
      <c r="H360" s="112">
        <f t="shared" si="12"/>
        <v>2017</v>
      </c>
      <c r="I360" s="312">
        <v>20</v>
      </c>
      <c r="J360" s="107" t="s">
        <v>189</v>
      </c>
      <c r="K360" s="103"/>
      <c r="M360" s="559">
        <f t="shared" si="13"/>
        <v>3301</v>
      </c>
    </row>
    <row r="361" spans="2:13" s="559" customFormat="1" ht="15">
      <c r="B361" s="863" t="s">
        <v>318</v>
      </c>
      <c r="C361" s="864" t="s">
        <v>842</v>
      </c>
      <c r="D361" s="424" t="s">
        <v>330</v>
      </c>
      <c r="E361" s="863" t="s">
        <v>843</v>
      </c>
      <c r="F361" s="864">
        <v>201701</v>
      </c>
      <c r="G361" s="855">
        <v>82.61</v>
      </c>
      <c r="H361" s="112">
        <f t="shared" si="12"/>
        <v>2017</v>
      </c>
      <c r="I361" s="312">
        <v>20</v>
      </c>
      <c r="J361" s="107" t="s">
        <v>189</v>
      </c>
      <c r="K361" s="103"/>
      <c r="M361" s="559">
        <f t="shared" si="13"/>
        <v>3301</v>
      </c>
    </row>
    <row r="362" spans="2:13" s="559" customFormat="1" ht="15">
      <c r="B362" s="863" t="s">
        <v>318</v>
      </c>
      <c r="C362" s="864" t="s">
        <v>844</v>
      </c>
      <c r="D362" s="424" t="s">
        <v>329</v>
      </c>
      <c r="E362" s="863" t="s">
        <v>845</v>
      </c>
      <c r="F362" s="864">
        <v>201701</v>
      </c>
      <c r="G362" s="855">
        <v>0.5</v>
      </c>
      <c r="H362" s="112">
        <f t="shared" si="12"/>
        <v>2017</v>
      </c>
      <c r="I362" s="312">
        <v>20</v>
      </c>
      <c r="J362" s="107" t="s">
        <v>189</v>
      </c>
      <c r="K362" s="103"/>
      <c r="M362" s="559">
        <f t="shared" si="13"/>
        <v>3301</v>
      </c>
    </row>
    <row r="363" spans="2:13" s="559" customFormat="1" ht="15">
      <c r="B363" s="863" t="s">
        <v>318</v>
      </c>
      <c r="C363" s="864" t="s">
        <v>1035</v>
      </c>
      <c r="D363" s="424" t="s">
        <v>329</v>
      </c>
      <c r="E363" s="863" t="s">
        <v>1036</v>
      </c>
      <c r="F363" s="864">
        <v>201701</v>
      </c>
      <c r="G363" s="855">
        <v>0.01</v>
      </c>
      <c r="H363" s="112">
        <f t="shared" si="12"/>
        <v>2017</v>
      </c>
      <c r="I363" s="312">
        <v>20</v>
      </c>
      <c r="J363" s="107" t="s">
        <v>189</v>
      </c>
      <c r="K363" s="103"/>
      <c r="M363" s="559">
        <f t="shared" si="13"/>
        <v>3301</v>
      </c>
    </row>
    <row r="364" spans="2:13" s="559" customFormat="1" ht="15">
      <c r="B364" s="863" t="s">
        <v>318</v>
      </c>
      <c r="C364" s="864" t="s">
        <v>1035</v>
      </c>
      <c r="D364" s="424" t="s">
        <v>329</v>
      </c>
      <c r="E364" s="863" t="s">
        <v>1036</v>
      </c>
      <c r="F364" s="864">
        <v>201701</v>
      </c>
      <c r="G364" s="855">
        <v>0.24</v>
      </c>
      <c r="H364" s="112">
        <f t="shared" si="12"/>
        <v>2017</v>
      </c>
      <c r="I364" s="312">
        <v>20</v>
      </c>
      <c r="J364" s="107" t="s">
        <v>189</v>
      </c>
      <c r="K364" s="103"/>
      <c r="M364" s="559">
        <f t="shared" si="13"/>
        <v>3301</v>
      </c>
    </row>
    <row r="365" spans="2:13" s="559" customFormat="1" ht="15">
      <c r="B365" s="863" t="s">
        <v>318</v>
      </c>
      <c r="C365" s="864" t="s">
        <v>862</v>
      </c>
      <c r="D365" s="424" t="s">
        <v>330</v>
      </c>
      <c r="E365" s="863" t="s">
        <v>863</v>
      </c>
      <c r="F365" s="864">
        <v>201701</v>
      </c>
      <c r="G365" s="855">
        <v>-7.0000000000000007E-2</v>
      </c>
      <c r="H365" s="112">
        <f t="shared" si="12"/>
        <v>2017</v>
      </c>
      <c r="I365" s="312">
        <v>20</v>
      </c>
      <c r="J365" s="107" t="s">
        <v>189</v>
      </c>
      <c r="K365" s="103"/>
      <c r="M365" s="559">
        <f t="shared" si="13"/>
        <v>3301</v>
      </c>
    </row>
    <row r="366" spans="2:13" s="559" customFormat="1" ht="15">
      <c r="B366" s="863" t="s">
        <v>318</v>
      </c>
      <c r="C366" s="864" t="s">
        <v>862</v>
      </c>
      <c r="D366" s="424" t="s">
        <v>330</v>
      </c>
      <c r="E366" s="863" t="s">
        <v>863</v>
      </c>
      <c r="F366" s="864">
        <v>201701</v>
      </c>
      <c r="G366" s="855">
        <v>7.0000000000000007E-2</v>
      </c>
      <c r="H366" s="112">
        <f t="shared" si="12"/>
        <v>2017</v>
      </c>
      <c r="I366" s="312">
        <v>20</v>
      </c>
      <c r="J366" s="107" t="s">
        <v>189</v>
      </c>
      <c r="K366" s="103"/>
      <c r="M366" s="559">
        <f t="shared" si="13"/>
        <v>3301</v>
      </c>
    </row>
    <row r="367" spans="2:13" s="559" customFormat="1" ht="15">
      <c r="B367" s="863" t="s">
        <v>318</v>
      </c>
      <c r="C367" s="864" t="s">
        <v>967</v>
      </c>
      <c r="D367" s="424" t="s">
        <v>330</v>
      </c>
      <c r="E367" s="863" t="s">
        <v>968</v>
      </c>
      <c r="F367" s="864">
        <v>201701</v>
      </c>
      <c r="G367" s="855">
        <v>-8.84</v>
      </c>
      <c r="H367" s="112">
        <f t="shared" si="12"/>
        <v>2017</v>
      </c>
      <c r="I367" s="312">
        <v>20</v>
      </c>
      <c r="J367" s="107" t="s">
        <v>189</v>
      </c>
      <c r="K367" s="103"/>
      <c r="M367" s="559">
        <f t="shared" si="13"/>
        <v>3301</v>
      </c>
    </row>
    <row r="368" spans="2:13" s="559" customFormat="1" ht="15">
      <c r="B368" s="863" t="s">
        <v>318</v>
      </c>
      <c r="C368" s="864" t="s">
        <v>967</v>
      </c>
      <c r="D368" s="424" t="s">
        <v>330</v>
      </c>
      <c r="E368" s="863" t="s">
        <v>968</v>
      </c>
      <c r="F368" s="864">
        <v>201701</v>
      </c>
      <c r="G368" s="855">
        <v>-0.35</v>
      </c>
      <c r="H368" s="112">
        <f t="shared" si="12"/>
        <v>2017</v>
      </c>
      <c r="I368" s="312">
        <v>20</v>
      </c>
      <c r="J368" s="107" t="s">
        <v>189</v>
      </c>
      <c r="K368" s="103"/>
      <c r="M368" s="559">
        <f t="shared" si="13"/>
        <v>3301</v>
      </c>
    </row>
    <row r="369" spans="2:13" s="559" customFormat="1" ht="15">
      <c r="B369" s="863" t="s">
        <v>318</v>
      </c>
      <c r="C369" s="864" t="s">
        <v>682</v>
      </c>
      <c r="D369" s="424" t="s">
        <v>330</v>
      </c>
      <c r="E369" s="863" t="s">
        <v>683</v>
      </c>
      <c r="F369" s="864">
        <v>201701</v>
      </c>
      <c r="G369" s="855">
        <v>248.24</v>
      </c>
      <c r="H369" s="112">
        <f t="shared" si="12"/>
        <v>2017</v>
      </c>
      <c r="I369" s="312">
        <v>20</v>
      </c>
      <c r="J369" s="107" t="s">
        <v>189</v>
      </c>
      <c r="K369" s="103"/>
      <c r="M369" s="559">
        <f t="shared" si="13"/>
        <v>3301</v>
      </c>
    </row>
    <row r="370" spans="2:13" s="559" customFormat="1" ht="15">
      <c r="B370" s="863" t="s">
        <v>318</v>
      </c>
      <c r="C370" s="864" t="s">
        <v>682</v>
      </c>
      <c r="D370" s="424" t="s">
        <v>330</v>
      </c>
      <c r="E370" s="863" t="s">
        <v>683</v>
      </c>
      <c r="F370" s="864">
        <v>201701</v>
      </c>
      <c r="G370" s="855">
        <v>5951.16</v>
      </c>
      <c r="H370" s="112">
        <f t="shared" si="12"/>
        <v>2017</v>
      </c>
      <c r="I370" s="312">
        <v>20</v>
      </c>
      <c r="J370" s="107" t="s">
        <v>189</v>
      </c>
      <c r="K370" s="103"/>
      <c r="M370" s="559">
        <f t="shared" si="13"/>
        <v>3301</v>
      </c>
    </row>
    <row r="371" spans="2:13" s="559" customFormat="1" ht="15">
      <c r="B371" s="863" t="s">
        <v>322</v>
      </c>
      <c r="C371" s="864" t="s">
        <v>1106</v>
      </c>
      <c r="D371" s="424" t="s">
        <v>330</v>
      </c>
      <c r="E371" s="863" t="s">
        <v>1107</v>
      </c>
      <c r="F371" s="864">
        <v>201701</v>
      </c>
      <c r="G371" s="855">
        <v>21.84</v>
      </c>
      <c r="H371" s="112">
        <f t="shared" ref="H371:H434" si="14">IF(F371&gt;$H$5,0+2017,0+2016)</f>
        <v>2017</v>
      </c>
      <c r="I371" s="312">
        <v>20</v>
      </c>
      <c r="J371" s="107" t="s">
        <v>189</v>
      </c>
      <c r="K371" s="103"/>
      <c r="M371" s="559">
        <f t="shared" ref="M371:M434" si="15">IF(LEFT(D371,2)="34",3401,IF(LEFT(D371,2)="33",3301))</f>
        <v>3301</v>
      </c>
    </row>
    <row r="372" spans="2:13" s="559" customFormat="1" ht="15">
      <c r="B372" s="863" t="s">
        <v>318</v>
      </c>
      <c r="C372" s="864" t="s">
        <v>1106</v>
      </c>
      <c r="D372" s="424" t="s">
        <v>330</v>
      </c>
      <c r="E372" s="863" t="s">
        <v>1107</v>
      </c>
      <c r="F372" s="864">
        <v>201701</v>
      </c>
      <c r="G372" s="855">
        <v>550.77</v>
      </c>
      <c r="H372" s="112">
        <f t="shared" si="14"/>
        <v>2017</v>
      </c>
      <c r="I372" s="312">
        <v>20</v>
      </c>
      <c r="J372" s="107" t="s">
        <v>189</v>
      </c>
      <c r="K372" s="103"/>
      <c r="M372" s="559">
        <f t="shared" si="15"/>
        <v>3301</v>
      </c>
    </row>
    <row r="373" spans="2:13" s="559" customFormat="1" ht="15">
      <c r="B373" s="863" t="s">
        <v>318</v>
      </c>
      <c r="C373" s="864" t="s">
        <v>1106</v>
      </c>
      <c r="D373" s="424" t="s">
        <v>330</v>
      </c>
      <c r="E373" s="863" t="s">
        <v>1107</v>
      </c>
      <c r="F373" s="864">
        <v>201701</v>
      </c>
      <c r="G373" s="855">
        <v>6842.8</v>
      </c>
      <c r="H373" s="112">
        <f t="shared" si="14"/>
        <v>2017</v>
      </c>
      <c r="I373" s="312">
        <v>20</v>
      </c>
      <c r="J373" s="107" t="s">
        <v>189</v>
      </c>
      <c r="K373" s="103"/>
      <c r="M373" s="559">
        <f t="shared" si="15"/>
        <v>3301</v>
      </c>
    </row>
    <row r="374" spans="2:13" s="559" customFormat="1" ht="15">
      <c r="B374" s="863" t="s">
        <v>318</v>
      </c>
      <c r="C374" s="864" t="s">
        <v>848</v>
      </c>
      <c r="D374" s="424" t="s">
        <v>329</v>
      </c>
      <c r="E374" s="863" t="s">
        <v>849</v>
      </c>
      <c r="F374" s="864">
        <v>201701</v>
      </c>
      <c r="G374" s="855">
        <v>-14.85</v>
      </c>
      <c r="H374" s="112">
        <f t="shared" si="14"/>
        <v>2017</v>
      </c>
      <c r="I374" s="312">
        <v>20</v>
      </c>
      <c r="J374" s="107" t="s">
        <v>189</v>
      </c>
      <c r="K374" s="103"/>
      <c r="M374" s="559">
        <f t="shared" si="15"/>
        <v>3301</v>
      </c>
    </row>
    <row r="375" spans="2:13" s="559" customFormat="1" ht="15">
      <c r="B375" s="863" t="s">
        <v>318</v>
      </c>
      <c r="C375" s="864" t="s">
        <v>848</v>
      </c>
      <c r="D375" s="424" t="s">
        <v>329</v>
      </c>
      <c r="E375" s="863" t="s">
        <v>849</v>
      </c>
      <c r="F375" s="864">
        <v>201701</v>
      </c>
      <c r="G375" s="855">
        <v>-4.62</v>
      </c>
      <c r="H375" s="112">
        <f t="shared" si="14"/>
        <v>2017</v>
      </c>
      <c r="I375" s="312">
        <v>20</v>
      </c>
      <c r="J375" s="107" t="s">
        <v>189</v>
      </c>
      <c r="K375" s="103"/>
      <c r="M375" s="559">
        <f t="shared" si="15"/>
        <v>3301</v>
      </c>
    </row>
    <row r="376" spans="2:13" s="559" customFormat="1" ht="15">
      <c r="B376" s="863" t="s">
        <v>318</v>
      </c>
      <c r="C376" s="864" t="s">
        <v>971</v>
      </c>
      <c r="D376" s="424" t="s">
        <v>329</v>
      </c>
      <c r="E376" s="863" t="s">
        <v>972</v>
      </c>
      <c r="F376" s="864">
        <v>201701</v>
      </c>
      <c r="G376" s="855">
        <v>29.03</v>
      </c>
      <c r="H376" s="112">
        <f t="shared" si="14"/>
        <v>2017</v>
      </c>
      <c r="I376" s="312">
        <v>20</v>
      </c>
      <c r="J376" s="107" t="s">
        <v>189</v>
      </c>
      <c r="K376" s="103"/>
      <c r="M376" s="559">
        <f t="shared" si="15"/>
        <v>3301</v>
      </c>
    </row>
    <row r="377" spans="2:13" s="559" customFormat="1" ht="15">
      <c r="B377" s="863" t="s">
        <v>318</v>
      </c>
      <c r="C377" s="864" t="s">
        <v>971</v>
      </c>
      <c r="D377" s="424" t="s">
        <v>329</v>
      </c>
      <c r="E377" s="863" t="s">
        <v>972</v>
      </c>
      <c r="F377" s="864">
        <v>201701</v>
      </c>
      <c r="G377" s="855">
        <v>318.05</v>
      </c>
      <c r="H377" s="112">
        <f t="shared" si="14"/>
        <v>2017</v>
      </c>
      <c r="I377" s="312">
        <v>20</v>
      </c>
      <c r="J377" s="107" t="s">
        <v>189</v>
      </c>
      <c r="K377" s="103"/>
      <c r="M377" s="559">
        <f t="shared" si="15"/>
        <v>3301</v>
      </c>
    </row>
    <row r="378" spans="2:13" s="559" customFormat="1" ht="15">
      <c r="B378" s="863" t="s">
        <v>322</v>
      </c>
      <c r="C378" s="864" t="s">
        <v>822</v>
      </c>
      <c r="D378" s="424" t="s">
        <v>330</v>
      </c>
      <c r="E378" s="863" t="s">
        <v>823</v>
      </c>
      <c r="F378" s="864">
        <v>201701</v>
      </c>
      <c r="G378" s="855">
        <v>0.02</v>
      </c>
      <c r="H378" s="112">
        <f t="shared" si="14"/>
        <v>2017</v>
      </c>
      <c r="I378" s="312">
        <v>20</v>
      </c>
      <c r="J378" s="107" t="s">
        <v>189</v>
      </c>
      <c r="K378" s="103"/>
      <c r="M378" s="559">
        <f t="shared" si="15"/>
        <v>3301</v>
      </c>
    </row>
    <row r="379" spans="2:13" s="559" customFormat="1" ht="15">
      <c r="B379" s="863" t="s">
        <v>318</v>
      </c>
      <c r="C379" s="864" t="s">
        <v>822</v>
      </c>
      <c r="D379" s="424" t="s">
        <v>330</v>
      </c>
      <c r="E379" s="863" t="s">
        <v>823</v>
      </c>
      <c r="F379" s="864">
        <v>201701</v>
      </c>
      <c r="G379" s="855">
        <v>0.12</v>
      </c>
      <c r="H379" s="112">
        <f t="shared" si="14"/>
        <v>2017</v>
      </c>
      <c r="I379" s="312">
        <v>20</v>
      </c>
      <c r="J379" s="107" t="s">
        <v>189</v>
      </c>
      <c r="K379" s="103"/>
      <c r="M379" s="559">
        <f t="shared" si="15"/>
        <v>3301</v>
      </c>
    </row>
    <row r="380" spans="2:13" s="559" customFormat="1" ht="15">
      <c r="B380" s="863" t="s">
        <v>318</v>
      </c>
      <c r="C380" s="864" t="s">
        <v>822</v>
      </c>
      <c r="D380" s="424" t="s">
        <v>330</v>
      </c>
      <c r="E380" s="863" t="s">
        <v>823</v>
      </c>
      <c r="F380" s="864">
        <v>201701</v>
      </c>
      <c r="G380" s="855">
        <v>1.1100000000000001</v>
      </c>
      <c r="H380" s="112">
        <f t="shared" si="14"/>
        <v>2017</v>
      </c>
      <c r="I380" s="312">
        <v>20</v>
      </c>
      <c r="J380" s="107" t="s">
        <v>189</v>
      </c>
      <c r="K380" s="103"/>
      <c r="M380" s="559">
        <f t="shared" si="15"/>
        <v>3301</v>
      </c>
    </row>
    <row r="381" spans="2:13" s="559" customFormat="1" ht="15">
      <c r="B381" s="863" t="s">
        <v>318</v>
      </c>
      <c r="C381" s="864" t="s">
        <v>973</v>
      </c>
      <c r="D381" s="424" t="s">
        <v>330</v>
      </c>
      <c r="E381" s="863" t="s">
        <v>974</v>
      </c>
      <c r="F381" s="864">
        <v>201701</v>
      </c>
      <c r="G381" s="855">
        <v>7.55</v>
      </c>
      <c r="H381" s="112">
        <f t="shared" si="14"/>
        <v>2017</v>
      </c>
      <c r="I381" s="312">
        <v>20</v>
      </c>
      <c r="J381" s="107" t="s">
        <v>189</v>
      </c>
      <c r="K381" s="103"/>
      <c r="M381" s="559">
        <f t="shared" si="15"/>
        <v>3301</v>
      </c>
    </row>
    <row r="382" spans="2:13" s="559" customFormat="1" ht="15">
      <c r="B382" s="863" t="s">
        <v>318</v>
      </c>
      <c r="C382" s="864" t="s">
        <v>973</v>
      </c>
      <c r="D382" s="424" t="s">
        <v>330</v>
      </c>
      <c r="E382" s="863" t="s">
        <v>974</v>
      </c>
      <c r="F382" s="864">
        <v>201701</v>
      </c>
      <c r="G382" s="855">
        <v>193.78</v>
      </c>
      <c r="H382" s="112">
        <f t="shared" si="14"/>
        <v>2017</v>
      </c>
      <c r="I382" s="312">
        <v>20</v>
      </c>
      <c r="J382" s="107" t="s">
        <v>189</v>
      </c>
      <c r="K382" s="103"/>
      <c r="M382" s="559">
        <f t="shared" si="15"/>
        <v>3301</v>
      </c>
    </row>
    <row r="383" spans="2:13" s="559" customFormat="1" ht="15">
      <c r="B383" s="863" t="s">
        <v>318</v>
      </c>
      <c r="C383" s="864" t="s">
        <v>868</v>
      </c>
      <c r="D383" s="424" t="s">
        <v>330</v>
      </c>
      <c r="E383" s="863" t="s">
        <v>869</v>
      </c>
      <c r="F383" s="864">
        <v>201701</v>
      </c>
      <c r="G383" s="855">
        <v>-0.16</v>
      </c>
      <c r="H383" s="112">
        <f t="shared" si="14"/>
        <v>2017</v>
      </c>
      <c r="I383" s="312">
        <v>20</v>
      </c>
      <c r="J383" s="107" t="s">
        <v>189</v>
      </c>
      <c r="K383" s="103"/>
      <c r="M383" s="559">
        <f t="shared" si="15"/>
        <v>3301</v>
      </c>
    </row>
    <row r="384" spans="2:13" s="559" customFormat="1" ht="15">
      <c r="B384" s="863" t="s">
        <v>318</v>
      </c>
      <c r="C384" s="864" t="s">
        <v>868</v>
      </c>
      <c r="D384" s="424" t="s">
        <v>330</v>
      </c>
      <c r="E384" s="863" t="s">
        <v>869</v>
      </c>
      <c r="F384" s="864">
        <v>201701</v>
      </c>
      <c r="G384" s="855">
        <v>-0.04</v>
      </c>
      <c r="H384" s="112">
        <f t="shared" si="14"/>
        <v>2017</v>
      </c>
      <c r="I384" s="312">
        <v>20</v>
      </c>
      <c r="J384" s="107" t="s">
        <v>189</v>
      </c>
      <c r="K384" s="103"/>
      <c r="M384" s="559">
        <f t="shared" si="15"/>
        <v>3301</v>
      </c>
    </row>
    <row r="385" spans="2:13" s="559" customFormat="1" ht="15">
      <c r="B385" s="863" t="s">
        <v>318</v>
      </c>
      <c r="C385" s="864" t="s">
        <v>1108</v>
      </c>
      <c r="D385" s="424" t="s">
        <v>330</v>
      </c>
      <c r="E385" s="863" t="s">
        <v>1109</v>
      </c>
      <c r="F385" s="864">
        <v>201701</v>
      </c>
      <c r="G385" s="855">
        <v>226.28</v>
      </c>
      <c r="H385" s="112">
        <f t="shared" si="14"/>
        <v>2017</v>
      </c>
      <c r="I385" s="312">
        <v>20</v>
      </c>
      <c r="J385" s="107" t="s">
        <v>189</v>
      </c>
      <c r="K385" s="103"/>
      <c r="M385" s="559">
        <f t="shared" si="15"/>
        <v>3301</v>
      </c>
    </row>
    <row r="386" spans="2:13" s="559" customFormat="1" ht="15">
      <c r="B386" s="863" t="s">
        <v>318</v>
      </c>
      <c r="C386" s="864" t="s">
        <v>1108</v>
      </c>
      <c r="D386" s="424" t="s">
        <v>330</v>
      </c>
      <c r="E386" s="863" t="s">
        <v>1109</v>
      </c>
      <c r="F386" s="864">
        <v>201701</v>
      </c>
      <c r="G386" s="855">
        <v>7684.01</v>
      </c>
      <c r="H386" s="112">
        <f t="shared" si="14"/>
        <v>2017</v>
      </c>
      <c r="I386" s="312">
        <v>20</v>
      </c>
      <c r="J386" s="107" t="s">
        <v>189</v>
      </c>
      <c r="K386" s="103"/>
      <c r="M386" s="559">
        <f t="shared" si="15"/>
        <v>3301</v>
      </c>
    </row>
    <row r="387" spans="2:13" s="559" customFormat="1" ht="15">
      <c r="B387" s="863" t="s">
        <v>318</v>
      </c>
      <c r="C387" s="864" t="s">
        <v>1134</v>
      </c>
      <c r="D387" s="424" t="s">
        <v>329</v>
      </c>
      <c r="E387" s="863" t="s">
        <v>1135</v>
      </c>
      <c r="F387" s="864">
        <v>201701</v>
      </c>
      <c r="G387" s="855">
        <v>44120.42</v>
      </c>
      <c r="H387" s="112">
        <f t="shared" si="14"/>
        <v>2017</v>
      </c>
      <c r="I387" s="312">
        <v>20</v>
      </c>
      <c r="J387" s="107" t="s">
        <v>189</v>
      </c>
      <c r="K387" s="103"/>
      <c r="M387" s="559">
        <f t="shared" si="15"/>
        <v>3301</v>
      </c>
    </row>
    <row r="388" spans="2:13" s="559" customFormat="1" ht="15">
      <c r="B388" s="863" t="s">
        <v>318</v>
      </c>
      <c r="C388" s="864" t="s">
        <v>1134</v>
      </c>
      <c r="D388" s="424" t="s">
        <v>329</v>
      </c>
      <c r="E388" s="863" t="s">
        <v>1135</v>
      </c>
      <c r="F388" s="864">
        <v>201701</v>
      </c>
      <c r="G388" s="855">
        <v>529293.52</v>
      </c>
      <c r="H388" s="112">
        <f t="shared" si="14"/>
        <v>2017</v>
      </c>
      <c r="I388" s="312">
        <v>20</v>
      </c>
      <c r="J388" s="107" t="s">
        <v>189</v>
      </c>
      <c r="K388" s="103"/>
      <c r="M388" s="559">
        <f t="shared" si="15"/>
        <v>3301</v>
      </c>
    </row>
    <row r="389" spans="2:13" s="559" customFormat="1" ht="15">
      <c r="B389" s="863" t="s">
        <v>318</v>
      </c>
      <c r="C389" s="864" t="s">
        <v>1136</v>
      </c>
      <c r="D389" s="424" t="s">
        <v>329</v>
      </c>
      <c r="E389" s="863" t="s">
        <v>1137</v>
      </c>
      <c r="F389" s="864">
        <v>201701</v>
      </c>
      <c r="G389" s="855">
        <v>23305.72</v>
      </c>
      <c r="H389" s="112">
        <f t="shared" si="14"/>
        <v>2017</v>
      </c>
      <c r="I389" s="312">
        <v>20</v>
      </c>
      <c r="J389" s="107" t="s">
        <v>189</v>
      </c>
      <c r="K389" s="103"/>
      <c r="M389" s="559">
        <f t="shared" si="15"/>
        <v>3301</v>
      </c>
    </row>
    <row r="390" spans="2:13" s="559" customFormat="1" ht="15">
      <c r="B390" s="863" t="s">
        <v>318</v>
      </c>
      <c r="C390" s="864" t="s">
        <v>1136</v>
      </c>
      <c r="D390" s="424" t="s">
        <v>329</v>
      </c>
      <c r="E390" s="863" t="s">
        <v>1137</v>
      </c>
      <c r="F390" s="864">
        <v>201701</v>
      </c>
      <c r="G390" s="855">
        <v>635896.37</v>
      </c>
      <c r="H390" s="112">
        <f t="shared" si="14"/>
        <v>2017</v>
      </c>
      <c r="I390" s="312">
        <v>20</v>
      </c>
      <c r="J390" s="107" t="s">
        <v>189</v>
      </c>
      <c r="K390" s="103"/>
      <c r="M390" s="559">
        <f t="shared" si="15"/>
        <v>3301</v>
      </c>
    </row>
    <row r="391" spans="2:13" s="559" customFormat="1" ht="15">
      <c r="B391" s="863" t="s">
        <v>318</v>
      </c>
      <c r="C391" s="864" t="s">
        <v>1037</v>
      </c>
      <c r="D391" s="424" t="s">
        <v>329</v>
      </c>
      <c r="E391" s="863" t="s">
        <v>1038</v>
      </c>
      <c r="F391" s="864">
        <v>201701</v>
      </c>
      <c r="G391" s="855">
        <v>4.17</v>
      </c>
      <c r="H391" s="112">
        <f t="shared" si="14"/>
        <v>2017</v>
      </c>
      <c r="I391" s="312">
        <v>20</v>
      </c>
      <c r="J391" s="107" t="s">
        <v>189</v>
      </c>
      <c r="K391" s="103"/>
      <c r="M391" s="559">
        <f t="shared" si="15"/>
        <v>3301</v>
      </c>
    </row>
    <row r="392" spans="2:13" s="559" customFormat="1" ht="15">
      <c r="B392" s="863" t="s">
        <v>318</v>
      </c>
      <c r="C392" s="864" t="s">
        <v>1037</v>
      </c>
      <c r="D392" s="424" t="s">
        <v>329</v>
      </c>
      <c r="E392" s="863" t="s">
        <v>1038</v>
      </c>
      <c r="F392" s="864">
        <v>201701</v>
      </c>
      <c r="G392" s="855">
        <v>55.3</v>
      </c>
      <c r="H392" s="112">
        <f t="shared" si="14"/>
        <v>2017</v>
      </c>
      <c r="I392" s="312">
        <v>20</v>
      </c>
      <c r="J392" s="107" t="s">
        <v>189</v>
      </c>
      <c r="K392" s="103"/>
      <c r="M392" s="559">
        <f t="shared" si="15"/>
        <v>3301</v>
      </c>
    </row>
    <row r="393" spans="2:13" s="559" customFormat="1" ht="15">
      <c r="B393" s="863" t="s">
        <v>318</v>
      </c>
      <c r="C393" s="864" t="s">
        <v>850</v>
      </c>
      <c r="D393" s="424" t="s">
        <v>329</v>
      </c>
      <c r="E393" s="863" t="s">
        <v>851</v>
      </c>
      <c r="F393" s="864">
        <v>201701</v>
      </c>
      <c r="G393" s="855">
        <v>42.65</v>
      </c>
      <c r="H393" s="112">
        <f t="shared" si="14"/>
        <v>2017</v>
      </c>
      <c r="I393" s="312">
        <v>20</v>
      </c>
      <c r="J393" s="107" t="s">
        <v>189</v>
      </c>
      <c r="K393" s="103"/>
      <c r="M393" s="559">
        <f t="shared" si="15"/>
        <v>3301</v>
      </c>
    </row>
    <row r="394" spans="2:13" s="559" customFormat="1" ht="15">
      <c r="B394" s="863" t="s">
        <v>318</v>
      </c>
      <c r="C394" s="864" t="s">
        <v>850</v>
      </c>
      <c r="D394" s="424" t="s">
        <v>329</v>
      </c>
      <c r="E394" s="863" t="s">
        <v>851</v>
      </c>
      <c r="F394" s="864">
        <v>201701</v>
      </c>
      <c r="G394" s="855">
        <v>518.36</v>
      </c>
      <c r="H394" s="112">
        <f t="shared" si="14"/>
        <v>2017</v>
      </c>
      <c r="I394" s="312">
        <v>20</v>
      </c>
      <c r="J394" s="107" t="s">
        <v>189</v>
      </c>
      <c r="K394" s="103"/>
      <c r="M394" s="559">
        <f t="shared" si="15"/>
        <v>3301</v>
      </c>
    </row>
    <row r="395" spans="2:13" s="559" customFormat="1" ht="15">
      <c r="B395" s="863" t="s">
        <v>318</v>
      </c>
      <c r="C395" s="864" t="s">
        <v>1069</v>
      </c>
      <c r="D395" s="424" t="s">
        <v>330</v>
      </c>
      <c r="E395" s="863" t="s">
        <v>1105</v>
      </c>
      <c r="F395" s="864">
        <v>201701</v>
      </c>
      <c r="G395" s="855">
        <v>421.95</v>
      </c>
      <c r="H395" s="112">
        <f t="shared" si="14"/>
        <v>2017</v>
      </c>
      <c r="I395" s="312">
        <v>20</v>
      </c>
      <c r="J395" s="107" t="s">
        <v>189</v>
      </c>
      <c r="K395" s="103"/>
      <c r="M395" s="559">
        <f t="shared" si="15"/>
        <v>3301</v>
      </c>
    </row>
    <row r="396" spans="2:13" s="559" customFormat="1" ht="15">
      <c r="B396" s="863" t="s">
        <v>318</v>
      </c>
      <c r="C396" s="864" t="s">
        <v>1069</v>
      </c>
      <c r="D396" s="424" t="s">
        <v>330</v>
      </c>
      <c r="E396" s="863" t="s">
        <v>1105</v>
      </c>
      <c r="F396" s="864">
        <v>201701</v>
      </c>
      <c r="G396" s="855">
        <v>9321.64</v>
      </c>
      <c r="H396" s="112">
        <f t="shared" si="14"/>
        <v>2017</v>
      </c>
      <c r="I396" s="312">
        <v>20</v>
      </c>
      <c r="J396" s="107" t="s">
        <v>189</v>
      </c>
      <c r="K396" s="103"/>
      <c r="M396" s="559">
        <f t="shared" si="15"/>
        <v>3301</v>
      </c>
    </row>
    <row r="397" spans="2:13" s="559" customFormat="1" ht="15">
      <c r="B397" s="863" t="s">
        <v>318</v>
      </c>
      <c r="C397" s="864" t="s">
        <v>975</v>
      </c>
      <c r="D397" s="424" t="s">
        <v>330</v>
      </c>
      <c r="E397" s="863" t="s">
        <v>976</v>
      </c>
      <c r="F397" s="864">
        <v>201701</v>
      </c>
      <c r="G397" s="855">
        <v>0.75</v>
      </c>
      <c r="H397" s="112">
        <f t="shared" si="14"/>
        <v>2017</v>
      </c>
      <c r="I397" s="312">
        <v>20</v>
      </c>
      <c r="J397" s="107" t="s">
        <v>189</v>
      </c>
      <c r="K397" s="103"/>
      <c r="M397" s="559">
        <f t="shared" si="15"/>
        <v>3301</v>
      </c>
    </row>
    <row r="398" spans="2:13" s="559" customFormat="1" ht="15">
      <c r="B398" s="863" t="s">
        <v>318</v>
      </c>
      <c r="C398" s="864" t="s">
        <v>975</v>
      </c>
      <c r="D398" s="424" t="s">
        <v>330</v>
      </c>
      <c r="E398" s="863" t="s">
        <v>976</v>
      </c>
      <c r="F398" s="864">
        <v>201701</v>
      </c>
      <c r="G398" s="855">
        <v>50.89</v>
      </c>
      <c r="H398" s="112">
        <f t="shared" si="14"/>
        <v>2017</v>
      </c>
      <c r="I398" s="312">
        <v>20</v>
      </c>
      <c r="J398" s="107" t="s">
        <v>189</v>
      </c>
      <c r="K398" s="103"/>
      <c r="M398" s="559">
        <f t="shared" si="15"/>
        <v>3301</v>
      </c>
    </row>
    <row r="399" spans="2:13" s="559" customFormat="1" ht="15">
      <c r="B399" s="863" t="s">
        <v>318</v>
      </c>
      <c r="C399" s="864" t="s">
        <v>870</v>
      </c>
      <c r="D399" s="424" t="s">
        <v>330</v>
      </c>
      <c r="E399" s="863" t="s">
        <v>871</v>
      </c>
      <c r="F399" s="864">
        <v>201701</v>
      </c>
      <c r="G399" s="855">
        <v>-465.3</v>
      </c>
      <c r="H399" s="112">
        <f t="shared" si="14"/>
        <v>2017</v>
      </c>
      <c r="I399" s="312">
        <v>20</v>
      </c>
      <c r="J399" s="107" t="s">
        <v>189</v>
      </c>
      <c r="K399" s="103"/>
      <c r="M399" s="559">
        <f t="shared" si="15"/>
        <v>3301</v>
      </c>
    </row>
    <row r="400" spans="2:13" s="559" customFormat="1" ht="15">
      <c r="B400" s="863" t="s">
        <v>318</v>
      </c>
      <c r="C400" s="864" t="s">
        <v>870</v>
      </c>
      <c r="D400" s="424" t="s">
        <v>330</v>
      </c>
      <c r="E400" s="863" t="s">
        <v>871</v>
      </c>
      <c r="F400" s="864">
        <v>201701</v>
      </c>
      <c r="G400" s="855">
        <v>-441.59</v>
      </c>
      <c r="H400" s="112">
        <f t="shared" si="14"/>
        <v>2017</v>
      </c>
      <c r="I400" s="312">
        <v>20</v>
      </c>
      <c r="J400" s="107" t="s">
        <v>189</v>
      </c>
      <c r="K400" s="103"/>
      <c r="M400" s="559">
        <f t="shared" si="15"/>
        <v>3301</v>
      </c>
    </row>
    <row r="401" spans="2:13" s="559" customFormat="1" ht="15">
      <c r="B401" s="863" t="s">
        <v>318</v>
      </c>
      <c r="C401" s="864" t="s">
        <v>1039</v>
      </c>
      <c r="D401" s="424" t="s">
        <v>330</v>
      </c>
      <c r="E401" s="863" t="s">
        <v>1040</v>
      </c>
      <c r="F401" s="864">
        <v>201701</v>
      </c>
      <c r="G401" s="855">
        <v>186.78</v>
      </c>
      <c r="H401" s="112">
        <f t="shared" si="14"/>
        <v>2017</v>
      </c>
      <c r="I401" s="312">
        <v>20</v>
      </c>
      <c r="J401" s="107" t="s">
        <v>189</v>
      </c>
      <c r="K401" s="103"/>
      <c r="M401" s="559">
        <f t="shared" si="15"/>
        <v>3301</v>
      </c>
    </row>
    <row r="402" spans="2:13" s="559" customFormat="1" ht="15">
      <c r="B402" s="863" t="s">
        <v>318</v>
      </c>
      <c r="C402" s="864" t="s">
        <v>1039</v>
      </c>
      <c r="D402" s="424" t="s">
        <v>330</v>
      </c>
      <c r="E402" s="863" t="s">
        <v>1040</v>
      </c>
      <c r="F402" s="864">
        <v>201701</v>
      </c>
      <c r="G402" s="855">
        <v>3790.83</v>
      </c>
      <c r="H402" s="112">
        <f t="shared" si="14"/>
        <v>2017</v>
      </c>
      <c r="I402" s="312">
        <v>20</v>
      </c>
      <c r="J402" s="107" t="s">
        <v>189</v>
      </c>
      <c r="K402" s="103"/>
      <c r="M402" s="559">
        <f t="shared" si="15"/>
        <v>3301</v>
      </c>
    </row>
    <row r="403" spans="2:13" s="559" customFormat="1" ht="15">
      <c r="B403" s="863" t="s">
        <v>318</v>
      </c>
      <c r="C403" s="864" t="s">
        <v>872</v>
      </c>
      <c r="D403" s="424" t="s">
        <v>330</v>
      </c>
      <c r="E403" s="863" t="s">
        <v>873</v>
      </c>
      <c r="F403" s="864">
        <v>201701</v>
      </c>
      <c r="G403" s="855">
        <v>0.59</v>
      </c>
      <c r="H403" s="112">
        <f t="shared" si="14"/>
        <v>2017</v>
      </c>
      <c r="I403" s="312">
        <v>20</v>
      </c>
      <c r="J403" s="107" t="s">
        <v>189</v>
      </c>
      <c r="K403" s="103"/>
      <c r="M403" s="559">
        <f t="shared" si="15"/>
        <v>3301</v>
      </c>
    </row>
    <row r="404" spans="2:13" s="559" customFormat="1" ht="15">
      <c r="B404" s="863" t="s">
        <v>318</v>
      </c>
      <c r="C404" s="864" t="s">
        <v>872</v>
      </c>
      <c r="D404" s="424" t="s">
        <v>330</v>
      </c>
      <c r="E404" s="863" t="s">
        <v>873</v>
      </c>
      <c r="F404" s="864">
        <v>201701</v>
      </c>
      <c r="G404" s="855">
        <v>9.23</v>
      </c>
      <c r="H404" s="112">
        <f t="shared" si="14"/>
        <v>2017</v>
      </c>
      <c r="I404" s="312">
        <v>20</v>
      </c>
      <c r="J404" s="107" t="s">
        <v>189</v>
      </c>
      <c r="K404" s="103"/>
      <c r="M404" s="559">
        <f t="shared" si="15"/>
        <v>3301</v>
      </c>
    </row>
    <row r="405" spans="2:13" s="559" customFormat="1" ht="15">
      <c r="B405" s="863" t="s">
        <v>318</v>
      </c>
      <c r="C405" s="864" t="s">
        <v>977</v>
      </c>
      <c r="D405" s="424" t="s">
        <v>330</v>
      </c>
      <c r="E405" s="863" t="s">
        <v>978</v>
      </c>
      <c r="F405" s="864">
        <v>201701</v>
      </c>
      <c r="G405" s="855">
        <v>44.79</v>
      </c>
      <c r="H405" s="112">
        <f t="shared" si="14"/>
        <v>2017</v>
      </c>
      <c r="I405" s="312">
        <v>20</v>
      </c>
      <c r="J405" s="107" t="s">
        <v>189</v>
      </c>
      <c r="K405" s="103"/>
      <c r="M405" s="559">
        <f t="shared" si="15"/>
        <v>3301</v>
      </c>
    </row>
    <row r="406" spans="2:13" s="559" customFormat="1" ht="15">
      <c r="B406" s="863" t="s">
        <v>318</v>
      </c>
      <c r="C406" s="864" t="s">
        <v>977</v>
      </c>
      <c r="D406" s="424" t="s">
        <v>330</v>
      </c>
      <c r="E406" s="863" t="s">
        <v>978</v>
      </c>
      <c r="F406" s="864">
        <v>201701</v>
      </c>
      <c r="G406" s="855">
        <v>705.9</v>
      </c>
      <c r="H406" s="112">
        <f t="shared" si="14"/>
        <v>2017</v>
      </c>
      <c r="I406" s="312">
        <v>20</v>
      </c>
      <c r="J406" s="107" t="s">
        <v>189</v>
      </c>
      <c r="K406" s="103"/>
      <c r="M406" s="559">
        <f t="shared" si="15"/>
        <v>3301</v>
      </c>
    </row>
    <row r="407" spans="2:13" s="559" customFormat="1" ht="15">
      <c r="B407" s="863" t="s">
        <v>318</v>
      </c>
      <c r="C407" s="864" t="s">
        <v>1041</v>
      </c>
      <c r="D407" s="424" t="s">
        <v>330</v>
      </c>
      <c r="E407" s="863" t="s">
        <v>1042</v>
      </c>
      <c r="F407" s="864">
        <v>201701</v>
      </c>
      <c r="G407" s="855">
        <v>-12.15</v>
      </c>
      <c r="H407" s="112">
        <f t="shared" si="14"/>
        <v>2017</v>
      </c>
      <c r="I407" s="312">
        <v>20</v>
      </c>
      <c r="J407" s="107" t="s">
        <v>189</v>
      </c>
      <c r="K407" s="103"/>
      <c r="M407" s="559">
        <f t="shared" si="15"/>
        <v>3301</v>
      </c>
    </row>
    <row r="408" spans="2:13" s="559" customFormat="1" ht="15">
      <c r="B408" s="863" t="s">
        <v>318</v>
      </c>
      <c r="C408" s="864" t="s">
        <v>1041</v>
      </c>
      <c r="D408" s="424" t="s">
        <v>330</v>
      </c>
      <c r="E408" s="863" t="s">
        <v>1042</v>
      </c>
      <c r="F408" s="864">
        <v>201701</v>
      </c>
      <c r="G408" s="855">
        <v>-0.91</v>
      </c>
      <c r="H408" s="112">
        <f t="shared" si="14"/>
        <v>2017</v>
      </c>
      <c r="I408" s="312">
        <v>20</v>
      </c>
      <c r="J408" s="107" t="s">
        <v>189</v>
      </c>
      <c r="K408" s="103"/>
      <c r="M408" s="559">
        <f t="shared" si="15"/>
        <v>3301</v>
      </c>
    </row>
    <row r="409" spans="2:13" s="559" customFormat="1" ht="15">
      <c r="B409" s="863" t="s">
        <v>318</v>
      </c>
      <c r="C409" s="864" t="s">
        <v>979</v>
      </c>
      <c r="D409" s="424" t="s">
        <v>330</v>
      </c>
      <c r="E409" s="863" t="s">
        <v>980</v>
      </c>
      <c r="F409" s="864">
        <v>201701</v>
      </c>
      <c r="G409" s="855">
        <v>3</v>
      </c>
      <c r="H409" s="112">
        <f t="shared" si="14"/>
        <v>2017</v>
      </c>
      <c r="I409" s="312">
        <v>20</v>
      </c>
      <c r="J409" s="107" t="s">
        <v>189</v>
      </c>
      <c r="K409" s="103"/>
      <c r="M409" s="559">
        <f t="shared" si="15"/>
        <v>3301</v>
      </c>
    </row>
    <row r="410" spans="2:13" s="559" customFormat="1" ht="15">
      <c r="B410" s="863" t="s">
        <v>318</v>
      </c>
      <c r="C410" s="864" t="s">
        <v>979</v>
      </c>
      <c r="D410" s="424" t="s">
        <v>330</v>
      </c>
      <c r="E410" s="863" t="s">
        <v>980</v>
      </c>
      <c r="F410" s="864">
        <v>201701</v>
      </c>
      <c r="G410" s="855">
        <v>61.03</v>
      </c>
      <c r="H410" s="112">
        <f t="shared" si="14"/>
        <v>2017</v>
      </c>
      <c r="I410" s="312">
        <v>20</v>
      </c>
      <c r="J410" s="107" t="s">
        <v>189</v>
      </c>
      <c r="K410" s="103"/>
      <c r="M410" s="559">
        <f t="shared" si="15"/>
        <v>3301</v>
      </c>
    </row>
    <row r="411" spans="2:13" s="559" customFormat="1" ht="15">
      <c r="B411" s="863" t="s">
        <v>318</v>
      </c>
      <c r="C411" s="864" t="s">
        <v>981</v>
      </c>
      <c r="D411" s="424" t="s">
        <v>330</v>
      </c>
      <c r="E411" s="863" t="s">
        <v>1014</v>
      </c>
      <c r="F411" s="864">
        <v>201701</v>
      </c>
      <c r="G411" s="855">
        <v>19.63</v>
      </c>
      <c r="H411" s="112">
        <f t="shared" si="14"/>
        <v>2017</v>
      </c>
      <c r="I411" s="312">
        <v>20</v>
      </c>
      <c r="J411" s="107" t="s">
        <v>189</v>
      </c>
      <c r="K411" s="103"/>
      <c r="M411" s="559">
        <f t="shared" si="15"/>
        <v>3301</v>
      </c>
    </row>
    <row r="412" spans="2:13" s="559" customFormat="1" ht="15">
      <c r="B412" s="863" t="s">
        <v>318</v>
      </c>
      <c r="C412" s="864" t="s">
        <v>981</v>
      </c>
      <c r="D412" s="424" t="s">
        <v>330</v>
      </c>
      <c r="E412" s="863" t="s">
        <v>1014</v>
      </c>
      <c r="F412" s="864">
        <v>201701</v>
      </c>
      <c r="G412" s="855">
        <v>107.72</v>
      </c>
      <c r="H412" s="112">
        <f t="shared" si="14"/>
        <v>2017</v>
      </c>
      <c r="I412" s="312">
        <v>20</v>
      </c>
      <c r="J412" s="107" t="s">
        <v>189</v>
      </c>
      <c r="K412" s="103"/>
      <c r="M412" s="559">
        <f t="shared" si="15"/>
        <v>3301</v>
      </c>
    </row>
    <row r="413" spans="2:13" s="559" customFormat="1" ht="15">
      <c r="B413" s="863" t="s">
        <v>318</v>
      </c>
      <c r="C413" s="864" t="s">
        <v>981</v>
      </c>
      <c r="D413" s="424" t="s">
        <v>330</v>
      </c>
      <c r="E413" s="863" t="s">
        <v>1014</v>
      </c>
      <c r="F413" s="864">
        <v>201701</v>
      </c>
      <c r="G413" s="855">
        <v>2126.84</v>
      </c>
      <c r="H413" s="112">
        <f t="shared" si="14"/>
        <v>2017</v>
      </c>
      <c r="I413" s="312">
        <v>20</v>
      </c>
      <c r="J413" s="107" t="s">
        <v>189</v>
      </c>
      <c r="K413" s="103"/>
      <c r="M413" s="559">
        <f t="shared" si="15"/>
        <v>3301</v>
      </c>
    </row>
    <row r="414" spans="2:13" s="559" customFormat="1" ht="15">
      <c r="B414" s="863" t="s">
        <v>318</v>
      </c>
      <c r="C414" s="864" t="s">
        <v>983</v>
      </c>
      <c r="D414" s="424" t="s">
        <v>330</v>
      </c>
      <c r="E414" s="863" t="s">
        <v>984</v>
      </c>
      <c r="F414" s="864">
        <v>201701</v>
      </c>
      <c r="G414" s="855">
        <v>1.57</v>
      </c>
      <c r="H414" s="112">
        <f t="shared" si="14"/>
        <v>2017</v>
      </c>
      <c r="I414" s="312">
        <v>20</v>
      </c>
      <c r="J414" s="107" t="s">
        <v>189</v>
      </c>
      <c r="K414" s="103"/>
      <c r="M414" s="559">
        <f t="shared" si="15"/>
        <v>3301</v>
      </c>
    </row>
    <row r="415" spans="2:13" s="559" customFormat="1" ht="15">
      <c r="B415" s="863" t="s">
        <v>318</v>
      </c>
      <c r="C415" s="864" t="s">
        <v>983</v>
      </c>
      <c r="D415" s="424" t="s">
        <v>330</v>
      </c>
      <c r="E415" s="863" t="s">
        <v>984</v>
      </c>
      <c r="F415" s="864">
        <v>201701</v>
      </c>
      <c r="G415" s="855">
        <v>44.21</v>
      </c>
      <c r="H415" s="112">
        <f t="shared" si="14"/>
        <v>2017</v>
      </c>
      <c r="I415" s="312">
        <v>20</v>
      </c>
      <c r="J415" s="107" t="s">
        <v>189</v>
      </c>
      <c r="K415" s="103"/>
      <c r="M415" s="559">
        <f t="shared" si="15"/>
        <v>3301</v>
      </c>
    </row>
    <row r="416" spans="2:13" s="559" customFormat="1" ht="15">
      <c r="B416" s="863" t="s">
        <v>318</v>
      </c>
      <c r="C416" s="864" t="s">
        <v>1043</v>
      </c>
      <c r="D416" s="424" t="s">
        <v>330</v>
      </c>
      <c r="E416" s="863" t="s">
        <v>1044</v>
      </c>
      <c r="F416" s="864">
        <v>201701</v>
      </c>
      <c r="G416" s="855">
        <v>-8.61</v>
      </c>
      <c r="H416" s="112">
        <f t="shared" si="14"/>
        <v>2017</v>
      </c>
      <c r="I416" s="312">
        <v>20</v>
      </c>
      <c r="J416" s="107" t="s">
        <v>189</v>
      </c>
      <c r="K416" s="103"/>
      <c r="M416" s="559">
        <f t="shared" si="15"/>
        <v>3301</v>
      </c>
    </row>
    <row r="417" spans="2:13" s="559" customFormat="1" ht="15">
      <c r="B417" s="863" t="s">
        <v>318</v>
      </c>
      <c r="C417" s="864" t="s">
        <v>1043</v>
      </c>
      <c r="D417" s="424" t="s">
        <v>330</v>
      </c>
      <c r="E417" s="863" t="s">
        <v>1044</v>
      </c>
      <c r="F417" s="864">
        <v>201701</v>
      </c>
      <c r="G417" s="855">
        <v>-0.48</v>
      </c>
      <c r="H417" s="112">
        <f t="shared" si="14"/>
        <v>2017</v>
      </c>
      <c r="I417" s="312">
        <v>20</v>
      </c>
      <c r="J417" s="107" t="s">
        <v>189</v>
      </c>
      <c r="K417" s="103"/>
      <c r="M417" s="559">
        <f t="shared" si="15"/>
        <v>3301</v>
      </c>
    </row>
    <row r="418" spans="2:13" s="559" customFormat="1" ht="15">
      <c r="B418" s="863" t="s">
        <v>318</v>
      </c>
      <c r="C418" s="864" t="s">
        <v>876</v>
      </c>
      <c r="D418" s="424" t="s">
        <v>330</v>
      </c>
      <c r="E418" s="863" t="s">
        <v>877</v>
      </c>
      <c r="F418" s="864">
        <v>201701</v>
      </c>
      <c r="G418" s="855">
        <v>-1.48</v>
      </c>
      <c r="H418" s="112">
        <f t="shared" si="14"/>
        <v>2017</v>
      </c>
      <c r="I418" s="312">
        <v>20</v>
      </c>
      <c r="J418" s="107" t="s">
        <v>189</v>
      </c>
      <c r="K418" s="103"/>
      <c r="M418" s="559">
        <f t="shared" si="15"/>
        <v>3301</v>
      </c>
    </row>
    <row r="419" spans="2:13" s="559" customFormat="1" ht="15">
      <c r="B419" s="863" t="s">
        <v>318</v>
      </c>
      <c r="C419" s="864" t="s">
        <v>876</v>
      </c>
      <c r="D419" s="424" t="s">
        <v>330</v>
      </c>
      <c r="E419" s="863" t="s">
        <v>877</v>
      </c>
      <c r="F419" s="864">
        <v>201701</v>
      </c>
      <c r="G419" s="855">
        <v>-0.08</v>
      </c>
      <c r="H419" s="112">
        <f t="shared" si="14"/>
        <v>2017</v>
      </c>
      <c r="I419" s="312">
        <v>20</v>
      </c>
      <c r="J419" s="107" t="s">
        <v>189</v>
      </c>
      <c r="K419" s="103"/>
      <c r="M419" s="559">
        <f t="shared" si="15"/>
        <v>3301</v>
      </c>
    </row>
    <row r="420" spans="2:13" s="559" customFormat="1" ht="15">
      <c r="B420" s="863" t="s">
        <v>318</v>
      </c>
      <c r="C420" s="864" t="s">
        <v>1045</v>
      </c>
      <c r="D420" s="424" t="s">
        <v>330</v>
      </c>
      <c r="E420" s="863" t="s">
        <v>1046</v>
      </c>
      <c r="F420" s="864">
        <v>201701</v>
      </c>
      <c r="G420" s="855">
        <v>-3.45</v>
      </c>
      <c r="H420" s="112">
        <f t="shared" si="14"/>
        <v>2017</v>
      </c>
      <c r="I420" s="312">
        <v>20</v>
      </c>
      <c r="J420" s="107" t="s">
        <v>189</v>
      </c>
      <c r="K420" s="103"/>
      <c r="M420" s="559">
        <f t="shared" si="15"/>
        <v>3301</v>
      </c>
    </row>
    <row r="421" spans="2:13" s="559" customFormat="1" ht="15">
      <c r="B421" s="863" t="s">
        <v>318</v>
      </c>
      <c r="C421" s="864" t="s">
        <v>1045</v>
      </c>
      <c r="D421" s="424" t="s">
        <v>330</v>
      </c>
      <c r="E421" s="863" t="s">
        <v>1046</v>
      </c>
      <c r="F421" s="864">
        <v>201701</v>
      </c>
      <c r="G421" s="855">
        <v>-0.2</v>
      </c>
      <c r="H421" s="112">
        <f t="shared" si="14"/>
        <v>2017</v>
      </c>
      <c r="I421" s="312">
        <v>20</v>
      </c>
      <c r="J421" s="107" t="s">
        <v>189</v>
      </c>
      <c r="K421" s="103"/>
      <c r="M421" s="559">
        <f t="shared" si="15"/>
        <v>3301</v>
      </c>
    </row>
    <row r="422" spans="2:13" s="559" customFormat="1" ht="15">
      <c r="B422" s="863" t="s">
        <v>318</v>
      </c>
      <c r="C422" s="864" t="s">
        <v>878</v>
      </c>
      <c r="D422" s="424" t="s">
        <v>330</v>
      </c>
      <c r="E422" s="863" t="s">
        <v>879</v>
      </c>
      <c r="F422" s="864">
        <v>201701</v>
      </c>
      <c r="G422" s="855">
        <v>3448.93</v>
      </c>
      <c r="H422" s="112">
        <f t="shared" si="14"/>
        <v>2017</v>
      </c>
      <c r="I422" s="312">
        <v>20</v>
      </c>
      <c r="J422" s="107" t="s">
        <v>189</v>
      </c>
      <c r="K422" s="103"/>
      <c r="M422" s="559">
        <f t="shared" si="15"/>
        <v>3301</v>
      </c>
    </row>
    <row r="423" spans="2:13" s="559" customFormat="1" ht="15">
      <c r="B423" s="863" t="s">
        <v>318</v>
      </c>
      <c r="C423" s="864" t="s">
        <v>878</v>
      </c>
      <c r="D423" s="424" t="s">
        <v>330</v>
      </c>
      <c r="E423" s="863" t="s">
        <v>879</v>
      </c>
      <c r="F423" s="864">
        <v>201701</v>
      </c>
      <c r="G423" s="855">
        <v>24277.27</v>
      </c>
      <c r="H423" s="112">
        <f t="shared" si="14"/>
        <v>2017</v>
      </c>
      <c r="I423" s="312">
        <v>20</v>
      </c>
      <c r="J423" s="107" t="s">
        <v>189</v>
      </c>
      <c r="K423" s="103"/>
      <c r="M423" s="559">
        <f t="shared" si="15"/>
        <v>3301</v>
      </c>
    </row>
    <row r="424" spans="2:13" s="559" customFormat="1" ht="15">
      <c r="B424" s="863" t="s">
        <v>318</v>
      </c>
      <c r="C424" s="864" t="s">
        <v>987</v>
      </c>
      <c r="D424" s="424" t="s">
        <v>330</v>
      </c>
      <c r="E424" s="863" t="s">
        <v>988</v>
      </c>
      <c r="F424" s="864">
        <v>201701</v>
      </c>
      <c r="G424" s="855">
        <v>2398.86</v>
      </c>
      <c r="H424" s="112">
        <f t="shared" si="14"/>
        <v>2017</v>
      </c>
      <c r="I424" s="312">
        <v>20</v>
      </c>
      <c r="J424" s="107" t="s">
        <v>189</v>
      </c>
      <c r="K424" s="103"/>
      <c r="M424" s="559">
        <f t="shared" si="15"/>
        <v>3301</v>
      </c>
    </row>
    <row r="425" spans="2:13" s="559" customFormat="1" ht="15">
      <c r="B425" s="863" t="s">
        <v>318</v>
      </c>
      <c r="C425" s="864" t="s">
        <v>987</v>
      </c>
      <c r="D425" s="424" t="s">
        <v>330</v>
      </c>
      <c r="E425" s="863" t="s">
        <v>988</v>
      </c>
      <c r="F425" s="864">
        <v>201701</v>
      </c>
      <c r="G425" s="855">
        <v>2611.61</v>
      </c>
      <c r="H425" s="112">
        <f t="shared" si="14"/>
        <v>2017</v>
      </c>
      <c r="I425" s="312">
        <v>20</v>
      </c>
      <c r="J425" s="107" t="s">
        <v>189</v>
      </c>
      <c r="K425" s="103"/>
      <c r="M425" s="559">
        <f t="shared" si="15"/>
        <v>3301</v>
      </c>
    </row>
    <row r="426" spans="2:13" s="559" customFormat="1" ht="15">
      <c r="B426" s="863" t="s">
        <v>318</v>
      </c>
      <c r="C426" s="864" t="s">
        <v>989</v>
      </c>
      <c r="D426" s="424" t="s">
        <v>330</v>
      </c>
      <c r="E426" s="863" t="s">
        <v>990</v>
      </c>
      <c r="F426" s="864">
        <v>201701</v>
      </c>
      <c r="G426" s="855">
        <v>0.05</v>
      </c>
      <c r="H426" s="112">
        <f t="shared" si="14"/>
        <v>2017</v>
      </c>
      <c r="I426" s="312">
        <v>20</v>
      </c>
      <c r="J426" s="107" t="s">
        <v>189</v>
      </c>
      <c r="K426" s="103"/>
      <c r="M426" s="559">
        <f t="shared" si="15"/>
        <v>3301</v>
      </c>
    </row>
    <row r="427" spans="2:13" s="559" customFormat="1" ht="15">
      <c r="B427" s="863" t="s">
        <v>318</v>
      </c>
      <c r="C427" s="864" t="s">
        <v>989</v>
      </c>
      <c r="D427" s="424" t="s">
        <v>330</v>
      </c>
      <c r="E427" s="863" t="s">
        <v>990</v>
      </c>
      <c r="F427" s="864">
        <v>201701</v>
      </c>
      <c r="G427" s="855">
        <v>1.37</v>
      </c>
      <c r="H427" s="112">
        <f t="shared" si="14"/>
        <v>2017</v>
      </c>
      <c r="I427" s="312">
        <v>20</v>
      </c>
      <c r="J427" s="107" t="s">
        <v>189</v>
      </c>
      <c r="K427" s="103"/>
      <c r="M427" s="559">
        <f t="shared" si="15"/>
        <v>3301</v>
      </c>
    </row>
    <row r="428" spans="2:13" s="559" customFormat="1" ht="15">
      <c r="B428" s="863" t="s">
        <v>318</v>
      </c>
      <c r="C428" s="864" t="s">
        <v>880</v>
      </c>
      <c r="D428" s="424" t="s">
        <v>330</v>
      </c>
      <c r="E428" s="863" t="s">
        <v>881</v>
      </c>
      <c r="F428" s="864">
        <v>201701</v>
      </c>
      <c r="G428" s="855">
        <v>-10.9</v>
      </c>
      <c r="H428" s="112">
        <f t="shared" si="14"/>
        <v>2017</v>
      </c>
      <c r="I428" s="312">
        <v>20</v>
      </c>
      <c r="J428" s="107" t="s">
        <v>189</v>
      </c>
      <c r="K428" s="103"/>
      <c r="M428" s="559">
        <f t="shared" si="15"/>
        <v>3301</v>
      </c>
    </row>
    <row r="429" spans="2:13" s="559" customFormat="1" ht="15">
      <c r="B429" s="863" t="s">
        <v>318</v>
      </c>
      <c r="C429" s="864" t="s">
        <v>880</v>
      </c>
      <c r="D429" s="424" t="s">
        <v>330</v>
      </c>
      <c r="E429" s="863" t="s">
        <v>881</v>
      </c>
      <c r="F429" s="864">
        <v>201701</v>
      </c>
      <c r="G429" s="855">
        <v>-0.39</v>
      </c>
      <c r="H429" s="112">
        <f t="shared" si="14"/>
        <v>2017</v>
      </c>
      <c r="I429" s="312">
        <v>20</v>
      </c>
      <c r="J429" s="107" t="s">
        <v>189</v>
      </c>
      <c r="K429" s="103"/>
      <c r="M429" s="559">
        <f t="shared" si="15"/>
        <v>3301</v>
      </c>
    </row>
    <row r="430" spans="2:13" s="559" customFormat="1" ht="15">
      <c r="B430" s="863" t="s">
        <v>318</v>
      </c>
      <c r="C430" s="864" t="s">
        <v>993</v>
      </c>
      <c r="D430" s="424" t="s">
        <v>330</v>
      </c>
      <c r="E430" s="863" t="s">
        <v>994</v>
      </c>
      <c r="F430" s="864">
        <v>201701</v>
      </c>
      <c r="G430" s="855">
        <v>0.94</v>
      </c>
      <c r="H430" s="112">
        <f t="shared" si="14"/>
        <v>2017</v>
      </c>
      <c r="I430" s="312">
        <v>20</v>
      </c>
      <c r="J430" s="107" t="s">
        <v>189</v>
      </c>
      <c r="K430" s="103"/>
      <c r="M430" s="559">
        <f t="shared" si="15"/>
        <v>3301</v>
      </c>
    </row>
    <row r="431" spans="2:13" s="559" customFormat="1" ht="15">
      <c r="B431" s="863" t="s">
        <v>318</v>
      </c>
      <c r="C431" s="864" t="s">
        <v>993</v>
      </c>
      <c r="D431" s="424" t="s">
        <v>330</v>
      </c>
      <c r="E431" s="863" t="s">
        <v>994</v>
      </c>
      <c r="F431" s="864">
        <v>201701</v>
      </c>
      <c r="G431" s="855">
        <v>18.45</v>
      </c>
      <c r="H431" s="112">
        <f t="shared" si="14"/>
        <v>2017</v>
      </c>
      <c r="I431" s="312">
        <v>20</v>
      </c>
      <c r="J431" s="107" t="s">
        <v>189</v>
      </c>
      <c r="K431" s="103"/>
      <c r="M431" s="559">
        <f t="shared" si="15"/>
        <v>3301</v>
      </c>
    </row>
    <row r="432" spans="2:13" s="559" customFormat="1" ht="15">
      <c r="B432" s="863" t="s">
        <v>318</v>
      </c>
      <c r="C432" s="864" t="s">
        <v>996</v>
      </c>
      <c r="D432" s="424" t="s">
        <v>330</v>
      </c>
      <c r="E432" s="863" t="s">
        <v>997</v>
      </c>
      <c r="F432" s="864">
        <v>201701</v>
      </c>
      <c r="G432" s="855">
        <v>12.95</v>
      </c>
      <c r="H432" s="112">
        <f t="shared" si="14"/>
        <v>2017</v>
      </c>
      <c r="I432" s="312">
        <v>20</v>
      </c>
      <c r="J432" s="107" t="s">
        <v>189</v>
      </c>
      <c r="K432" s="103"/>
      <c r="M432" s="559">
        <f t="shared" si="15"/>
        <v>3301</v>
      </c>
    </row>
    <row r="433" spans="2:13" s="559" customFormat="1" ht="15">
      <c r="B433" s="863" t="s">
        <v>318</v>
      </c>
      <c r="C433" s="864" t="s">
        <v>996</v>
      </c>
      <c r="D433" s="424" t="s">
        <v>330</v>
      </c>
      <c r="E433" s="863" t="s">
        <v>997</v>
      </c>
      <c r="F433" s="864">
        <v>201701</v>
      </c>
      <c r="G433" s="855">
        <v>359.05</v>
      </c>
      <c r="H433" s="112">
        <f t="shared" si="14"/>
        <v>2017</v>
      </c>
      <c r="I433" s="312">
        <v>20</v>
      </c>
      <c r="J433" s="107" t="s">
        <v>189</v>
      </c>
      <c r="K433" s="103"/>
      <c r="M433" s="559">
        <f t="shared" si="15"/>
        <v>3301</v>
      </c>
    </row>
    <row r="434" spans="2:13" s="559" customFormat="1" ht="15">
      <c r="B434" s="863" t="s">
        <v>318</v>
      </c>
      <c r="C434" s="864" t="s">
        <v>1110</v>
      </c>
      <c r="D434" s="424" t="s">
        <v>330</v>
      </c>
      <c r="E434" s="863" t="s">
        <v>1111</v>
      </c>
      <c r="F434" s="864">
        <v>201701</v>
      </c>
      <c r="G434" s="855">
        <v>107.97</v>
      </c>
      <c r="H434" s="112">
        <f t="shared" si="14"/>
        <v>2017</v>
      </c>
      <c r="I434" s="312">
        <v>20</v>
      </c>
      <c r="J434" s="107" t="s">
        <v>189</v>
      </c>
      <c r="K434" s="103"/>
      <c r="M434" s="559">
        <f t="shared" si="15"/>
        <v>3301</v>
      </c>
    </row>
    <row r="435" spans="2:13" s="559" customFormat="1" ht="15">
      <c r="B435" s="863" t="s">
        <v>318</v>
      </c>
      <c r="C435" s="864" t="s">
        <v>1110</v>
      </c>
      <c r="D435" s="424" t="s">
        <v>330</v>
      </c>
      <c r="E435" s="863" t="s">
        <v>1111</v>
      </c>
      <c r="F435" s="864">
        <v>201701</v>
      </c>
      <c r="G435" s="855">
        <v>1731.58</v>
      </c>
      <c r="H435" s="112">
        <f t="shared" ref="H435:H461" si="16">IF(F435&gt;$H$5,0+2017,0+2016)</f>
        <v>2017</v>
      </c>
      <c r="I435" s="312">
        <v>20</v>
      </c>
      <c r="J435" s="107" t="s">
        <v>189</v>
      </c>
      <c r="K435" s="103"/>
      <c r="M435" s="559">
        <f t="shared" ref="M435:M461" si="17">IF(LEFT(D435,2)="34",3401,IF(LEFT(D435,2)="33",3301))</f>
        <v>3301</v>
      </c>
    </row>
    <row r="436" spans="2:13" s="559" customFormat="1" ht="15">
      <c r="B436" s="863" t="s">
        <v>318</v>
      </c>
      <c r="C436" s="864" t="s">
        <v>1047</v>
      </c>
      <c r="D436" s="424" t="s">
        <v>329</v>
      </c>
      <c r="E436" s="863" t="s">
        <v>1048</v>
      </c>
      <c r="F436" s="864">
        <v>201701</v>
      </c>
      <c r="G436" s="855">
        <v>238.4</v>
      </c>
      <c r="H436" s="112">
        <f t="shared" si="16"/>
        <v>2017</v>
      </c>
      <c r="I436" s="312">
        <v>20</v>
      </c>
      <c r="J436" s="107" t="s">
        <v>189</v>
      </c>
      <c r="K436" s="103"/>
      <c r="M436" s="559">
        <f t="shared" si="17"/>
        <v>3301</v>
      </c>
    </row>
    <row r="437" spans="2:13" s="559" customFormat="1" ht="15">
      <c r="B437" s="863" t="s">
        <v>318</v>
      </c>
      <c r="C437" s="864" t="s">
        <v>1047</v>
      </c>
      <c r="D437" s="424" t="s">
        <v>329</v>
      </c>
      <c r="E437" s="863" t="s">
        <v>1048</v>
      </c>
      <c r="F437" s="864">
        <v>201701</v>
      </c>
      <c r="G437" s="855">
        <v>754.66</v>
      </c>
      <c r="H437" s="112">
        <f t="shared" si="16"/>
        <v>2017</v>
      </c>
      <c r="I437" s="312">
        <v>20</v>
      </c>
      <c r="J437" s="107" t="s">
        <v>189</v>
      </c>
      <c r="K437" s="103"/>
      <c r="M437" s="559">
        <f t="shared" si="17"/>
        <v>3301</v>
      </c>
    </row>
    <row r="438" spans="2:13" s="559" customFormat="1" ht="15">
      <c r="B438" s="863" t="s">
        <v>318</v>
      </c>
      <c r="C438" s="864" t="s">
        <v>1112</v>
      </c>
      <c r="D438" s="424" t="s">
        <v>330</v>
      </c>
      <c r="E438" s="863" t="s">
        <v>1113</v>
      </c>
      <c r="F438" s="864">
        <v>201701</v>
      </c>
      <c r="G438" s="855">
        <v>26.46</v>
      </c>
      <c r="H438" s="112">
        <f t="shared" si="16"/>
        <v>2017</v>
      </c>
      <c r="I438" s="312">
        <v>20</v>
      </c>
      <c r="J438" s="107" t="s">
        <v>189</v>
      </c>
      <c r="K438" s="103"/>
      <c r="M438" s="559">
        <f t="shared" si="17"/>
        <v>3301</v>
      </c>
    </row>
    <row r="439" spans="2:13" s="559" customFormat="1" ht="15">
      <c r="B439" s="863" t="s">
        <v>318</v>
      </c>
      <c r="C439" s="864" t="s">
        <v>1112</v>
      </c>
      <c r="D439" s="424" t="s">
        <v>330</v>
      </c>
      <c r="E439" s="863" t="s">
        <v>1113</v>
      </c>
      <c r="F439" s="864">
        <v>201701</v>
      </c>
      <c r="G439" s="855">
        <v>364.26</v>
      </c>
      <c r="H439" s="112">
        <f t="shared" si="16"/>
        <v>2017</v>
      </c>
      <c r="I439" s="312">
        <v>20</v>
      </c>
      <c r="J439" s="107" t="s">
        <v>189</v>
      </c>
      <c r="K439" s="103"/>
      <c r="M439" s="559">
        <f t="shared" si="17"/>
        <v>3301</v>
      </c>
    </row>
    <row r="440" spans="2:13" s="559" customFormat="1" ht="15">
      <c r="B440" s="863" t="s">
        <v>318</v>
      </c>
      <c r="C440" s="864" t="s">
        <v>1114</v>
      </c>
      <c r="D440" s="424" t="s">
        <v>330</v>
      </c>
      <c r="E440" s="863" t="s">
        <v>1115</v>
      </c>
      <c r="F440" s="864">
        <v>201701</v>
      </c>
      <c r="G440" s="855">
        <v>8.08</v>
      </c>
      <c r="H440" s="112">
        <f t="shared" si="16"/>
        <v>2017</v>
      </c>
      <c r="I440" s="312">
        <v>20</v>
      </c>
      <c r="J440" s="107" t="s">
        <v>189</v>
      </c>
      <c r="K440" s="103"/>
      <c r="M440" s="559">
        <f t="shared" si="17"/>
        <v>3301</v>
      </c>
    </row>
    <row r="441" spans="2:13" s="559" customFormat="1" ht="15">
      <c r="B441" s="863" t="s">
        <v>318</v>
      </c>
      <c r="C441" s="864" t="s">
        <v>1114</v>
      </c>
      <c r="D441" s="424" t="s">
        <v>330</v>
      </c>
      <c r="E441" s="863" t="s">
        <v>1115</v>
      </c>
      <c r="F441" s="864">
        <v>201701</v>
      </c>
      <c r="G441" s="855">
        <v>119.69</v>
      </c>
      <c r="H441" s="112">
        <f t="shared" si="16"/>
        <v>2017</v>
      </c>
      <c r="I441" s="312">
        <v>20</v>
      </c>
      <c r="J441" s="107" t="s">
        <v>189</v>
      </c>
      <c r="K441" s="103"/>
      <c r="M441" s="559">
        <f t="shared" si="17"/>
        <v>3301</v>
      </c>
    </row>
    <row r="442" spans="2:13" s="559" customFormat="1" ht="15">
      <c r="B442" s="863" t="s">
        <v>318</v>
      </c>
      <c r="C442" s="864" t="s">
        <v>1116</v>
      </c>
      <c r="D442" s="424" t="s">
        <v>330</v>
      </c>
      <c r="E442" s="863" t="s">
        <v>1117</v>
      </c>
      <c r="F442" s="864">
        <v>201701</v>
      </c>
      <c r="G442" s="855">
        <v>569.61</v>
      </c>
      <c r="H442" s="112">
        <f t="shared" si="16"/>
        <v>2017</v>
      </c>
      <c r="I442" s="312">
        <v>20</v>
      </c>
      <c r="J442" s="107" t="s">
        <v>189</v>
      </c>
      <c r="K442" s="103"/>
      <c r="M442" s="559">
        <f t="shared" si="17"/>
        <v>3301</v>
      </c>
    </row>
    <row r="443" spans="2:13" s="559" customFormat="1" ht="15">
      <c r="B443" s="863" t="s">
        <v>318</v>
      </c>
      <c r="C443" s="864" t="s">
        <v>1116</v>
      </c>
      <c r="D443" s="424" t="s">
        <v>330</v>
      </c>
      <c r="E443" s="863" t="s">
        <v>1117</v>
      </c>
      <c r="F443" s="864">
        <v>201701</v>
      </c>
      <c r="G443" s="855">
        <v>7364.02</v>
      </c>
      <c r="H443" s="112">
        <f t="shared" si="16"/>
        <v>2017</v>
      </c>
      <c r="I443" s="312">
        <v>20</v>
      </c>
      <c r="J443" s="107" t="s">
        <v>189</v>
      </c>
      <c r="K443" s="103"/>
      <c r="M443" s="559">
        <f t="shared" si="17"/>
        <v>3301</v>
      </c>
    </row>
    <row r="444" spans="2:13" s="559" customFormat="1" ht="15">
      <c r="B444" s="863" t="s">
        <v>318</v>
      </c>
      <c r="C444" s="864" t="s">
        <v>1071</v>
      </c>
      <c r="D444" s="424" t="s">
        <v>330</v>
      </c>
      <c r="E444" s="863" t="s">
        <v>1072</v>
      </c>
      <c r="F444" s="864">
        <v>201701</v>
      </c>
      <c r="G444" s="855">
        <v>228.22</v>
      </c>
      <c r="H444" s="112">
        <f t="shared" si="16"/>
        <v>2017</v>
      </c>
      <c r="I444" s="312">
        <v>20</v>
      </c>
      <c r="J444" s="107" t="s">
        <v>189</v>
      </c>
      <c r="K444" s="103"/>
      <c r="M444" s="559">
        <f t="shared" si="17"/>
        <v>3301</v>
      </c>
    </row>
    <row r="445" spans="2:13" s="559" customFormat="1" ht="15">
      <c r="B445" s="863" t="s">
        <v>318</v>
      </c>
      <c r="C445" s="864" t="s">
        <v>1138</v>
      </c>
      <c r="D445" s="424" t="s">
        <v>414</v>
      </c>
      <c r="E445" s="863" t="s">
        <v>1139</v>
      </c>
      <c r="F445" s="864">
        <v>201701</v>
      </c>
      <c r="G445" s="855">
        <v>80277.259999999995</v>
      </c>
      <c r="H445" s="112">
        <f t="shared" si="16"/>
        <v>2017</v>
      </c>
      <c r="I445" s="312">
        <v>20</v>
      </c>
      <c r="J445" s="107" t="s">
        <v>189</v>
      </c>
      <c r="K445" s="103"/>
      <c r="M445" s="559">
        <f t="shared" si="17"/>
        <v>3301</v>
      </c>
    </row>
    <row r="446" spans="2:13" s="559" customFormat="1" ht="15">
      <c r="B446" s="863" t="s">
        <v>318</v>
      </c>
      <c r="C446" s="864" t="s">
        <v>889</v>
      </c>
      <c r="D446" s="424" t="s">
        <v>414</v>
      </c>
      <c r="E446" s="863" t="s">
        <v>890</v>
      </c>
      <c r="F446" s="864">
        <v>201701</v>
      </c>
      <c r="G446" s="855">
        <v>0.01</v>
      </c>
      <c r="H446" s="112">
        <f t="shared" si="16"/>
        <v>2017</v>
      </c>
      <c r="I446" s="312">
        <v>20</v>
      </c>
      <c r="J446" s="107" t="s">
        <v>189</v>
      </c>
      <c r="K446" s="103"/>
      <c r="M446" s="559">
        <f t="shared" si="17"/>
        <v>3301</v>
      </c>
    </row>
    <row r="447" spans="2:13" s="559" customFormat="1" ht="15">
      <c r="B447" s="863" t="s">
        <v>318</v>
      </c>
      <c r="C447" s="864" t="s">
        <v>889</v>
      </c>
      <c r="D447" s="424" t="s">
        <v>414</v>
      </c>
      <c r="E447" s="863" t="s">
        <v>890</v>
      </c>
      <c r="F447" s="864">
        <v>201701</v>
      </c>
      <c r="G447" s="855">
        <v>0.52</v>
      </c>
      <c r="H447" s="112">
        <f t="shared" si="16"/>
        <v>2017</v>
      </c>
      <c r="I447" s="312">
        <v>20</v>
      </c>
      <c r="J447" s="107" t="s">
        <v>189</v>
      </c>
      <c r="K447" s="103"/>
      <c r="M447" s="559">
        <f t="shared" si="17"/>
        <v>3301</v>
      </c>
    </row>
    <row r="448" spans="2:13" s="559" customFormat="1" ht="15">
      <c r="B448" s="863" t="s">
        <v>318</v>
      </c>
      <c r="C448" s="864" t="s">
        <v>1006</v>
      </c>
      <c r="D448" s="424" t="s">
        <v>414</v>
      </c>
      <c r="E448" s="863" t="s">
        <v>1007</v>
      </c>
      <c r="F448" s="864">
        <v>201701</v>
      </c>
      <c r="G448" s="855">
        <v>-1.39</v>
      </c>
      <c r="H448" s="112">
        <f t="shared" si="16"/>
        <v>2017</v>
      </c>
      <c r="I448" s="312">
        <v>20</v>
      </c>
      <c r="J448" s="107" t="s">
        <v>189</v>
      </c>
      <c r="K448" s="103"/>
      <c r="M448" s="559">
        <f t="shared" si="17"/>
        <v>3301</v>
      </c>
    </row>
    <row r="449" spans="2:13" s="559" customFormat="1" ht="15">
      <c r="B449" s="863" t="s">
        <v>318</v>
      </c>
      <c r="C449" s="864" t="s">
        <v>1006</v>
      </c>
      <c r="D449" s="424" t="s">
        <v>414</v>
      </c>
      <c r="E449" s="863" t="s">
        <v>1007</v>
      </c>
      <c r="F449" s="864">
        <v>201701</v>
      </c>
      <c r="G449" s="855">
        <v>-0.01</v>
      </c>
      <c r="H449" s="112">
        <f t="shared" si="16"/>
        <v>2017</v>
      </c>
      <c r="I449" s="312">
        <v>20</v>
      </c>
      <c r="J449" s="107" t="s">
        <v>189</v>
      </c>
      <c r="K449" s="103"/>
      <c r="M449" s="559">
        <f t="shared" si="17"/>
        <v>3301</v>
      </c>
    </row>
    <row r="450" spans="2:13" s="559" customFormat="1" ht="15">
      <c r="B450" s="863" t="s">
        <v>318</v>
      </c>
      <c r="C450" s="864" t="s">
        <v>1049</v>
      </c>
      <c r="D450" s="424" t="s">
        <v>330</v>
      </c>
      <c r="E450" s="863" t="s">
        <v>1050</v>
      </c>
      <c r="F450" s="864">
        <v>201701</v>
      </c>
      <c r="G450" s="855">
        <v>21.32</v>
      </c>
      <c r="H450" s="112">
        <f t="shared" si="16"/>
        <v>2017</v>
      </c>
      <c r="I450" s="312">
        <v>20</v>
      </c>
      <c r="J450" s="107" t="s">
        <v>189</v>
      </c>
      <c r="K450" s="103"/>
      <c r="M450" s="559">
        <f t="shared" si="17"/>
        <v>3301</v>
      </c>
    </row>
    <row r="451" spans="2:13" s="559" customFormat="1" ht="15">
      <c r="B451" s="863" t="s">
        <v>318</v>
      </c>
      <c r="C451" s="864" t="s">
        <v>1049</v>
      </c>
      <c r="D451" s="424" t="s">
        <v>330</v>
      </c>
      <c r="E451" s="863" t="s">
        <v>1050</v>
      </c>
      <c r="F451" s="864">
        <v>201701</v>
      </c>
      <c r="G451" s="855">
        <v>565.02</v>
      </c>
      <c r="H451" s="112">
        <f t="shared" si="16"/>
        <v>2017</v>
      </c>
      <c r="I451" s="312">
        <v>20</v>
      </c>
      <c r="J451" s="107" t="s">
        <v>189</v>
      </c>
      <c r="K451" s="103"/>
      <c r="M451" s="559">
        <f t="shared" si="17"/>
        <v>3301</v>
      </c>
    </row>
    <row r="452" spans="2:13" s="559" customFormat="1" ht="15">
      <c r="B452" s="863" t="s">
        <v>318</v>
      </c>
      <c r="C452" s="864" t="s">
        <v>1077</v>
      </c>
      <c r="D452" s="424" t="s">
        <v>330</v>
      </c>
      <c r="E452" s="863" t="s">
        <v>1078</v>
      </c>
      <c r="F452" s="864">
        <v>201701</v>
      </c>
      <c r="G452" s="855">
        <v>184.89</v>
      </c>
      <c r="H452" s="112">
        <f t="shared" si="16"/>
        <v>2017</v>
      </c>
      <c r="I452" s="312">
        <v>20</v>
      </c>
      <c r="J452" s="107" t="s">
        <v>189</v>
      </c>
      <c r="K452" s="103"/>
      <c r="M452" s="559">
        <f t="shared" si="17"/>
        <v>3301</v>
      </c>
    </row>
    <row r="453" spans="2:13" s="559" customFormat="1" ht="15">
      <c r="B453" s="863" t="s">
        <v>318</v>
      </c>
      <c r="C453" s="864" t="s">
        <v>1077</v>
      </c>
      <c r="D453" s="424" t="s">
        <v>330</v>
      </c>
      <c r="E453" s="863" t="s">
        <v>1078</v>
      </c>
      <c r="F453" s="864">
        <v>201701</v>
      </c>
      <c r="G453" s="855">
        <v>2084.2800000000002</v>
      </c>
      <c r="H453" s="112">
        <f t="shared" si="16"/>
        <v>2017</v>
      </c>
      <c r="I453" s="312">
        <v>20</v>
      </c>
      <c r="J453" s="107" t="s">
        <v>189</v>
      </c>
      <c r="K453" s="103"/>
      <c r="M453" s="559">
        <f t="shared" si="17"/>
        <v>3301</v>
      </c>
    </row>
    <row r="454" spans="2:13" s="559" customFormat="1" ht="15">
      <c r="B454" s="863" t="s">
        <v>318</v>
      </c>
      <c r="C454" s="864" t="s">
        <v>1079</v>
      </c>
      <c r="D454" s="424" t="s">
        <v>330</v>
      </c>
      <c r="E454" s="863" t="s">
        <v>1080</v>
      </c>
      <c r="F454" s="864">
        <v>201701</v>
      </c>
      <c r="G454" s="855">
        <v>143.78</v>
      </c>
      <c r="H454" s="112">
        <f t="shared" si="16"/>
        <v>2017</v>
      </c>
      <c r="I454" s="312">
        <v>20</v>
      </c>
      <c r="J454" s="107" t="s">
        <v>189</v>
      </c>
      <c r="K454" s="103"/>
      <c r="M454" s="559">
        <f t="shared" si="17"/>
        <v>3301</v>
      </c>
    </row>
    <row r="455" spans="2:13" s="559" customFormat="1" ht="15">
      <c r="B455" s="863" t="s">
        <v>318</v>
      </c>
      <c r="C455" s="864" t="s">
        <v>1079</v>
      </c>
      <c r="D455" s="424" t="s">
        <v>330</v>
      </c>
      <c r="E455" s="863" t="s">
        <v>1080</v>
      </c>
      <c r="F455" s="864">
        <v>201701</v>
      </c>
      <c r="G455" s="855">
        <v>2145.02</v>
      </c>
      <c r="H455" s="112">
        <f t="shared" si="16"/>
        <v>2017</v>
      </c>
      <c r="I455" s="312">
        <v>20</v>
      </c>
      <c r="J455" s="107" t="s">
        <v>189</v>
      </c>
      <c r="K455" s="103"/>
      <c r="M455" s="559">
        <f t="shared" si="17"/>
        <v>3301</v>
      </c>
    </row>
    <row r="456" spans="2:13" s="559" customFormat="1" ht="15">
      <c r="B456" s="863" t="s">
        <v>318</v>
      </c>
      <c r="C456" s="864" t="s">
        <v>1118</v>
      </c>
      <c r="D456" s="424" t="s">
        <v>330</v>
      </c>
      <c r="E456" s="863" t="s">
        <v>1119</v>
      </c>
      <c r="F456" s="864">
        <v>201701</v>
      </c>
      <c r="G456" s="855">
        <v>207.5</v>
      </c>
      <c r="H456" s="112">
        <f t="shared" si="16"/>
        <v>2017</v>
      </c>
      <c r="I456" s="312">
        <v>20</v>
      </c>
      <c r="J456" s="107" t="s">
        <v>189</v>
      </c>
      <c r="K456" s="103"/>
      <c r="M456" s="559">
        <f t="shared" si="17"/>
        <v>3301</v>
      </c>
    </row>
    <row r="457" spans="2:13" s="559" customFormat="1" ht="15">
      <c r="B457" s="863" t="s">
        <v>318</v>
      </c>
      <c r="C457" s="864" t="s">
        <v>1118</v>
      </c>
      <c r="D457" s="424" t="s">
        <v>330</v>
      </c>
      <c r="E457" s="863" t="s">
        <v>1119</v>
      </c>
      <c r="F457" s="864">
        <v>201701</v>
      </c>
      <c r="G457" s="855">
        <v>5111.09</v>
      </c>
      <c r="H457" s="112">
        <f t="shared" si="16"/>
        <v>2017</v>
      </c>
      <c r="I457" s="312">
        <v>20</v>
      </c>
      <c r="J457" s="107" t="s">
        <v>189</v>
      </c>
      <c r="K457" s="103"/>
      <c r="M457" s="559">
        <f t="shared" si="17"/>
        <v>3301</v>
      </c>
    </row>
    <row r="458" spans="2:13" s="559" customFormat="1" ht="15">
      <c r="B458" s="863" t="s">
        <v>318</v>
      </c>
      <c r="C458" s="864" t="s">
        <v>1140</v>
      </c>
      <c r="D458" s="424" t="s">
        <v>330</v>
      </c>
      <c r="E458" s="863" t="s">
        <v>1141</v>
      </c>
      <c r="F458" s="864">
        <v>201701</v>
      </c>
      <c r="G458" s="855">
        <v>16808.349999999999</v>
      </c>
      <c r="H458" s="112">
        <f t="shared" si="16"/>
        <v>2017</v>
      </c>
      <c r="I458" s="312">
        <v>20</v>
      </c>
      <c r="J458" s="107" t="s">
        <v>189</v>
      </c>
      <c r="K458" s="103"/>
      <c r="M458" s="559">
        <f t="shared" si="17"/>
        <v>3301</v>
      </c>
    </row>
    <row r="459" spans="2:13" s="559" customFormat="1" ht="15">
      <c r="B459" s="863" t="s">
        <v>318</v>
      </c>
      <c r="C459" s="864" t="s">
        <v>1140</v>
      </c>
      <c r="D459" s="424" t="s">
        <v>330</v>
      </c>
      <c r="E459" s="863" t="s">
        <v>1141</v>
      </c>
      <c r="F459" s="864">
        <v>201701</v>
      </c>
      <c r="G459" s="855">
        <v>159506.89000000001</v>
      </c>
      <c r="H459" s="112">
        <f t="shared" si="16"/>
        <v>2017</v>
      </c>
      <c r="I459" s="312">
        <v>20</v>
      </c>
      <c r="J459" s="107" t="s">
        <v>189</v>
      </c>
      <c r="K459" s="103"/>
      <c r="M459" s="559">
        <f t="shared" si="17"/>
        <v>3301</v>
      </c>
    </row>
    <row r="460" spans="2:13" s="559" customFormat="1" ht="15">
      <c r="B460" s="863" t="s">
        <v>318</v>
      </c>
      <c r="C460" s="864" t="s">
        <v>1120</v>
      </c>
      <c r="D460" s="424" t="s">
        <v>330</v>
      </c>
      <c r="E460" s="863" t="s">
        <v>1121</v>
      </c>
      <c r="F460" s="864">
        <v>201701</v>
      </c>
      <c r="G460" s="855">
        <v>-10207.42</v>
      </c>
      <c r="H460" s="112">
        <f t="shared" si="16"/>
        <v>2017</v>
      </c>
      <c r="I460" s="312">
        <v>20</v>
      </c>
      <c r="J460" s="107" t="s">
        <v>189</v>
      </c>
      <c r="K460" s="103"/>
      <c r="M460" s="559">
        <f t="shared" si="17"/>
        <v>3301</v>
      </c>
    </row>
    <row r="461" spans="2:13" s="559" customFormat="1" ht="15">
      <c r="B461" s="863" t="s">
        <v>318</v>
      </c>
      <c r="C461" s="864" t="s">
        <v>1120</v>
      </c>
      <c r="D461" s="424" t="s">
        <v>330</v>
      </c>
      <c r="E461" s="863" t="s">
        <v>1121</v>
      </c>
      <c r="F461" s="864">
        <v>201701</v>
      </c>
      <c r="G461" s="855">
        <v>-2473.12</v>
      </c>
      <c r="H461" s="112">
        <f t="shared" si="16"/>
        <v>2017</v>
      </c>
      <c r="I461" s="312">
        <v>20</v>
      </c>
      <c r="J461" s="107" t="s">
        <v>189</v>
      </c>
      <c r="K461" s="103"/>
      <c r="M461" s="559">
        <f t="shared" si="17"/>
        <v>3301</v>
      </c>
    </row>
    <row r="462" spans="2:13" s="559" customFormat="1">
      <c r="B462" s="521"/>
      <c r="C462" s="522"/>
      <c r="D462" s="423"/>
      <c r="E462" s="521"/>
      <c r="F462" s="522"/>
      <c r="G462" s="482"/>
      <c r="H462" s="112">
        <f t="shared" ref="H462:H476" si="18">IF(F462&gt;$H$5,0+2017,0+2016)</f>
        <v>2016</v>
      </c>
      <c r="I462" s="312"/>
      <c r="J462" s="107"/>
      <c r="K462" s="103"/>
    </row>
    <row r="463" spans="2:13" s="559" customFormat="1" ht="12" customHeight="1">
      <c r="B463" s="426"/>
      <c r="C463" s="435"/>
      <c r="D463" s="579">
        <v>3301</v>
      </c>
      <c r="E463" s="426" t="s">
        <v>85</v>
      </c>
      <c r="F463" s="435">
        <v>201701</v>
      </c>
      <c r="G463" s="427">
        <f>+Additions!F461</f>
        <v>0</v>
      </c>
      <c r="H463" s="112">
        <f t="shared" si="18"/>
        <v>2017</v>
      </c>
      <c r="I463" s="312">
        <v>20</v>
      </c>
      <c r="J463" s="107" t="s">
        <v>189</v>
      </c>
      <c r="K463" s="103"/>
      <c r="M463" s="559">
        <f t="shared" ref="M463:M464" si="19">IF(LEFT(D463,2)="34",3401,IF(LEFT(D463,2)="33",3301))</f>
        <v>3301</v>
      </c>
    </row>
    <row r="464" spans="2:13" s="559" customFormat="1">
      <c r="B464" s="426"/>
      <c r="C464" s="435"/>
      <c r="D464" s="579">
        <v>3301</v>
      </c>
      <c r="E464" s="426" t="s">
        <v>85</v>
      </c>
      <c r="F464" s="435">
        <v>201702</v>
      </c>
      <c r="G464" s="427">
        <f>+Additions!F462</f>
        <v>2000000</v>
      </c>
      <c r="H464" s="112">
        <f t="shared" si="18"/>
        <v>2017</v>
      </c>
      <c r="I464" s="312">
        <v>20</v>
      </c>
      <c r="J464" s="107" t="s">
        <v>189</v>
      </c>
      <c r="K464" s="103"/>
      <c r="M464" s="559">
        <f t="shared" si="19"/>
        <v>3301</v>
      </c>
    </row>
    <row r="465" spans="1:18" s="559" customFormat="1">
      <c r="B465" s="521"/>
      <c r="C465" s="522"/>
      <c r="D465" s="423"/>
      <c r="E465" s="521"/>
      <c r="F465" s="522"/>
      <c r="G465" s="482"/>
      <c r="H465" s="112">
        <f t="shared" si="18"/>
        <v>2016</v>
      </c>
      <c r="I465" s="312"/>
      <c r="J465" s="107"/>
      <c r="K465" s="103"/>
    </row>
    <row r="466" spans="1:18">
      <c r="A466" s="559"/>
      <c r="B466" s="521" t="s">
        <v>322</v>
      </c>
      <c r="C466" s="522" t="s">
        <v>943</v>
      </c>
      <c r="D466" s="423" t="s">
        <v>331</v>
      </c>
      <c r="E466" s="521" t="s">
        <v>944</v>
      </c>
      <c r="F466" s="522">
        <v>201611</v>
      </c>
      <c r="G466" s="523">
        <v>14.29</v>
      </c>
      <c r="H466" s="112">
        <f t="shared" si="18"/>
        <v>2017</v>
      </c>
      <c r="I466" s="312">
        <v>20</v>
      </c>
      <c r="J466" s="107" t="s">
        <v>189</v>
      </c>
      <c r="K466" s="103"/>
      <c r="L466" s="559"/>
      <c r="M466" s="559">
        <f t="shared" ref="M466:M502" si="20">IF(LEFT(D466,2)="34",3401,IF(LEFT(D466,2)="33",3301))</f>
        <v>3401</v>
      </c>
      <c r="O466" s="101"/>
      <c r="P466" s="101"/>
      <c r="Q466" s="101"/>
      <c r="R466" s="101"/>
    </row>
    <row r="467" spans="1:18" ht="15">
      <c r="A467" s="559"/>
      <c r="B467" s="521" t="s">
        <v>322</v>
      </c>
      <c r="C467" s="522" t="s">
        <v>943</v>
      </c>
      <c r="D467" s="424" t="s">
        <v>331</v>
      </c>
      <c r="E467" s="521" t="s">
        <v>944</v>
      </c>
      <c r="F467" s="522">
        <v>201611</v>
      </c>
      <c r="G467" s="523">
        <v>48.86</v>
      </c>
      <c r="H467" s="112">
        <f t="shared" si="18"/>
        <v>2017</v>
      </c>
      <c r="I467" s="312">
        <v>20</v>
      </c>
      <c r="J467" s="107" t="s">
        <v>189</v>
      </c>
      <c r="K467" s="103"/>
      <c r="L467" s="559"/>
      <c r="M467" s="559">
        <f t="shared" si="20"/>
        <v>3401</v>
      </c>
      <c r="O467" s="101"/>
      <c r="P467" s="101"/>
      <c r="Q467" s="101"/>
      <c r="R467" s="101"/>
    </row>
    <row r="468" spans="1:18" ht="15">
      <c r="A468" s="559"/>
      <c r="B468" s="521" t="s">
        <v>318</v>
      </c>
      <c r="C468" s="522" t="s">
        <v>891</v>
      </c>
      <c r="D468" s="424" t="s">
        <v>331</v>
      </c>
      <c r="E468" s="521" t="s">
        <v>892</v>
      </c>
      <c r="F468" s="522">
        <v>201611</v>
      </c>
      <c r="G468" s="523">
        <v>-21836.07</v>
      </c>
      <c r="H468" s="112">
        <f t="shared" si="18"/>
        <v>2017</v>
      </c>
      <c r="I468" s="312">
        <v>20</v>
      </c>
      <c r="J468" s="107" t="s">
        <v>189</v>
      </c>
      <c r="K468" s="103"/>
      <c r="L468" s="559"/>
      <c r="M468" s="559">
        <f t="shared" si="20"/>
        <v>3401</v>
      </c>
      <c r="O468" s="101"/>
      <c r="P468" s="101"/>
      <c r="Q468" s="101"/>
      <c r="R468" s="101"/>
    </row>
    <row r="469" spans="1:18">
      <c r="A469" s="559"/>
      <c r="B469" s="521" t="s">
        <v>318</v>
      </c>
      <c r="C469" s="522" t="s">
        <v>891</v>
      </c>
      <c r="D469" s="423" t="s">
        <v>331</v>
      </c>
      <c r="E469" s="521" t="s">
        <v>892</v>
      </c>
      <c r="F469" s="522">
        <v>201611</v>
      </c>
      <c r="G469" s="523">
        <v>14181.41</v>
      </c>
      <c r="H469" s="112">
        <f t="shared" si="18"/>
        <v>2017</v>
      </c>
      <c r="I469" s="312">
        <v>20</v>
      </c>
      <c r="J469" s="107" t="s">
        <v>189</v>
      </c>
      <c r="K469" s="103"/>
      <c r="L469" s="559"/>
      <c r="M469" s="559">
        <f t="shared" si="20"/>
        <v>3401</v>
      </c>
      <c r="O469" s="101"/>
      <c r="P469" s="101"/>
      <c r="Q469" s="101"/>
      <c r="R469" s="101"/>
    </row>
    <row r="470" spans="1:18">
      <c r="A470" s="559"/>
      <c r="B470" s="521" t="s">
        <v>322</v>
      </c>
      <c r="C470" s="522" t="s">
        <v>1055</v>
      </c>
      <c r="D470" s="423" t="s">
        <v>331</v>
      </c>
      <c r="E470" s="521" t="s">
        <v>1056</v>
      </c>
      <c r="F470" s="522">
        <v>201611</v>
      </c>
      <c r="G470" s="523">
        <v>9.75</v>
      </c>
      <c r="H470" s="112">
        <f t="shared" si="18"/>
        <v>2017</v>
      </c>
      <c r="I470" s="312">
        <v>20</v>
      </c>
      <c r="J470" s="107" t="s">
        <v>189</v>
      </c>
      <c r="K470" s="103"/>
      <c r="L470" s="559"/>
      <c r="M470" s="559">
        <f t="shared" si="20"/>
        <v>3401</v>
      </c>
      <c r="O470" s="101"/>
      <c r="P470" s="101"/>
      <c r="Q470" s="101"/>
      <c r="R470" s="101"/>
    </row>
    <row r="471" spans="1:18">
      <c r="A471" s="559"/>
      <c r="B471" s="521" t="s">
        <v>322</v>
      </c>
      <c r="C471" s="522" t="s">
        <v>1055</v>
      </c>
      <c r="D471" s="423" t="s">
        <v>331</v>
      </c>
      <c r="E471" s="521" t="s">
        <v>1056</v>
      </c>
      <c r="F471" s="522">
        <v>201611</v>
      </c>
      <c r="G471" s="523">
        <v>194.01</v>
      </c>
      <c r="H471" s="112">
        <f t="shared" si="18"/>
        <v>2017</v>
      </c>
      <c r="I471" s="312">
        <v>20</v>
      </c>
      <c r="J471" s="107" t="s">
        <v>189</v>
      </c>
      <c r="K471" s="103"/>
      <c r="L471" s="559"/>
      <c r="M471" s="559">
        <f t="shared" si="20"/>
        <v>3401</v>
      </c>
      <c r="O471" s="101"/>
      <c r="P471" s="101"/>
      <c r="Q471" s="101"/>
      <c r="R471" s="101"/>
    </row>
    <row r="472" spans="1:18">
      <c r="A472" s="559"/>
      <c r="B472" s="521" t="s">
        <v>318</v>
      </c>
      <c r="C472" s="522" t="s">
        <v>1055</v>
      </c>
      <c r="D472" s="423" t="s">
        <v>331</v>
      </c>
      <c r="E472" s="521" t="s">
        <v>1056</v>
      </c>
      <c r="F472" s="522">
        <v>201611</v>
      </c>
      <c r="G472" s="523">
        <v>84.8</v>
      </c>
      <c r="H472" s="112">
        <f t="shared" si="18"/>
        <v>2017</v>
      </c>
      <c r="I472" s="312">
        <v>20</v>
      </c>
      <c r="J472" s="107" t="s">
        <v>189</v>
      </c>
      <c r="K472" s="103"/>
      <c r="L472" s="559"/>
      <c r="M472" s="559">
        <f t="shared" si="20"/>
        <v>3401</v>
      </c>
      <c r="O472" s="101"/>
      <c r="P472" s="101"/>
      <c r="Q472" s="101"/>
      <c r="R472" s="101"/>
    </row>
    <row r="473" spans="1:18">
      <c r="A473" s="559"/>
      <c r="B473" s="521" t="s">
        <v>318</v>
      </c>
      <c r="C473" s="522" t="s">
        <v>1081</v>
      </c>
      <c r="D473" s="423" t="s">
        <v>331</v>
      </c>
      <c r="E473" s="521" t="s">
        <v>1082</v>
      </c>
      <c r="F473" s="522">
        <v>201611</v>
      </c>
      <c r="G473" s="523">
        <v>-584.21</v>
      </c>
      <c r="H473" s="112">
        <f t="shared" si="18"/>
        <v>2017</v>
      </c>
      <c r="I473" s="312">
        <v>20</v>
      </c>
      <c r="J473" s="107" t="s">
        <v>189</v>
      </c>
      <c r="K473" s="103"/>
      <c r="L473" s="559"/>
      <c r="M473" s="559">
        <f t="shared" si="20"/>
        <v>3401</v>
      </c>
      <c r="O473" s="101"/>
      <c r="P473" s="101"/>
      <c r="Q473" s="101"/>
      <c r="R473" s="101"/>
    </row>
    <row r="474" spans="1:18" ht="15">
      <c r="A474" s="559"/>
      <c r="B474" s="521" t="s">
        <v>318</v>
      </c>
      <c r="C474" s="522" t="s">
        <v>1083</v>
      </c>
      <c r="D474" s="424" t="s">
        <v>331</v>
      </c>
      <c r="E474" s="521" t="s">
        <v>1084</v>
      </c>
      <c r="F474" s="522">
        <v>201611</v>
      </c>
      <c r="G474" s="523">
        <v>2729.79</v>
      </c>
      <c r="H474" s="112">
        <f t="shared" si="18"/>
        <v>2017</v>
      </c>
      <c r="I474" s="312">
        <v>20</v>
      </c>
      <c r="J474" s="107" t="s">
        <v>189</v>
      </c>
      <c r="K474" s="103"/>
      <c r="L474" s="559"/>
      <c r="M474" s="559">
        <f t="shared" si="20"/>
        <v>3401</v>
      </c>
      <c r="O474" s="101"/>
      <c r="P474" s="101"/>
      <c r="Q474" s="101"/>
      <c r="R474" s="101"/>
    </row>
    <row r="475" spans="1:18" ht="15">
      <c r="A475" s="559"/>
      <c r="B475" s="521" t="s">
        <v>318</v>
      </c>
      <c r="C475" s="522" t="s">
        <v>1010</v>
      </c>
      <c r="D475" s="424" t="s">
        <v>331</v>
      </c>
      <c r="E475" s="521" t="s">
        <v>1011</v>
      </c>
      <c r="F475" s="522">
        <v>201611</v>
      </c>
      <c r="G475" s="523">
        <v>0.41</v>
      </c>
      <c r="H475" s="112">
        <f t="shared" si="18"/>
        <v>2017</v>
      </c>
      <c r="I475" s="312">
        <v>20</v>
      </c>
      <c r="J475" s="107" t="s">
        <v>189</v>
      </c>
      <c r="K475" s="103"/>
      <c r="L475" s="559"/>
      <c r="M475" s="559">
        <f t="shared" si="20"/>
        <v>3401</v>
      </c>
      <c r="O475" s="101"/>
      <c r="P475" s="101"/>
      <c r="Q475" s="101"/>
      <c r="R475" s="101"/>
    </row>
    <row r="476" spans="1:18" ht="15">
      <c r="A476" s="559"/>
      <c r="B476" s="521" t="s">
        <v>318</v>
      </c>
      <c r="C476" s="522" t="s">
        <v>1010</v>
      </c>
      <c r="D476" s="424" t="s">
        <v>331</v>
      </c>
      <c r="E476" s="521" t="s">
        <v>1011</v>
      </c>
      <c r="F476" s="522">
        <v>201611</v>
      </c>
      <c r="G476" s="523">
        <v>5.27</v>
      </c>
      <c r="H476" s="112">
        <f t="shared" si="18"/>
        <v>2017</v>
      </c>
      <c r="I476" s="312">
        <v>20</v>
      </c>
      <c r="J476" s="107" t="s">
        <v>189</v>
      </c>
      <c r="K476" s="103"/>
      <c r="L476" s="559"/>
      <c r="M476" s="559">
        <f t="shared" si="20"/>
        <v>3401</v>
      </c>
      <c r="O476" s="101"/>
      <c r="P476" s="101"/>
      <c r="Q476" s="101"/>
      <c r="R476" s="101"/>
    </row>
    <row r="477" spans="1:18" ht="15">
      <c r="A477" s="559"/>
      <c r="B477" s="521" t="s">
        <v>318</v>
      </c>
      <c r="C477" s="522" t="s">
        <v>1057</v>
      </c>
      <c r="D477" s="424" t="s">
        <v>331</v>
      </c>
      <c r="E477" s="521" t="s">
        <v>1058</v>
      </c>
      <c r="F477" s="522">
        <v>201611</v>
      </c>
      <c r="G477" s="523">
        <v>204.29</v>
      </c>
      <c r="H477" s="112">
        <f t="shared" ref="H477:H537" si="21">IF(F477&gt;$H$5,0+2017,0+2016)</f>
        <v>2017</v>
      </c>
      <c r="I477" s="312">
        <v>20</v>
      </c>
      <c r="J477" s="107" t="s">
        <v>189</v>
      </c>
      <c r="K477" s="103"/>
      <c r="L477" s="559"/>
      <c r="M477" s="559">
        <f t="shared" si="20"/>
        <v>3401</v>
      </c>
      <c r="O477" s="101"/>
      <c r="P477" s="101"/>
      <c r="Q477" s="101"/>
      <c r="R477" s="101"/>
    </row>
    <row r="478" spans="1:18">
      <c r="A478" s="559"/>
      <c r="B478" s="521" t="s">
        <v>318</v>
      </c>
      <c r="C478" s="522" t="s">
        <v>1057</v>
      </c>
      <c r="D478" s="423" t="s">
        <v>331</v>
      </c>
      <c r="E478" s="521" t="s">
        <v>1058</v>
      </c>
      <c r="F478" s="522">
        <v>201611</v>
      </c>
      <c r="G478" s="523">
        <v>3012.96</v>
      </c>
      <c r="H478" s="112">
        <f t="shared" si="21"/>
        <v>2017</v>
      </c>
      <c r="I478" s="312">
        <v>20</v>
      </c>
      <c r="J478" s="107" t="s">
        <v>189</v>
      </c>
      <c r="K478" s="103"/>
      <c r="L478" s="559"/>
      <c r="M478" s="559">
        <f t="shared" si="20"/>
        <v>3401</v>
      </c>
      <c r="O478" s="101"/>
      <c r="P478" s="101"/>
      <c r="Q478" s="101"/>
      <c r="R478" s="101"/>
    </row>
    <row r="479" spans="1:18">
      <c r="A479" s="559"/>
      <c r="B479" s="521" t="s">
        <v>318</v>
      </c>
      <c r="C479" s="522" t="s">
        <v>1075</v>
      </c>
      <c r="D479" s="423" t="s">
        <v>331</v>
      </c>
      <c r="E479" s="521" t="s">
        <v>1076</v>
      </c>
      <c r="F479" s="522">
        <v>201611</v>
      </c>
      <c r="G479" s="523">
        <v>-5153.08</v>
      </c>
      <c r="H479" s="112">
        <f t="shared" si="21"/>
        <v>2017</v>
      </c>
      <c r="I479" s="312">
        <v>20</v>
      </c>
      <c r="J479" s="107" t="s">
        <v>189</v>
      </c>
      <c r="K479" s="103"/>
      <c r="L479" s="559"/>
      <c r="M479" s="559">
        <f t="shared" si="20"/>
        <v>3401</v>
      </c>
      <c r="O479" s="101"/>
      <c r="P479" s="101"/>
      <c r="Q479" s="101"/>
      <c r="R479" s="101"/>
    </row>
    <row r="480" spans="1:18">
      <c r="A480" s="559"/>
      <c r="B480" s="521" t="s">
        <v>318</v>
      </c>
      <c r="C480" s="522" t="s">
        <v>1053</v>
      </c>
      <c r="D480" s="423" t="s">
        <v>331</v>
      </c>
      <c r="E480" s="521" t="s">
        <v>1054</v>
      </c>
      <c r="F480" s="522">
        <v>201611</v>
      </c>
      <c r="G480" s="523">
        <v>24.59</v>
      </c>
      <c r="H480" s="112">
        <f t="shared" si="21"/>
        <v>2017</v>
      </c>
      <c r="I480" s="312">
        <v>20</v>
      </c>
      <c r="J480" s="107" t="s">
        <v>189</v>
      </c>
      <c r="K480" s="103"/>
      <c r="L480" s="559"/>
      <c r="M480" s="559">
        <f t="shared" si="20"/>
        <v>3401</v>
      </c>
      <c r="O480" s="101"/>
      <c r="P480" s="101"/>
      <c r="Q480" s="101"/>
      <c r="R480" s="101"/>
    </row>
    <row r="481" spans="2:18" ht="15">
      <c r="B481" s="521" t="s">
        <v>322</v>
      </c>
      <c r="C481" s="522" t="s">
        <v>943</v>
      </c>
      <c r="D481" s="424" t="s">
        <v>331</v>
      </c>
      <c r="E481" s="521" t="s">
        <v>944</v>
      </c>
      <c r="F481" s="522">
        <v>201612</v>
      </c>
      <c r="G481" s="523">
        <v>-327.88</v>
      </c>
      <c r="H481" s="112">
        <f t="shared" si="21"/>
        <v>2017</v>
      </c>
      <c r="I481" s="312">
        <v>20</v>
      </c>
      <c r="J481" s="107" t="s">
        <v>189</v>
      </c>
      <c r="K481" s="103"/>
      <c r="L481" s="559"/>
      <c r="M481" s="559">
        <f t="shared" si="20"/>
        <v>3401</v>
      </c>
      <c r="O481" s="101"/>
      <c r="P481" s="101"/>
      <c r="Q481" s="101"/>
      <c r="R481" s="101"/>
    </row>
    <row r="482" spans="2:18" ht="15">
      <c r="B482" s="521" t="s">
        <v>322</v>
      </c>
      <c r="C482" s="522" t="s">
        <v>943</v>
      </c>
      <c r="D482" s="424" t="s">
        <v>331</v>
      </c>
      <c r="E482" s="521" t="s">
        <v>944</v>
      </c>
      <c r="F482" s="522">
        <v>201612</v>
      </c>
      <c r="G482" s="523">
        <v>-95.91</v>
      </c>
      <c r="H482" s="112">
        <f t="shared" si="21"/>
        <v>2017</v>
      </c>
      <c r="I482" s="312">
        <v>20</v>
      </c>
      <c r="J482" s="107" t="s">
        <v>189</v>
      </c>
      <c r="K482" s="103"/>
      <c r="L482" s="559"/>
      <c r="M482" s="559">
        <f t="shared" si="20"/>
        <v>3401</v>
      </c>
      <c r="O482" s="101"/>
      <c r="P482" s="101"/>
      <c r="Q482" s="101"/>
      <c r="R482" s="101"/>
    </row>
    <row r="483" spans="2:18">
      <c r="B483" s="521" t="s">
        <v>322</v>
      </c>
      <c r="C483" s="522" t="s">
        <v>1122</v>
      </c>
      <c r="D483" s="423" t="s">
        <v>331</v>
      </c>
      <c r="E483" s="521" t="s">
        <v>1123</v>
      </c>
      <c r="F483" s="522">
        <v>201612</v>
      </c>
      <c r="G483" s="523">
        <v>7176.99</v>
      </c>
      <c r="H483" s="112">
        <f t="shared" si="21"/>
        <v>2017</v>
      </c>
      <c r="I483" s="312">
        <v>20</v>
      </c>
      <c r="J483" s="107" t="s">
        <v>189</v>
      </c>
      <c r="K483" s="103"/>
      <c r="L483" s="559"/>
      <c r="M483" s="559">
        <f t="shared" si="20"/>
        <v>3401</v>
      </c>
      <c r="O483" s="101"/>
      <c r="P483" s="101"/>
      <c r="Q483" s="101"/>
      <c r="R483" s="101"/>
    </row>
    <row r="484" spans="2:18">
      <c r="B484" s="521" t="s">
        <v>322</v>
      </c>
      <c r="C484" s="522" t="s">
        <v>1122</v>
      </c>
      <c r="D484" s="423" t="s">
        <v>331</v>
      </c>
      <c r="E484" s="521" t="s">
        <v>1123</v>
      </c>
      <c r="F484" s="522">
        <v>201612</v>
      </c>
      <c r="G484" s="523">
        <v>81125.009999999995</v>
      </c>
      <c r="H484" s="112">
        <f t="shared" si="21"/>
        <v>2017</v>
      </c>
      <c r="I484" s="312">
        <v>20</v>
      </c>
      <c r="J484" s="107" t="s">
        <v>189</v>
      </c>
      <c r="K484" s="103"/>
      <c r="L484" s="559"/>
      <c r="M484" s="559">
        <f t="shared" si="20"/>
        <v>3401</v>
      </c>
      <c r="O484" s="101"/>
      <c r="P484" s="101"/>
      <c r="Q484" s="101"/>
      <c r="R484" s="101"/>
    </row>
    <row r="485" spans="2:18">
      <c r="B485" s="521" t="s">
        <v>318</v>
      </c>
      <c r="C485" s="522" t="s">
        <v>893</v>
      </c>
      <c r="D485" s="423" t="s">
        <v>331</v>
      </c>
      <c r="E485" s="521" t="s">
        <v>894</v>
      </c>
      <c r="F485" s="522">
        <v>201612</v>
      </c>
      <c r="G485" s="523">
        <v>8877.27</v>
      </c>
      <c r="H485" s="112">
        <f t="shared" si="21"/>
        <v>2017</v>
      </c>
      <c r="I485" s="312">
        <v>20</v>
      </c>
      <c r="J485" s="107" t="s">
        <v>189</v>
      </c>
      <c r="K485" s="103"/>
      <c r="L485" s="559"/>
      <c r="M485" s="559">
        <f t="shared" si="20"/>
        <v>3401</v>
      </c>
      <c r="O485" s="101"/>
      <c r="P485" s="101"/>
      <c r="Q485" s="101"/>
      <c r="R485" s="101"/>
    </row>
    <row r="486" spans="2:18">
      <c r="B486" s="521" t="s">
        <v>318</v>
      </c>
      <c r="C486" s="522" t="s">
        <v>969</v>
      </c>
      <c r="D486" s="423" t="s">
        <v>331</v>
      </c>
      <c r="E486" s="521" t="s">
        <v>970</v>
      </c>
      <c r="F486" s="522">
        <v>201612</v>
      </c>
      <c r="G486" s="523">
        <v>-8500.25</v>
      </c>
      <c r="H486" s="112">
        <f t="shared" si="21"/>
        <v>2017</v>
      </c>
      <c r="I486" s="312">
        <v>20</v>
      </c>
      <c r="J486" s="107" t="s">
        <v>189</v>
      </c>
      <c r="K486" s="103"/>
      <c r="L486" s="559"/>
      <c r="M486" s="559">
        <f t="shared" si="20"/>
        <v>3401</v>
      </c>
      <c r="O486" s="101"/>
      <c r="P486" s="101"/>
      <c r="Q486" s="101"/>
      <c r="R486" s="101"/>
    </row>
    <row r="487" spans="2:18" ht="15">
      <c r="B487" s="481" t="s">
        <v>318</v>
      </c>
      <c r="C487" s="485" t="s">
        <v>969</v>
      </c>
      <c r="D487" s="428" t="s">
        <v>331</v>
      </c>
      <c r="E487" s="481" t="s">
        <v>970</v>
      </c>
      <c r="F487" s="485">
        <v>201612</v>
      </c>
      <c r="G487" s="482">
        <v>8500.25</v>
      </c>
      <c r="H487" s="112">
        <f t="shared" si="21"/>
        <v>2017</v>
      </c>
      <c r="I487" s="312">
        <v>20</v>
      </c>
      <c r="J487" s="107" t="s">
        <v>189</v>
      </c>
      <c r="K487" s="103"/>
      <c r="L487" s="559"/>
      <c r="M487" s="559">
        <f t="shared" si="20"/>
        <v>3401</v>
      </c>
      <c r="O487" s="101"/>
      <c r="P487" s="101"/>
      <c r="Q487" s="101"/>
      <c r="R487" s="101"/>
    </row>
    <row r="488" spans="2:18">
      <c r="B488" s="521" t="s">
        <v>322</v>
      </c>
      <c r="C488" s="522" t="s">
        <v>1124</v>
      </c>
      <c r="D488" s="423" t="s">
        <v>331</v>
      </c>
      <c r="E488" s="521" t="s">
        <v>1125</v>
      </c>
      <c r="F488" s="522">
        <v>201612</v>
      </c>
      <c r="G488" s="523">
        <v>426.74</v>
      </c>
      <c r="H488" s="112">
        <f t="shared" si="21"/>
        <v>2017</v>
      </c>
      <c r="I488" s="312">
        <v>20</v>
      </c>
      <c r="J488" s="107" t="s">
        <v>189</v>
      </c>
      <c r="K488" s="103"/>
      <c r="L488" s="559"/>
      <c r="M488" s="559">
        <f t="shared" si="20"/>
        <v>3401</v>
      </c>
      <c r="O488" s="101"/>
      <c r="P488" s="101"/>
      <c r="Q488" s="101"/>
      <c r="R488" s="101"/>
    </row>
    <row r="489" spans="2:18">
      <c r="B489" s="521" t="s">
        <v>322</v>
      </c>
      <c r="C489" s="522" t="s">
        <v>1124</v>
      </c>
      <c r="D489" s="423" t="s">
        <v>331</v>
      </c>
      <c r="E489" s="521" t="s">
        <v>1125</v>
      </c>
      <c r="F489" s="522">
        <v>201612</v>
      </c>
      <c r="G489" s="523">
        <v>105619.29</v>
      </c>
      <c r="H489" s="112">
        <f t="shared" si="21"/>
        <v>2017</v>
      </c>
      <c r="I489" s="312">
        <v>20</v>
      </c>
      <c r="J489" s="107" t="s">
        <v>189</v>
      </c>
      <c r="K489" s="103"/>
      <c r="L489" s="559"/>
      <c r="M489" s="559">
        <f t="shared" si="20"/>
        <v>3401</v>
      </c>
      <c r="O489" s="101"/>
      <c r="P489" s="101"/>
      <c r="Q489" s="101"/>
      <c r="R489" s="101"/>
    </row>
    <row r="490" spans="2:18" ht="15">
      <c r="B490" s="521" t="s">
        <v>318</v>
      </c>
      <c r="C490" s="522" t="s">
        <v>899</v>
      </c>
      <c r="D490" s="424" t="s">
        <v>331</v>
      </c>
      <c r="E490" s="521" t="s">
        <v>900</v>
      </c>
      <c r="F490" s="522">
        <v>201612</v>
      </c>
      <c r="G490" s="523">
        <v>-78074.33</v>
      </c>
      <c r="H490" s="112">
        <f t="shared" si="21"/>
        <v>2017</v>
      </c>
      <c r="I490" s="312">
        <v>20</v>
      </c>
      <c r="J490" s="107" t="s">
        <v>189</v>
      </c>
      <c r="K490" s="103"/>
      <c r="L490" s="559"/>
      <c r="M490" s="559">
        <f t="shared" si="20"/>
        <v>3401</v>
      </c>
      <c r="O490" s="101"/>
      <c r="P490" s="101"/>
      <c r="Q490" s="101"/>
      <c r="R490" s="101"/>
    </row>
    <row r="491" spans="2:18" ht="15">
      <c r="B491" s="521" t="s">
        <v>318</v>
      </c>
      <c r="C491" s="522" t="s">
        <v>899</v>
      </c>
      <c r="D491" s="424" t="s">
        <v>331</v>
      </c>
      <c r="E491" s="521" t="s">
        <v>900</v>
      </c>
      <c r="F491" s="522">
        <v>201612</v>
      </c>
      <c r="G491" s="523">
        <v>539.79</v>
      </c>
      <c r="H491" s="112">
        <f t="shared" si="21"/>
        <v>2017</v>
      </c>
      <c r="I491" s="312">
        <v>20</v>
      </c>
      <c r="J491" s="107" t="s">
        <v>189</v>
      </c>
      <c r="K491" s="103"/>
      <c r="L491" s="559"/>
      <c r="M491" s="559">
        <f t="shared" si="20"/>
        <v>3401</v>
      </c>
      <c r="O491" s="101"/>
      <c r="P491" s="101"/>
      <c r="Q491" s="101"/>
      <c r="R491" s="101"/>
    </row>
    <row r="492" spans="2:18" ht="15">
      <c r="B492" s="481" t="s">
        <v>318</v>
      </c>
      <c r="C492" s="485" t="s">
        <v>899</v>
      </c>
      <c r="D492" s="428" t="s">
        <v>331</v>
      </c>
      <c r="E492" s="481" t="s">
        <v>900</v>
      </c>
      <c r="F492" s="485">
        <v>201612</v>
      </c>
      <c r="G492" s="482">
        <v>73798.64</v>
      </c>
      <c r="H492" s="112">
        <f t="shared" si="21"/>
        <v>2017</v>
      </c>
      <c r="I492" s="312">
        <v>20</v>
      </c>
      <c r="J492" s="107" t="s">
        <v>189</v>
      </c>
      <c r="K492" s="103"/>
      <c r="L492" s="559"/>
      <c r="M492" s="559">
        <f t="shared" si="20"/>
        <v>3401</v>
      </c>
      <c r="O492" s="101"/>
      <c r="P492" s="101"/>
      <c r="Q492" s="101"/>
      <c r="R492" s="101"/>
    </row>
    <row r="493" spans="2:18" ht="15">
      <c r="B493" s="481" t="s">
        <v>318</v>
      </c>
      <c r="C493" s="485" t="s">
        <v>891</v>
      </c>
      <c r="D493" s="428" t="s">
        <v>331</v>
      </c>
      <c r="E493" s="481" t="s">
        <v>892</v>
      </c>
      <c r="F493" s="485">
        <v>201612</v>
      </c>
      <c r="G493" s="482">
        <v>21.1</v>
      </c>
      <c r="H493" s="112">
        <f t="shared" si="21"/>
        <v>2017</v>
      </c>
      <c r="I493" s="312">
        <v>20</v>
      </c>
      <c r="J493" s="107" t="s">
        <v>189</v>
      </c>
      <c r="K493" s="103"/>
      <c r="L493" s="559"/>
      <c r="M493" s="559">
        <f t="shared" si="20"/>
        <v>3401</v>
      </c>
      <c r="O493" s="101"/>
      <c r="P493" s="101"/>
      <c r="Q493" s="101"/>
      <c r="R493" s="101"/>
    </row>
    <row r="494" spans="2:18" ht="15">
      <c r="B494" s="521" t="s">
        <v>322</v>
      </c>
      <c r="C494" s="522" t="s">
        <v>1055</v>
      </c>
      <c r="D494" s="424" t="s">
        <v>331</v>
      </c>
      <c r="E494" s="521" t="s">
        <v>1056</v>
      </c>
      <c r="F494" s="522">
        <v>201612</v>
      </c>
      <c r="G494" s="523">
        <v>-16.07</v>
      </c>
      <c r="H494" s="112">
        <f t="shared" si="21"/>
        <v>2017</v>
      </c>
      <c r="I494" s="312">
        <v>20</v>
      </c>
      <c r="J494" s="107" t="s">
        <v>189</v>
      </c>
      <c r="K494" s="103"/>
      <c r="L494" s="559"/>
      <c r="M494" s="559">
        <f t="shared" si="20"/>
        <v>3401</v>
      </c>
      <c r="O494" s="101"/>
      <c r="P494" s="101"/>
      <c r="Q494" s="101"/>
      <c r="R494" s="101"/>
    </row>
    <row r="495" spans="2:18" ht="15">
      <c r="B495" s="521" t="s">
        <v>322</v>
      </c>
      <c r="C495" s="522" t="s">
        <v>1055</v>
      </c>
      <c r="D495" s="424" t="s">
        <v>331</v>
      </c>
      <c r="E495" s="521" t="s">
        <v>1056</v>
      </c>
      <c r="F495" s="522">
        <v>201612</v>
      </c>
      <c r="G495" s="523">
        <v>-0.81</v>
      </c>
      <c r="H495" s="112">
        <f t="shared" si="21"/>
        <v>2017</v>
      </c>
      <c r="I495" s="312">
        <v>20</v>
      </c>
      <c r="J495" s="107" t="s">
        <v>189</v>
      </c>
      <c r="K495" s="103"/>
      <c r="L495" s="559"/>
      <c r="M495" s="559">
        <f t="shared" si="20"/>
        <v>3401</v>
      </c>
      <c r="O495" s="101"/>
      <c r="P495" s="101"/>
      <c r="Q495" s="101"/>
      <c r="R495" s="101"/>
    </row>
    <row r="496" spans="2:18" ht="15">
      <c r="B496" s="521" t="s">
        <v>318</v>
      </c>
      <c r="C496" s="522" t="s">
        <v>1055</v>
      </c>
      <c r="D496" s="424" t="s">
        <v>331</v>
      </c>
      <c r="E496" s="521" t="s">
        <v>1056</v>
      </c>
      <c r="F496" s="522">
        <v>201612</v>
      </c>
      <c r="G496" s="523">
        <v>-7.02</v>
      </c>
      <c r="H496" s="112">
        <f t="shared" si="21"/>
        <v>2017</v>
      </c>
      <c r="I496" s="312">
        <v>20</v>
      </c>
      <c r="J496" s="107" t="s">
        <v>189</v>
      </c>
      <c r="K496" s="103"/>
      <c r="L496" s="559"/>
      <c r="M496" s="559">
        <f t="shared" si="20"/>
        <v>3401</v>
      </c>
      <c r="O496" s="101"/>
      <c r="P496" s="101"/>
      <c r="Q496" s="101"/>
      <c r="R496" s="101"/>
    </row>
    <row r="497" spans="2:18">
      <c r="B497" s="521" t="s">
        <v>318</v>
      </c>
      <c r="C497" s="522" t="s">
        <v>1000</v>
      </c>
      <c r="D497" s="423" t="s">
        <v>343</v>
      </c>
      <c r="E497" s="521" t="s">
        <v>1001</v>
      </c>
      <c r="F497" s="522">
        <v>201612</v>
      </c>
      <c r="G497" s="523">
        <v>-135.94999999999999</v>
      </c>
      <c r="H497" s="112">
        <f t="shared" si="21"/>
        <v>2017</v>
      </c>
      <c r="I497" s="312">
        <v>20</v>
      </c>
      <c r="J497" s="107" t="s">
        <v>189</v>
      </c>
      <c r="K497" s="103"/>
      <c r="L497" s="559"/>
      <c r="M497" s="559">
        <f t="shared" si="20"/>
        <v>3401</v>
      </c>
      <c r="O497" s="101"/>
      <c r="P497" s="101"/>
      <c r="Q497" s="101"/>
      <c r="R497" s="101"/>
    </row>
    <row r="498" spans="2:18">
      <c r="B498" s="521" t="s">
        <v>318</v>
      </c>
      <c r="C498" s="522" t="s">
        <v>1000</v>
      </c>
      <c r="D498" s="423" t="s">
        <v>343</v>
      </c>
      <c r="E498" s="521" t="s">
        <v>1001</v>
      </c>
      <c r="F498" s="522">
        <v>201612</v>
      </c>
      <c r="G498" s="523">
        <v>-1.1499999999999999</v>
      </c>
      <c r="H498" s="112">
        <f t="shared" si="21"/>
        <v>2017</v>
      </c>
      <c r="I498" s="312">
        <v>20</v>
      </c>
      <c r="J498" s="107" t="s">
        <v>189</v>
      </c>
      <c r="K498" s="103"/>
      <c r="L498" s="559"/>
      <c r="M498" s="559">
        <f t="shared" si="20"/>
        <v>3401</v>
      </c>
      <c r="O498" s="101"/>
      <c r="P498" s="101"/>
      <c r="Q498" s="101"/>
      <c r="R498" s="101"/>
    </row>
    <row r="499" spans="2:18">
      <c r="B499" s="521" t="s">
        <v>318</v>
      </c>
      <c r="C499" s="522" t="s">
        <v>1081</v>
      </c>
      <c r="D499" s="423" t="s">
        <v>331</v>
      </c>
      <c r="E499" s="521" t="s">
        <v>1082</v>
      </c>
      <c r="F499" s="522">
        <v>201612</v>
      </c>
      <c r="G499" s="523">
        <v>95.5</v>
      </c>
      <c r="H499" s="112">
        <f t="shared" si="21"/>
        <v>2017</v>
      </c>
      <c r="I499" s="312">
        <v>20</v>
      </c>
      <c r="J499" s="107" t="s">
        <v>189</v>
      </c>
      <c r="K499" s="103"/>
      <c r="L499" s="559"/>
      <c r="M499" s="559">
        <f t="shared" si="20"/>
        <v>3401</v>
      </c>
      <c r="O499" s="101"/>
      <c r="P499" s="101"/>
      <c r="Q499" s="101"/>
      <c r="R499" s="101"/>
    </row>
    <row r="500" spans="2:18">
      <c r="B500" s="521" t="s">
        <v>318</v>
      </c>
      <c r="C500" s="522" t="s">
        <v>1008</v>
      </c>
      <c r="D500" s="423" t="s">
        <v>331</v>
      </c>
      <c r="E500" s="521" t="s">
        <v>1009</v>
      </c>
      <c r="F500" s="522">
        <v>201612</v>
      </c>
      <c r="G500" s="523">
        <v>-66.069999999999993</v>
      </c>
      <c r="H500" s="112">
        <f t="shared" si="21"/>
        <v>2017</v>
      </c>
      <c r="I500" s="312">
        <v>20</v>
      </c>
      <c r="J500" s="107" t="s">
        <v>189</v>
      </c>
      <c r="K500" s="103"/>
      <c r="L500" s="559"/>
      <c r="M500" s="559">
        <f t="shared" si="20"/>
        <v>3401</v>
      </c>
      <c r="O500" s="101"/>
      <c r="P500" s="101"/>
      <c r="Q500" s="101"/>
      <c r="R500" s="101"/>
    </row>
    <row r="501" spans="2:18">
      <c r="B501" s="521" t="s">
        <v>318</v>
      </c>
      <c r="C501" s="522" t="s">
        <v>1083</v>
      </c>
      <c r="D501" s="423" t="s">
        <v>331</v>
      </c>
      <c r="E501" s="521" t="s">
        <v>1084</v>
      </c>
      <c r="F501" s="522">
        <v>201612</v>
      </c>
      <c r="G501" s="523">
        <v>215.03</v>
      </c>
      <c r="H501" s="112">
        <f t="shared" si="21"/>
        <v>2017</v>
      </c>
      <c r="I501" s="312">
        <v>20</v>
      </c>
      <c r="J501" s="107" t="s">
        <v>189</v>
      </c>
      <c r="K501" s="103"/>
      <c r="L501" s="559"/>
      <c r="M501" s="559">
        <f t="shared" si="20"/>
        <v>3401</v>
      </c>
      <c r="O501" s="101"/>
      <c r="P501" s="101"/>
      <c r="Q501" s="101"/>
      <c r="R501" s="101"/>
    </row>
    <row r="502" spans="2:18" ht="15">
      <c r="B502" s="521" t="s">
        <v>318</v>
      </c>
      <c r="C502" s="522" t="s">
        <v>1010</v>
      </c>
      <c r="D502" s="424" t="s">
        <v>331</v>
      </c>
      <c r="E502" s="521" t="s">
        <v>1011</v>
      </c>
      <c r="F502" s="522">
        <v>201612</v>
      </c>
      <c r="G502" s="523">
        <v>-2.58</v>
      </c>
      <c r="H502" s="112">
        <f t="shared" si="21"/>
        <v>2017</v>
      </c>
      <c r="I502" s="312">
        <v>20</v>
      </c>
      <c r="J502" s="107" t="s">
        <v>189</v>
      </c>
      <c r="K502" s="103"/>
      <c r="L502" s="559"/>
      <c r="M502" s="559">
        <f t="shared" si="20"/>
        <v>3401</v>
      </c>
      <c r="O502" s="101"/>
      <c r="P502" s="101"/>
      <c r="Q502" s="101"/>
      <c r="R502" s="101"/>
    </row>
    <row r="503" spans="2:18">
      <c r="B503" s="521" t="s">
        <v>318</v>
      </c>
      <c r="C503" s="522" t="s">
        <v>1010</v>
      </c>
      <c r="D503" s="423" t="s">
        <v>331</v>
      </c>
      <c r="E503" s="521" t="s">
        <v>1011</v>
      </c>
      <c r="F503" s="522">
        <v>201612</v>
      </c>
      <c r="G503" s="523">
        <v>-0.2</v>
      </c>
      <c r="H503" s="112">
        <f t="shared" si="21"/>
        <v>2017</v>
      </c>
      <c r="I503" s="312">
        <v>20</v>
      </c>
      <c r="J503" s="107" t="s">
        <v>189</v>
      </c>
      <c r="K503" s="103"/>
      <c r="L503" s="559"/>
      <c r="M503" s="559">
        <f t="shared" ref="M503:M537" si="22">IF(LEFT(D503,2)="34",3401,IF(LEFT(D503,2)="33",3301))</f>
        <v>3401</v>
      </c>
      <c r="O503" s="101"/>
      <c r="P503" s="101"/>
      <c r="Q503" s="101"/>
      <c r="R503" s="101"/>
    </row>
    <row r="504" spans="2:18" ht="15">
      <c r="B504" s="521" t="s">
        <v>318</v>
      </c>
      <c r="C504" s="522" t="s">
        <v>1057</v>
      </c>
      <c r="D504" s="424" t="s">
        <v>331</v>
      </c>
      <c r="E504" s="521" t="s">
        <v>1058</v>
      </c>
      <c r="F504" s="522">
        <v>201612</v>
      </c>
      <c r="G504" s="523">
        <v>280.83</v>
      </c>
      <c r="H504" s="112">
        <f t="shared" si="21"/>
        <v>2017</v>
      </c>
      <c r="I504" s="312">
        <v>20</v>
      </c>
      <c r="J504" s="107" t="s">
        <v>189</v>
      </c>
      <c r="K504" s="103"/>
      <c r="L504" s="559"/>
      <c r="M504" s="559">
        <f t="shared" si="22"/>
        <v>3401</v>
      </c>
      <c r="O504" s="101"/>
      <c r="P504" s="101"/>
      <c r="Q504" s="101"/>
      <c r="R504" s="101"/>
    </row>
    <row r="505" spans="2:18">
      <c r="B505" s="521" t="s">
        <v>318</v>
      </c>
      <c r="C505" s="522" t="s">
        <v>1057</v>
      </c>
      <c r="D505" s="423" t="s">
        <v>331</v>
      </c>
      <c r="E505" s="521" t="s">
        <v>1058</v>
      </c>
      <c r="F505" s="522">
        <v>201612</v>
      </c>
      <c r="G505" s="523">
        <v>4142.01</v>
      </c>
      <c r="H505" s="112">
        <f t="shared" si="21"/>
        <v>2017</v>
      </c>
      <c r="I505" s="312">
        <v>20</v>
      </c>
      <c r="J505" s="107" t="s">
        <v>189</v>
      </c>
      <c r="K505" s="103"/>
      <c r="L505" s="559"/>
      <c r="M505" s="559">
        <f t="shared" si="22"/>
        <v>3401</v>
      </c>
      <c r="O505" s="101"/>
      <c r="P505" s="101"/>
      <c r="Q505" s="101"/>
      <c r="R505" s="101"/>
    </row>
    <row r="506" spans="2:18">
      <c r="B506" s="521" t="s">
        <v>318</v>
      </c>
      <c r="C506" s="522" t="s">
        <v>1075</v>
      </c>
      <c r="D506" s="423" t="s">
        <v>331</v>
      </c>
      <c r="E506" s="521" t="s">
        <v>1076</v>
      </c>
      <c r="F506" s="522">
        <v>201612</v>
      </c>
      <c r="G506" s="523">
        <v>2459.19</v>
      </c>
      <c r="H506" s="112">
        <f t="shared" si="21"/>
        <v>2017</v>
      </c>
      <c r="I506" s="312">
        <v>20</v>
      </c>
      <c r="J506" s="107" t="s">
        <v>189</v>
      </c>
      <c r="K506" s="103"/>
      <c r="L506" s="559"/>
      <c r="M506" s="559">
        <f t="shared" si="22"/>
        <v>3401</v>
      </c>
      <c r="O506" s="101"/>
      <c r="P506" s="101"/>
      <c r="Q506" s="101"/>
      <c r="R506" s="101"/>
    </row>
    <row r="507" spans="2:18">
      <c r="B507" s="521" t="s">
        <v>318</v>
      </c>
      <c r="C507" s="522" t="s">
        <v>1053</v>
      </c>
      <c r="D507" s="423" t="s">
        <v>331</v>
      </c>
      <c r="E507" s="521" t="s">
        <v>1054</v>
      </c>
      <c r="F507" s="522">
        <v>201612</v>
      </c>
      <c r="G507" s="523">
        <v>-5.45</v>
      </c>
      <c r="H507" s="112">
        <f t="shared" si="21"/>
        <v>2017</v>
      </c>
      <c r="I507" s="312">
        <v>20</v>
      </c>
      <c r="J507" s="107" t="s">
        <v>189</v>
      </c>
      <c r="K507" s="103"/>
      <c r="L507" s="559"/>
      <c r="M507" s="559">
        <f t="shared" si="22"/>
        <v>3401</v>
      </c>
      <c r="O507" s="101"/>
      <c r="P507" s="101"/>
      <c r="Q507" s="101"/>
      <c r="R507" s="101"/>
    </row>
    <row r="508" spans="2:18" s="559" customFormat="1">
      <c r="B508" s="863" t="s">
        <v>322</v>
      </c>
      <c r="C508" s="864" t="s">
        <v>1144</v>
      </c>
      <c r="D508" s="423" t="s">
        <v>331</v>
      </c>
      <c r="E508" s="863" t="s">
        <v>1145</v>
      </c>
      <c r="F508" s="864">
        <v>201701</v>
      </c>
      <c r="G508" s="865">
        <v>389829.62</v>
      </c>
      <c r="H508" s="112">
        <f t="shared" ref="H508:H535" si="23">IF(F508&gt;$H$5,0+2017,0+2016)</f>
        <v>2017</v>
      </c>
      <c r="I508" s="312">
        <v>20</v>
      </c>
      <c r="J508" s="107" t="s">
        <v>189</v>
      </c>
      <c r="K508" s="103"/>
      <c r="M508" s="559">
        <f t="shared" ref="M508:M535" si="24">IF(LEFT(D508,2)="34",3401,IF(LEFT(D508,2)="33",3301))</f>
        <v>3401</v>
      </c>
    </row>
    <row r="509" spans="2:18" s="559" customFormat="1">
      <c r="B509" s="863" t="s">
        <v>322</v>
      </c>
      <c r="C509" s="864" t="s">
        <v>943</v>
      </c>
      <c r="D509" s="423" t="s">
        <v>331</v>
      </c>
      <c r="E509" s="863" t="s">
        <v>944</v>
      </c>
      <c r="F509" s="864">
        <v>201701</v>
      </c>
      <c r="G509" s="865">
        <v>11.67</v>
      </c>
      <c r="H509" s="112">
        <f t="shared" si="23"/>
        <v>2017</v>
      </c>
      <c r="I509" s="312">
        <v>20</v>
      </c>
      <c r="J509" s="107" t="s">
        <v>189</v>
      </c>
      <c r="K509" s="103"/>
      <c r="M509" s="559">
        <f t="shared" si="24"/>
        <v>3401</v>
      </c>
    </row>
    <row r="510" spans="2:18" s="559" customFormat="1">
      <c r="B510" s="863" t="s">
        <v>322</v>
      </c>
      <c r="C510" s="864" t="s">
        <v>943</v>
      </c>
      <c r="D510" s="423" t="s">
        <v>331</v>
      </c>
      <c r="E510" s="863" t="s">
        <v>944</v>
      </c>
      <c r="F510" s="864">
        <v>201701</v>
      </c>
      <c r="G510" s="865">
        <v>39.89</v>
      </c>
      <c r="H510" s="112">
        <f t="shared" si="23"/>
        <v>2017</v>
      </c>
      <c r="I510" s="312">
        <v>20</v>
      </c>
      <c r="J510" s="107" t="s">
        <v>189</v>
      </c>
      <c r="K510" s="103"/>
      <c r="M510" s="559">
        <f t="shared" si="24"/>
        <v>3401</v>
      </c>
    </row>
    <row r="511" spans="2:18" s="559" customFormat="1">
      <c r="B511" s="863" t="s">
        <v>322</v>
      </c>
      <c r="C511" s="864" t="s">
        <v>1122</v>
      </c>
      <c r="D511" s="423" t="s">
        <v>331</v>
      </c>
      <c r="E511" s="863" t="s">
        <v>1123</v>
      </c>
      <c r="F511" s="864">
        <v>201701</v>
      </c>
      <c r="G511" s="865">
        <v>452.76</v>
      </c>
      <c r="H511" s="112">
        <f t="shared" si="23"/>
        <v>2017</v>
      </c>
      <c r="I511" s="312">
        <v>20</v>
      </c>
      <c r="J511" s="107" t="s">
        <v>189</v>
      </c>
      <c r="K511" s="103"/>
      <c r="M511" s="559">
        <f t="shared" si="24"/>
        <v>3401</v>
      </c>
    </row>
    <row r="512" spans="2:18" s="559" customFormat="1">
      <c r="B512" s="863" t="s">
        <v>322</v>
      </c>
      <c r="C512" s="864" t="s">
        <v>1122</v>
      </c>
      <c r="D512" s="423" t="s">
        <v>331</v>
      </c>
      <c r="E512" s="863" t="s">
        <v>1123</v>
      </c>
      <c r="F512" s="864">
        <v>201701</v>
      </c>
      <c r="G512" s="865">
        <v>5117.8500000000004</v>
      </c>
      <c r="H512" s="112">
        <f t="shared" si="23"/>
        <v>2017</v>
      </c>
      <c r="I512" s="312">
        <v>20</v>
      </c>
      <c r="J512" s="107" t="s">
        <v>189</v>
      </c>
      <c r="K512" s="103"/>
      <c r="M512" s="559">
        <f t="shared" si="24"/>
        <v>3401</v>
      </c>
    </row>
    <row r="513" spans="2:13" s="559" customFormat="1">
      <c r="B513" s="863" t="s">
        <v>318</v>
      </c>
      <c r="C513" s="864" t="s">
        <v>893</v>
      </c>
      <c r="D513" s="423" t="s">
        <v>331</v>
      </c>
      <c r="E513" s="863" t="s">
        <v>894</v>
      </c>
      <c r="F513" s="864">
        <v>201701</v>
      </c>
      <c r="G513" s="865">
        <v>68.03</v>
      </c>
      <c r="H513" s="112">
        <f t="shared" si="23"/>
        <v>2017</v>
      </c>
      <c r="I513" s="312">
        <v>20</v>
      </c>
      <c r="J513" s="107" t="s">
        <v>189</v>
      </c>
      <c r="K513" s="103"/>
      <c r="M513" s="559">
        <f t="shared" si="24"/>
        <v>3401</v>
      </c>
    </row>
    <row r="514" spans="2:13" s="559" customFormat="1">
      <c r="B514" s="863" t="s">
        <v>318</v>
      </c>
      <c r="C514" s="864" t="s">
        <v>969</v>
      </c>
      <c r="D514" s="423" t="s">
        <v>331</v>
      </c>
      <c r="E514" s="863" t="s">
        <v>970</v>
      </c>
      <c r="F514" s="864">
        <v>201701</v>
      </c>
      <c r="G514" s="865">
        <v>57.5</v>
      </c>
      <c r="H514" s="112">
        <f t="shared" si="23"/>
        <v>2017</v>
      </c>
      <c r="I514" s="312">
        <v>20</v>
      </c>
      <c r="J514" s="107" t="s">
        <v>189</v>
      </c>
      <c r="K514" s="103"/>
      <c r="M514" s="559">
        <f t="shared" si="24"/>
        <v>3401</v>
      </c>
    </row>
    <row r="515" spans="2:13" s="559" customFormat="1">
      <c r="B515" s="863" t="s">
        <v>322</v>
      </c>
      <c r="C515" s="864" t="s">
        <v>1124</v>
      </c>
      <c r="D515" s="423" t="s">
        <v>331</v>
      </c>
      <c r="E515" s="863" t="s">
        <v>1125</v>
      </c>
      <c r="F515" s="864">
        <v>201701</v>
      </c>
      <c r="G515" s="865">
        <v>12.01</v>
      </c>
      <c r="H515" s="112">
        <f t="shared" si="23"/>
        <v>2017</v>
      </c>
      <c r="I515" s="312">
        <v>20</v>
      </c>
      <c r="J515" s="107" t="s">
        <v>189</v>
      </c>
      <c r="K515" s="103"/>
      <c r="M515" s="559">
        <f t="shared" si="24"/>
        <v>3401</v>
      </c>
    </row>
    <row r="516" spans="2:13" s="559" customFormat="1">
      <c r="B516" s="863" t="s">
        <v>322</v>
      </c>
      <c r="C516" s="864" t="s">
        <v>1124</v>
      </c>
      <c r="D516" s="423" t="s">
        <v>331</v>
      </c>
      <c r="E516" s="863" t="s">
        <v>1125</v>
      </c>
      <c r="F516" s="864">
        <v>201701</v>
      </c>
      <c r="G516" s="865">
        <v>2970.5</v>
      </c>
      <c r="H516" s="112">
        <f t="shared" si="23"/>
        <v>2017</v>
      </c>
      <c r="I516" s="312">
        <v>20</v>
      </c>
      <c r="J516" s="107" t="s">
        <v>189</v>
      </c>
      <c r="K516" s="103"/>
      <c r="M516" s="559">
        <f t="shared" si="24"/>
        <v>3401</v>
      </c>
    </row>
    <row r="517" spans="2:13" s="559" customFormat="1">
      <c r="B517" s="863" t="s">
        <v>322</v>
      </c>
      <c r="C517" s="864" t="s">
        <v>1055</v>
      </c>
      <c r="D517" s="423" t="s">
        <v>331</v>
      </c>
      <c r="E517" s="863" t="s">
        <v>1056</v>
      </c>
      <c r="F517" s="864">
        <v>201701</v>
      </c>
      <c r="G517" s="865">
        <v>5.34</v>
      </c>
      <c r="H517" s="112">
        <f t="shared" si="23"/>
        <v>2017</v>
      </c>
      <c r="I517" s="312">
        <v>20</v>
      </c>
      <c r="J517" s="107" t="s">
        <v>189</v>
      </c>
      <c r="K517" s="103"/>
      <c r="M517" s="559">
        <f t="shared" si="24"/>
        <v>3401</v>
      </c>
    </row>
    <row r="518" spans="2:13" s="559" customFormat="1">
      <c r="B518" s="863" t="s">
        <v>318</v>
      </c>
      <c r="C518" s="864" t="s">
        <v>1055</v>
      </c>
      <c r="D518" s="423" t="s">
        <v>331</v>
      </c>
      <c r="E518" s="863" t="s">
        <v>1056</v>
      </c>
      <c r="F518" s="864">
        <v>201701</v>
      </c>
      <c r="G518" s="865">
        <v>46.51</v>
      </c>
      <c r="H518" s="112">
        <f t="shared" si="23"/>
        <v>2017</v>
      </c>
      <c r="I518" s="312">
        <v>20</v>
      </c>
      <c r="J518" s="107" t="s">
        <v>189</v>
      </c>
      <c r="K518" s="103"/>
      <c r="M518" s="559">
        <f t="shared" si="24"/>
        <v>3401</v>
      </c>
    </row>
    <row r="519" spans="2:13" s="559" customFormat="1">
      <c r="B519" s="863" t="s">
        <v>322</v>
      </c>
      <c r="C519" s="864" t="s">
        <v>1055</v>
      </c>
      <c r="D519" s="423" t="s">
        <v>331</v>
      </c>
      <c r="E519" s="863" t="s">
        <v>1056</v>
      </c>
      <c r="F519" s="864">
        <v>201701</v>
      </c>
      <c r="G519" s="865">
        <v>106.39</v>
      </c>
      <c r="H519" s="112">
        <f t="shared" si="23"/>
        <v>2017</v>
      </c>
      <c r="I519" s="312">
        <v>20</v>
      </c>
      <c r="J519" s="107" t="s">
        <v>189</v>
      </c>
      <c r="K519" s="103"/>
      <c r="M519" s="559">
        <f t="shared" si="24"/>
        <v>3401</v>
      </c>
    </row>
    <row r="520" spans="2:13" s="559" customFormat="1">
      <c r="B520" s="863" t="s">
        <v>318</v>
      </c>
      <c r="C520" s="864" t="s">
        <v>1000</v>
      </c>
      <c r="D520" s="423" t="s">
        <v>343</v>
      </c>
      <c r="E520" s="863" t="s">
        <v>1001</v>
      </c>
      <c r="F520" s="864">
        <v>201701</v>
      </c>
      <c r="G520" s="865">
        <v>0.01</v>
      </c>
      <c r="H520" s="112">
        <f t="shared" si="23"/>
        <v>2017</v>
      </c>
      <c r="I520" s="312">
        <v>20</v>
      </c>
      <c r="J520" s="107" t="s">
        <v>189</v>
      </c>
      <c r="K520" s="103"/>
      <c r="M520" s="559">
        <f t="shared" si="24"/>
        <v>3401</v>
      </c>
    </row>
    <row r="521" spans="2:13" s="559" customFormat="1">
      <c r="B521" s="863" t="s">
        <v>318</v>
      </c>
      <c r="C521" s="864" t="s">
        <v>1000</v>
      </c>
      <c r="D521" s="423" t="s">
        <v>343</v>
      </c>
      <c r="E521" s="863" t="s">
        <v>1001</v>
      </c>
      <c r="F521" s="864">
        <v>201701</v>
      </c>
      <c r="G521" s="865">
        <v>0.82</v>
      </c>
      <c r="H521" s="112">
        <f t="shared" si="23"/>
        <v>2017</v>
      </c>
      <c r="I521" s="312">
        <v>20</v>
      </c>
      <c r="J521" s="107" t="s">
        <v>189</v>
      </c>
      <c r="K521" s="103"/>
      <c r="M521" s="559">
        <f t="shared" si="24"/>
        <v>3401</v>
      </c>
    </row>
    <row r="522" spans="2:13" s="559" customFormat="1">
      <c r="B522" s="863" t="s">
        <v>318</v>
      </c>
      <c r="C522" s="864" t="s">
        <v>1081</v>
      </c>
      <c r="D522" s="423" t="s">
        <v>331</v>
      </c>
      <c r="E522" s="863" t="s">
        <v>1082</v>
      </c>
      <c r="F522" s="864">
        <v>201701</v>
      </c>
      <c r="G522" s="865">
        <v>52.21</v>
      </c>
      <c r="H522" s="112">
        <f t="shared" si="23"/>
        <v>2017</v>
      </c>
      <c r="I522" s="312">
        <v>20</v>
      </c>
      <c r="J522" s="107" t="s">
        <v>189</v>
      </c>
      <c r="K522" s="103"/>
      <c r="M522" s="559">
        <f t="shared" si="24"/>
        <v>3401</v>
      </c>
    </row>
    <row r="523" spans="2:13" s="559" customFormat="1">
      <c r="B523" s="863" t="s">
        <v>318</v>
      </c>
      <c r="C523" s="864" t="s">
        <v>1083</v>
      </c>
      <c r="D523" s="423" t="s">
        <v>331</v>
      </c>
      <c r="E523" s="863" t="s">
        <v>1084</v>
      </c>
      <c r="F523" s="864">
        <v>201701</v>
      </c>
      <c r="G523" s="865">
        <v>700.92</v>
      </c>
      <c r="H523" s="112">
        <f t="shared" si="23"/>
        <v>2017</v>
      </c>
      <c r="I523" s="312">
        <v>20</v>
      </c>
      <c r="J523" s="107" t="s">
        <v>189</v>
      </c>
      <c r="K523" s="103"/>
      <c r="M523" s="559">
        <f t="shared" si="24"/>
        <v>3401</v>
      </c>
    </row>
    <row r="524" spans="2:13" s="559" customFormat="1">
      <c r="B524" s="863" t="s">
        <v>318</v>
      </c>
      <c r="C524" s="864" t="s">
        <v>1010</v>
      </c>
      <c r="D524" s="423" t="s">
        <v>331</v>
      </c>
      <c r="E524" s="863" t="s">
        <v>1011</v>
      </c>
      <c r="F524" s="864">
        <v>201701</v>
      </c>
      <c r="G524" s="865">
        <v>-1.26</v>
      </c>
      <c r="H524" s="112">
        <f t="shared" si="23"/>
        <v>2017</v>
      </c>
      <c r="I524" s="312">
        <v>20</v>
      </c>
      <c r="J524" s="107" t="s">
        <v>189</v>
      </c>
      <c r="K524" s="103"/>
      <c r="M524" s="559">
        <f t="shared" si="24"/>
        <v>3401</v>
      </c>
    </row>
    <row r="525" spans="2:13" s="559" customFormat="1">
      <c r="B525" s="863" t="s">
        <v>318</v>
      </c>
      <c r="C525" s="864" t="s">
        <v>1010</v>
      </c>
      <c r="D525" s="423" t="s">
        <v>331</v>
      </c>
      <c r="E525" s="863" t="s">
        <v>1011</v>
      </c>
      <c r="F525" s="864">
        <v>201701</v>
      </c>
      <c r="G525" s="865">
        <v>-0.09</v>
      </c>
      <c r="H525" s="112">
        <f t="shared" si="23"/>
        <v>2017</v>
      </c>
      <c r="I525" s="312">
        <v>20</v>
      </c>
      <c r="J525" s="107" t="s">
        <v>189</v>
      </c>
      <c r="K525" s="103"/>
      <c r="M525" s="559">
        <f t="shared" si="24"/>
        <v>3401</v>
      </c>
    </row>
    <row r="526" spans="2:13" s="559" customFormat="1">
      <c r="B526" s="863" t="s">
        <v>318</v>
      </c>
      <c r="C526" s="864" t="s">
        <v>1012</v>
      </c>
      <c r="D526" s="423" t="s">
        <v>331</v>
      </c>
      <c r="E526" s="863" t="s">
        <v>1013</v>
      </c>
      <c r="F526" s="864">
        <v>201701</v>
      </c>
      <c r="G526" s="865">
        <v>-1.66</v>
      </c>
      <c r="H526" s="112">
        <f t="shared" si="23"/>
        <v>2017</v>
      </c>
      <c r="I526" s="312">
        <v>20</v>
      </c>
      <c r="J526" s="107" t="s">
        <v>189</v>
      </c>
      <c r="K526" s="103"/>
      <c r="M526" s="559">
        <f t="shared" si="24"/>
        <v>3401</v>
      </c>
    </row>
    <row r="527" spans="2:13" s="559" customFormat="1">
      <c r="B527" s="863" t="s">
        <v>318</v>
      </c>
      <c r="C527" s="864" t="s">
        <v>1012</v>
      </c>
      <c r="D527" s="423" t="s">
        <v>331</v>
      </c>
      <c r="E527" s="863" t="s">
        <v>1013</v>
      </c>
      <c r="F527" s="864">
        <v>201701</v>
      </c>
      <c r="G527" s="865">
        <v>-0.12</v>
      </c>
      <c r="H527" s="112">
        <f t="shared" si="23"/>
        <v>2017</v>
      </c>
      <c r="I527" s="312">
        <v>20</v>
      </c>
      <c r="J527" s="107" t="s">
        <v>189</v>
      </c>
      <c r="K527" s="103"/>
      <c r="M527" s="559">
        <f t="shared" si="24"/>
        <v>3401</v>
      </c>
    </row>
    <row r="528" spans="2:13" s="559" customFormat="1">
      <c r="B528" s="863" t="s">
        <v>318</v>
      </c>
      <c r="C528" s="864" t="s">
        <v>1057</v>
      </c>
      <c r="D528" s="423" t="s">
        <v>331</v>
      </c>
      <c r="E528" s="863" t="s">
        <v>1058</v>
      </c>
      <c r="F528" s="864">
        <v>201701</v>
      </c>
      <c r="G528" s="865">
        <v>319.81</v>
      </c>
      <c r="H528" s="112">
        <f t="shared" si="23"/>
        <v>2017</v>
      </c>
      <c r="I528" s="312">
        <v>20</v>
      </c>
      <c r="J528" s="107" t="s">
        <v>189</v>
      </c>
      <c r="K528" s="103"/>
      <c r="M528" s="559">
        <f t="shared" si="24"/>
        <v>3401</v>
      </c>
    </row>
    <row r="529" spans="2:19" s="559" customFormat="1">
      <c r="B529" s="863" t="s">
        <v>318</v>
      </c>
      <c r="C529" s="864" t="s">
        <v>1057</v>
      </c>
      <c r="D529" s="423" t="s">
        <v>331</v>
      </c>
      <c r="E529" s="863" t="s">
        <v>1058</v>
      </c>
      <c r="F529" s="864">
        <v>201701</v>
      </c>
      <c r="G529" s="865">
        <v>4717.05</v>
      </c>
      <c r="H529" s="112">
        <f t="shared" si="23"/>
        <v>2017</v>
      </c>
      <c r="I529" s="312">
        <v>20</v>
      </c>
      <c r="J529" s="107" t="s">
        <v>189</v>
      </c>
      <c r="K529" s="103"/>
      <c r="M529" s="559">
        <f t="shared" si="24"/>
        <v>3401</v>
      </c>
    </row>
    <row r="530" spans="2:19" s="559" customFormat="1">
      <c r="B530" s="863" t="s">
        <v>318</v>
      </c>
      <c r="C530" s="864" t="s">
        <v>1073</v>
      </c>
      <c r="D530" s="423" t="s">
        <v>331</v>
      </c>
      <c r="E530" s="863" t="s">
        <v>1074</v>
      </c>
      <c r="F530" s="864">
        <v>201701</v>
      </c>
      <c r="G530" s="865">
        <v>227.68</v>
      </c>
      <c r="H530" s="112">
        <f t="shared" si="23"/>
        <v>2017</v>
      </c>
      <c r="I530" s="312">
        <v>20</v>
      </c>
      <c r="J530" s="107" t="s">
        <v>189</v>
      </c>
      <c r="K530" s="103"/>
      <c r="M530" s="559">
        <f t="shared" si="24"/>
        <v>3401</v>
      </c>
    </row>
    <row r="531" spans="2:19" s="559" customFormat="1">
      <c r="B531" s="863" t="s">
        <v>318</v>
      </c>
      <c r="C531" s="864" t="s">
        <v>1073</v>
      </c>
      <c r="D531" s="423" t="s">
        <v>331</v>
      </c>
      <c r="E531" s="863" t="s">
        <v>1074</v>
      </c>
      <c r="F531" s="864">
        <v>201701</v>
      </c>
      <c r="G531" s="865">
        <v>2374.0300000000002</v>
      </c>
      <c r="H531" s="112">
        <f t="shared" si="23"/>
        <v>2017</v>
      </c>
      <c r="I531" s="312">
        <v>20</v>
      </c>
      <c r="J531" s="107" t="s">
        <v>189</v>
      </c>
      <c r="K531" s="103"/>
      <c r="M531" s="559">
        <f t="shared" si="24"/>
        <v>3401</v>
      </c>
    </row>
    <row r="532" spans="2:19" s="559" customFormat="1">
      <c r="B532" s="863" t="s">
        <v>318</v>
      </c>
      <c r="C532" s="864" t="s">
        <v>1075</v>
      </c>
      <c r="D532" s="423" t="s">
        <v>331</v>
      </c>
      <c r="E532" s="863" t="s">
        <v>1076</v>
      </c>
      <c r="F532" s="864">
        <v>201701</v>
      </c>
      <c r="G532" s="865">
        <v>2616.09</v>
      </c>
      <c r="H532" s="112">
        <f t="shared" si="23"/>
        <v>2017</v>
      </c>
      <c r="I532" s="312">
        <v>20</v>
      </c>
      <c r="J532" s="107" t="s">
        <v>189</v>
      </c>
      <c r="K532" s="103"/>
      <c r="M532" s="559">
        <f t="shared" si="24"/>
        <v>3401</v>
      </c>
    </row>
    <row r="533" spans="2:19" s="559" customFormat="1">
      <c r="B533" s="863" t="s">
        <v>318</v>
      </c>
      <c r="C533" s="864" t="s">
        <v>1053</v>
      </c>
      <c r="D533" s="423" t="s">
        <v>331</v>
      </c>
      <c r="E533" s="863" t="s">
        <v>1054</v>
      </c>
      <c r="F533" s="864">
        <v>201701</v>
      </c>
      <c r="G533" s="865">
        <v>-2.88</v>
      </c>
      <c r="H533" s="112">
        <f t="shared" si="23"/>
        <v>2017</v>
      </c>
      <c r="I533" s="312">
        <v>20</v>
      </c>
      <c r="J533" s="107" t="s">
        <v>189</v>
      </c>
      <c r="K533" s="103"/>
      <c r="M533" s="559">
        <f t="shared" si="24"/>
        <v>3401</v>
      </c>
    </row>
    <row r="534" spans="2:19" s="559" customFormat="1">
      <c r="B534" s="863" t="s">
        <v>318</v>
      </c>
      <c r="C534" s="864" t="s">
        <v>1142</v>
      </c>
      <c r="D534" s="423" t="s">
        <v>331</v>
      </c>
      <c r="E534" s="863" t="s">
        <v>1143</v>
      </c>
      <c r="F534" s="864">
        <v>201701</v>
      </c>
      <c r="G534" s="865">
        <v>710.48</v>
      </c>
      <c r="H534" s="112">
        <f t="shared" si="23"/>
        <v>2017</v>
      </c>
      <c r="I534" s="312">
        <v>20</v>
      </c>
      <c r="J534" s="107" t="s">
        <v>189</v>
      </c>
      <c r="K534" s="103"/>
      <c r="M534" s="559">
        <f t="shared" si="24"/>
        <v>3401</v>
      </c>
    </row>
    <row r="535" spans="2:19" s="559" customFormat="1">
      <c r="B535" s="863" t="s">
        <v>318</v>
      </c>
      <c r="C535" s="864" t="s">
        <v>1142</v>
      </c>
      <c r="D535" s="423" t="s">
        <v>331</v>
      </c>
      <c r="E535" s="863" t="s">
        <v>1143</v>
      </c>
      <c r="F535" s="864">
        <v>201701</v>
      </c>
      <c r="G535" s="865">
        <v>25182.32</v>
      </c>
      <c r="H535" s="112">
        <f t="shared" si="23"/>
        <v>2017</v>
      </c>
      <c r="I535" s="312">
        <v>20</v>
      </c>
      <c r="J535" s="107" t="s">
        <v>189</v>
      </c>
      <c r="K535" s="103"/>
      <c r="M535" s="559">
        <f t="shared" si="24"/>
        <v>3401</v>
      </c>
    </row>
    <row r="536" spans="2:19" s="559" customFormat="1">
      <c r="B536" s="863"/>
      <c r="C536" s="864"/>
      <c r="D536" s="423"/>
      <c r="E536" s="863"/>
      <c r="F536" s="864"/>
      <c r="G536" s="865"/>
      <c r="H536" s="112"/>
      <c r="I536" s="312"/>
      <c r="J536" s="107"/>
      <c r="K536" s="103"/>
    </row>
    <row r="537" spans="2:19">
      <c r="B537" s="521"/>
      <c r="C537" s="522"/>
      <c r="D537" s="423"/>
      <c r="E537" s="521"/>
      <c r="F537" s="522"/>
      <c r="G537" s="523"/>
      <c r="H537" s="112">
        <f t="shared" si="21"/>
        <v>2016</v>
      </c>
      <c r="I537" s="312">
        <v>20</v>
      </c>
      <c r="J537" s="107" t="s">
        <v>189</v>
      </c>
      <c r="K537" s="103"/>
      <c r="L537" s="559"/>
      <c r="M537" s="559" t="b">
        <f t="shared" si="22"/>
        <v>0</v>
      </c>
      <c r="O537" s="101"/>
      <c r="P537" s="101"/>
      <c r="Q537" s="101"/>
      <c r="R537" s="101"/>
    </row>
    <row r="538" spans="2:19" s="559" customFormat="1" ht="15">
      <c r="B538" s="521"/>
      <c r="C538" s="424"/>
      <c r="D538" s="490"/>
      <c r="E538" s="745"/>
      <c r="F538" s="522"/>
      <c r="G538" s="746"/>
      <c r="H538" s="112">
        <f t="shared" ref="H538:H540" si="25">IF(F538&gt;$H$5,0+2017,0+2016)</f>
        <v>2016</v>
      </c>
      <c r="I538" s="312">
        <v>20</v>
      </c>
      <c r="J538" s="107" t="s">
        <v>189</v>
      </c>
      <c r="K538" s="103"/>
    </row>
    <row r="539" spans="2:19" s="559" customFormat="1" ht="15">
      <c r="B539" s="426"/>
      <c r="C539" s="435"/>
      <c r="D539" s="752" t="s">
        <v>331</v>
      </c>
      <c r="E539" s="426"/>
      <c r="F539" s="435">
        <v>201701</v>
      </c>
      <c r="G539" s="427">
        <f>+Additions!F1089</f>
        <v>0</v>
      </c>
      <c r="H539" s="112">
        <f t="shared" si="25"/>
        <v>2017</v>
      </c>
      <c r="I539" s="312">
        <v>20</v>
      </c>
      <c r="J539" s="107" t="s">
        <v>189</v>
      </c>
      <c r="K539" s="103"/>
      <c r="M539" s="559">
        <f t="shared" ref="M539:M540" si="26">IF(LEFT(D539,2)="34",3401,IF(LEFT(D539,2)="33",3301))</f>
        <v>3401</v>
      </c>
    </row>
    <row r="540" spans="2:19">
      <c r="B540" s="426"/>
      <c r="C540" s="579"/>
      <c r="D540" s="579" t="s">
        <v>331</v>
      </c>
      <c r="E540" s="598"/>
      <c r="F540" s="558">
        <v>201702</v>
      </c>
      <c r="G540" s="427">
        <f>+Additions!F1090</f>
        <v>550000</v>
      </c>
      <c r="H540" s="112">
        <f t="shared" si="25"/>
        <v>2017</v>
      </c>
      <c r="I540" s="312">
        <v>20</v>
      </c>
      <c r="J540" s="107" t="s">
        <v>189</v>
      </c>
      <c r="K540" s="103"/>
      <c r="L540" s="559"/>
      <c r="M540" s="559">
        <f t="shared" si="26"/>
        <v>3401</v>
      </c>
      <c r="O540" s="101"/>
      <c r="P540" s="101"/>
      <c r="Q540" s="101"/>
      <c r="R540" s="101"/>
    </row>
    <row r="541" spans="2:19">
      <c r="B541" s="173"/>
      <c r="C541" s="161"/>
      <c r="D541" s="162"/>
      <c r="E541" s="127"/>
      <c r="F541" s="174"/>
      <c r="G541" s="175"/>
      <c r="H541" s="311"/>
      <c r="I541" s="312"/>
      <c r="J541" s="82"/>
      <c r="L541" s="318"/>
      <c r="S541" s="102"/>
    </row>
    <row r="542" spans="2:19">
      <c r="C542" s="102"/>
      <c r="G542" s="232">
        <f>SUM(G7:G541)</f>
        <v>5871837.4999999963</v>
      </c>
      <c r="H542" s="414" t="s">
        <v>578</v>
      </c>
      <c r="S542" s="102"/>
    </row>
    <row r="543" spans="2:19">
      <c r="C543" s="102"/>
      <c r="S543" s="102"/>
    </row>
    <row r="544" spans="2:19">
      <c r="C544" s="102"/>
      <c r="G544" s="105">
        <f>+'def tax - bonus codes'!G571</f>
        <v>9155588.8499999996</v>
      </c>
      <c r="H544" s="414" t="s">
        <v>579</v>
      </c>
      <c r="S544" s="102"/>
    </row>
    <row r="545" spans="3:19">
      <c r="C545" s="102"/>
      <c r="E545" s="105"/>
      <c r="H545" s="414"/>
      <c r="S545" s="102"/>
    </row>
    <row r="546" spans="3:19">
      <c r="C546" s="102"/>
      <c r="G546" s="232">
        <f>+G544+G542</f>
        <v>15027426.349999996</v>
      </c>
      <c r="H546" s="414" t="s">
        <v>580</v>
      </c>
      <c r="S546" s="102"/>
    </row>
    <row r="547" spans="3:19">
      <c r="C547" s="102"/>
      <c r="H547" s="414"/>
      <c r="S547" s="102"/>
    </row>
    <row r="548" spans="3:19">
      <c r="C548" s="102"/>
      <c r="G548" s="105">
        <f>+Additions!F1107</f>
        <v>15027426.350000001</v>
      </c>
      <c r="H548" s="414" t="s">
        <v>581</v>
      </c>
      <c r="S548" s="102"/>
    </row>
    <row r="549" spans="3:19">
      <c r="C549" s="102"/>
      <c r="H549" s="414"/>
      <c r="S549" s="102"/>
    </row>
    <row r="550" spans="3:19">
      <c r="C550" s="102"/>
      <c r="G550" s="123">
        <f>+G548-G546</f>
        <v>0</v>
      </c>
      <c r="H550" s="414" t="s">
        <v>582</v>
      </c>
      <c r="S550" s="102"/>
    </row>
    <row r="551" spans="3:19">
      <c r="C551" s="102"/>
      <c r="H551" s="414"/>
      <c r="S551" s="102"/>
    </row>
    <row r="552" spans="3:19">
      <c r="C552" s="102"/>
      <c r="H552" s="414"/>
      <c r="S552" s="102"/>
    </row>
    <row r="553" spans="3:19">
      <c r="C553" s="102"/>
      <c r="G553" s="105"/>
      <c r="H553" s="414"/>
      <c r="S553" s="102"/>
    </row>
    <row r="554" spans="3:19">
      <c r="C554" s="102"/>
      <c r="G554" s="105"/>
      <c r="S554" s="102"/>
    </row>
    <row r="555" spans="3:19">
      <c r="C555" s="102"/>
      <c r="G555" s="105"/>
      <c r="S555" s="102"/>
    </row>
    <row r="556" spans="3:19">
      <c r="C556" s="102"/>
      <c r="G556" s="105"/>
      <c r="S556" s="102"/>
    </row>
    <row r="557" spans="3:19">
      <c r="C557" s="102"/>
      <c r="S557" s="102"/>
    </row>
    <row r="558" spans="3:19">
      <c r="C558" s="102"/>
      <c r="S558" s="102"/>
    </row>
    <row r="559" spans="3:19">
      <c r="C559" s="102"/>
      <c r="S559" s="102"/>
    </row>
    <row r="560" spans="3:19">
      <c r="C560" s="102"/>
      <c r="S560" s="102"/>
    </row>
    <row r="561" spans="3:19">
      <c r="C561" s="102"/>
      <c r="S561" s="102"/>
    </row>
    <row r="562" spans="3:19">
      <c r="C562" s="102"/>
      <c r="S562" s="102"/>
    </row>
    <row r="563" spans="3:19">
      <c r="C563" s="102"/>
      <c r="S563" s="102"/>
    </row>
    <row r="564" spans="3:19">
      <c r="C564" s="102"/>
      <c r="S564" s="102"/>
    </row>
    <row r="565" spans="3:19">
      <c r="C565" s="102"/>
      <c r="S565" s="102"/>
    </row>
    <row r="566" spans="3:19">
      <c r="C566" s="102"/>
      <c r="S566" s="102"/>
    </row>
    <row r="567" spans="3:19">
      <c r="C567" s="102"/>
      <c r="S567" s="102"/>
    </row>
    <row r="568" spans="3:19">
      <c r="C568" s="102"/>
      <c r="S568" s="102"/>
    </row>
    <row r="569" spans="3:19">
      <c r="C569" s="102"/>
      <c r="S569" s="102"/>
    </row>
    <row r="570" spans="3:19">
      <c r="C570" s="102"/>
      <c r="S570" s="102"/>
    </row>
    <row r="571" spans="3:19">
      <c r="C571" s="102"/>
      <c r="S571" s="102"/>
    </row>
    <row r="572" spans="3:19">
      <c r="C572" s="102"/>
      <c r="S572" s="102"/>
    </row>
    <row r="573" spans="3:19">
      <c r="C573" s="102"/>
      <c r="S573" s="102"/>
    </row>
    <row r="574" spans="3:19">
      <c r="C574" s="102"/>
      <c r="S574" s="102"/>
    </row>
    <row r="575" spans="3:19">
      <c r="C575" s="102"/>
      <c r="S575" s="102"/>
    </row>
    <row r="576" spans="3:19">
      <c r="C576" s="102"/>
      <c r="S576" s="102"/>
    </row>
    <row r="577" spans="3:19">
      <c r="C577" s="102"/>
      <c r="S577" s="102"/>
    </row>
    <row r="578" spans="3:19">
      <c r="C578" s="102"/>
      <c r="S578" s="102"/>
    </row>
    <row r="579" spans="3:19">
      <c r="C579" s="102"/>
      <c r="S579" s="102"/>
    </row>
    <row r="580" spans="3:19">
      <c r="C580" s="102"/>
      <c r="S580" s="102"/>
    </row>
    <row r="581" spans="3:19">
      <c r="C581" s="102"/>
      <c r="S581" s="102"/>
    </row>
    <row r="582" spans="3:19">
      <c r="C582" s="102"/>
      <c r="S582" s="102"/>
    </row>
    <row r="583" spans="3:19">
      <c r="C583" s="102"/>
      <c r="S583" s="102"/>
    </row>
    <row r="584" spans="3:19">
      <c r="C584" s="102"/>
      <c r="S584" s="102"/>
    </row>
    <row r="585" spans="3:19">
      <c r="C585" s="102"/>
      <c r="S585" s="102"/>
    </row>
    <row r="586" spans="3:19">
      <c r="C586" s="102"/>
      <c r="S586" s="102"/>
    </row>
    <row r="587" spans="3:19">
      <c r="C587" s="102"/>
      <c r="S587" s="102"/>
    </row>
    <row r="588" spans="3:19">
      <c r="C588" s="102"/>
      <c r="S588" s="102"/>
    </row>
    <row r="589" spans="3:19">
      <c r="C589" s="102"/>
      <c r="S589" s="102"/>
    </row>
    <row r="590" spans="3:19">
      <c r="C590" s="102"/>
      <c r="S590" s="102"/>
    </row>
    <row r="591" spans="3:19">
      <c r="C591" s="102"/>
      <c r="S591" s="102"/>
    </row>
    <row r="592" spans="3:19">
      <c r="C592" s="102"/>
      <c r="S592" s="121"/>
    </row>
    <row r="593" spans="3:19">
      <c r="C593" s="102"/>
      <c r="S593" s="171"/>
    </row>
    <row r="594" spans="3:19">
      <c r="C594" s="102"/>
      <c r="S594" s="121"/>
    </row>
    <row r="595" spans="3:19">
      <c r="C595" s="102"/>
      <c r="S595" s="171"/>
    </row>
    <row r="596" spans="3:19">
      <c r="C596" s="102"/>
    </row>
    <row r="597" spans="3:19">
      <c r="C597" s="102"/>
    </row>
    <row r="598" spans="3:19">
      <c r="C598" s="102"/>
    </row>
    <row r="599" spans="3:19">
      <c r="C599" s="102"/>
    </row>
    <row r="600" spans="3:19">
      <c r="C600" s="102"/>
    </row>
    <row r="601" spans="3:19">
      <c r="C601" s="102"/>
    </row>
    <row r="602" spans="3:19">
      <c r="C602" s="102"/>
    </row>
    <row r="603" spans="3:19">
      <c r="C603" s="102"/>
    </row>
    <row r="604" spans="3:19">
      <c r="C604" s="102"/>
    </row>
    <row r="605" spans="3:19">
      <c r="C605" s="102"/>
    </row>
    <row r="606" spans="3:19">
      <c r="C606" s="102"/>
    </row>
    <row r="607" spans="3:19">
      <c r="C607" s="102"/>
    </row>
    <row r="608" spans="3:19">
      <c r="C608" s="102"/>
    </row>
    <row r="609" spans="3:3">
      <c r="C609" s="102"/>
    </row>
    <row r="610" spans="3:3">
      <c r="C610" s="102"/>
    </row>
    <row r="611" spans="3:3">
      <c r="C611" s="102"/>
    </row>
    <row r="612" spans="3:3">
      <c r="C612" s="102"/>
    </row>
    <row r="613" spans="3:3">
      <c r="C613" s="102"/>
    </row>
    <row r="614" spans="3:3">
      <c r="C614" s="102"/>
    </row>
    <row r="615" spans="3:3">
      <c r="C615" s="102"/>
    </row>
    <row r="616" spans="3:3">
      <c r="C616" s="102"/>
    </row>
    <row r="617" spans="3:3">
      <c r="C617" s="102"/>
    </row>
    <row r="618" spans="3:3">
      <c r="C618" s="102"/>
    </row>
    <row r="619" spans="3:3">
      <c r="C619" s="102"/>
    </row>
    <row r="620" spans="3:3">
      <c r="C620" s="102"/>
    </row>
    <row r="621" spans="3:3">
      <c r="C621" s="102"/>
    </row>
    <row r="622" spans="3:3">
      <c r="C622" s="102"/>
    </row>
    <row r="623" spans="3:3">
      <c r="C623" s="102"/>
    </row>
    <row r="624" spans="3:3">
      <c r="C624" s="102"/>
    </row>
    <row r="625" spans="3:3">
      <c r="C625" s="102"/>
    </row>
    <row r="626" spans="3:3">
      <c r="C626" s="102"/>
    </row>
    <row r="627" spans="3:3">
      <c r="C627" s="102"/>
    </row>
    <row r="628" spans="3:3">
      <c r="C628" s="102"/>
    </row>
    <row r="629" spans="3:3">
      <c r="C629" s="102"/>
    </row>
    <row r="630" spans="3:3">
      <c r="C630" s="102"/>
    </row>
    <row r="631" spans="3:3">
      <c r="C631" s="102"/>
    </row>
    <row r="632" spans="3:3">
      <c r="C632" s="102"/>
    </row>
    <row r="633" spans="3:3">
      <c r="C633" s="102"/>
    </row>
    <row r="634" spans="3:3">
      <c r="C634" s="102"/>
    </row>
    <row r="635" spans="3:3">
      <c r="C635" s="102"/>
    </row>
    <row r="636" spans="3:3">
      <c r="C636" s="102"/>
    </row>
    <row r="637" spans="3:3">
      <c r="C637" s="102"/>
    </row>
    <row r="638" spans="3:3">
      <c r="C638" s="102"/>
    </row>
    <row r="639" spans="3:3">
      <c r="C639" s="102"/>
    </row>
    <row r="640" spans="3:3">
      <c r="C640" s="102"/>
    </row>
    <row r="641" spans="3:3">
      <c r="C641" s="102"/>
    </row>
    <row r="642" spans="3:3">
      <c r="C642" s="102"/>
    </row>
    <row r="643" spans="3:3">
      <c r="C643" s="102"/>
    </row>
    <row r="644" spans="3:3">
      <c r="C644" s="102"/>
    </row>
    <row r="645" spans="3:3">
      <c r="C645" s="102"/>
    </row>
    <row r="646" spans="3:3">
      <c r="C646" s="102"/>
    </row>
    <row r="647" spans="3:3">
      <c r="C647" s="102"/>
    </row>
    <row r="648" spans="3:3">
      <c r="C648" s="102"/>
    </row>
    <row r="649" spans="3:3">
      <c r="C649" s="102"/>
    </row>
    <row r="650" spans="3:3">
      <c r="C650" s="102"/>
    </row>
    <row r="651" spans="3:3">
      <c r="C651" s="102"/>
    </row>
    <row r="652" spans="3:3">
      <c r="C652" s="102"/>
    </row>
    <row r="653" spans="3:3">
      <c r="C653" s="102"/>
    </row>
    <row r="654" spans="3:3">
      <c r="C654" s="102"/>
    </row>
    <row r="655" spans="3:3">
      <c r="C655" s="102"/>
    </row>
    <row r="656" spans="3:3">
      <c r="C656" s="102"/>
    </row>
    <row r="657" spans="3:3">
      <c r="C657" s="102"/>
    </row>
    <row r="658" spans="3:3">
      <c r="C658" s="102"/>
    </row>
    <row r="659" spans="3:3">
      <c r="C659" s="102"/>
    </row>
    <row r="660" spans="3:3">
      <c r="C660" s="102"/>
    </row>
    <row r="661" spans="3:3">
      <c r="C661" s="102"/>
    </row>
    <row r="662" spans="3:3">
      <c r="C662" s="102"/>
    </row>
    <row r="663" spans="3:3">
      <c r="C663" s="102"/>
    </row>
    <row r="664" spans="3:3">
      <c r="C664" s="102"/>
    </row>
    <row r="665" spans="3:3">
      <c r="C665" s="102"/>
    </row>
    <row r="666" spans="3:3">
      <c r="C666" s="102"/>
    </row>
    <row r="667" spans="3:3">
      <c r="C667" s="102"/>
    </row>
    <row r="668" spans="3:3">
      <c r="C668" s="102"/>
    </row>
    <row r="669" spans="3:3">
      <c r="C669" s="102"/>
    </row>
    <row r="670" spans="3:3">
      <c r="C670" s="102"/>
    </row>
    <row r="671" spans="3:3">
      <c r="C671" s="102"/>
    </row>
    <row r="672" spans="3:3">
      <c r="C672" s="102"/>
    </row>
    <row r="673" spans="3:3">
      <c r="C673" s="102"/>
    </row>
    <row r="674" spans="3:3">
      <c r="C674" s="102"/>
    </row>
    <row r="675" spans="3:3">
      <c r="C675" s="102"/>
    </row>
    <row r="676" spans="3:3">
      <c r="C676" s="102"/>
    </row>
    <row r="677" spans="3:3">
      <c r="C677" s="102"/>
    </row>
    <row r="678" spans="3:3">
      <c r="C678" s="102"/>
    </row>
    <row r="679" spans="3:3">
      <c r="C679" s="102"/>
    </row>
    <row r="680" spans="3:3">
      <c r="C680" s="102"/>
    </row>
    <row r="681" spans="3:3">
      <c r="C681" s="102"/>
    </row>
    <row r="682" spans="3:3">
      <c r="C682" s="102"/>
    </row>
    <row r="683" spans="3:3">
      <c r="C683" s="102"/>
    </row>
    <row r="684" spans="3:3">
      <c r="C684" s="102"/>
    </row>
    <row r="685" spans="3:3">
      <c r="C685" s="102"/>
    </row>
    <row r="686" spans="3:3">
      <c r="C686" s="102"/>
    </row>
    <row r="687" spans="3:3">
      <c r="C687" s="102"/>
    </row>
    <row r="688" spans="3:3">
      <c r="C688" s="102"/>
    </row>
    <row r="689" spans="3:3">
      <c r="C689" s="102"/>
    </row>
    <row r="690" spans="3:3">
      <c r="C690" s="102"/>
    </row>
    <row r="691" spans="3:3">
      <c r="C691" s="102"/>
    </row>
    <row r="692" spans="3:3">
      <c r="C692" s="102"/>
    </row>
    <row r="693" spans="3:3">
      <c r="C693" s="102"/>
    </row>
    <row r="694" spans="3:3">
      <c r="C694" s="102"/>
    </row>
    <row r="695" spans="3:3">
      <c r="C695" s="102"/>
    </row>
    <row r="696" spans="3:3">
      <c r="C696" s="102"/>
    </row>
    <row r="697" spans="3:3">
      <c r="C697" s="102"/>
    </row>
    <row r="698" spans="3:3">
      <c r="C698" s="102"/>
    </row>
    <row r="699" spans="3:3">
      <c r="C699" s="102"/>
    </row>
    <row r="700" spans="3:3">
      <c r="C700" s="102"/>
    </row>
    <row r="701" spans="3:3">
      <c r="C701" s="102"/>
    </row>
    <row r="702" spans="3:3">
      <c r="C702" s="102"/>
    </row>
    <row r="703" spans="3:3">
      <c r="C703" s="102"/>
    </row>
    <row r="704" spans="3:3">
      <c r="C704" s="102"/>
    </row>
    <row r="705" spans="3:3">
      <c r="C705" s="102"/>
    </row>
    <row r="706" spans="3:3">
      <c r="C706" s="102"/>
    </row>
    <row r="707" spans="3:3">
      <c r="C707" s="102"/>
    </row>
    <row r="708" spans="3:3">
      <c r="C708" s="102"/>
    </row>
    <row r="709" spans="3:3">
      <c r="C709" s="102"/>
    </row>
    <row r="710" spans="3:3">
      <c r="C710" s="102"/>
    </row>
    <row r="711" spans="3:3">
      <c r="C711" s="102"/>
    </row>
    <row r="712" spans="3:3">
      <c r="C712" s="102"/>
    </row>
    <row r="713" spans="3:3">
      <c r="C713" s="102"/>
    </row>
    <row r="714" spans="3:3">
      <c r="C714" s="102"/>
    </row>
    <row r="715" spans="3:3">
      <c r="C715" s="102"/>
    </row>
    <row r="716" spans="3:3">
      <c r="C716" s="102"/>
    </row>
    <row r="717" spans="3:3">
      <c r="C717" s="102"/>
    </row>
    <row r="718" spans="3:3">
      <c r="C718" s="102"/>
    </row>
    <row r="719" spans="3:3">
      <c r="C719" s="102"/>
    </row>
    <row r="720" spans="3:3">
      <c r="C720" s="102"/>
    </row>
    <row r="721" spans="3:3">
      <c r="C721" s="102"/>
    </row>
    <row r="722" spans="3:3">
      <c r="C722" s="102"/>
    </row>
    <row r="723" spans="3:3">
      <c r="C723" s="102"/>
    </row>
    <row r="724" spans="3:3">
      <c r="C724" s="102"/>
    </row>
    <row r="725" spans="3:3">
      <c r="C725" s="102"/>
    </row>
    <row r="726" spans="3:3">
      <c r="C726" s="102"/>
    </row>
    <row r="727" spans="3:3">
      <c r="C727" s="102"/>
    </row>
    <row r="728" spans="3:3">
      <c r="C728" s="102"/>
    </row>
    <row r="729" spans="3:3">
      <c r="C729" s="102"/>
    </row>
    <row r="730" spans="3:3">
      <c r="C730" s="102"/>
    </row>
    <row r="731" spans="3:3">
      <c r="C731" s="102"/>
    </row>
    <row r="732" spans="3:3">
      <c r="C732" s="102"/>
    </row>
    <row r="733" spans="3:3">
      <c r="C733" s="102"/>
    </row>
    <row r="734" spans="3:3">
      <c r="C734" s="102"/>
    </row>
    <row r="735" spans="3:3">
      <c r="C735" s="102"/>
    </row>
    <row r="736" spans="3:3">
      <c r="C736" s="102"/>
    </row>
    <row r="737" spans="3:3">
      <c r="C737" s="102"/>
    </row>
    <row r="738" spans="3:3">
      <c r="C738" s="102"/>
    </row>
    <row r="739" spans="3:3">
      <c r="C739" s="102"/>
    </row>
    <row r="740" spans="3:3">
      <c r="C740" s="102"/>
    </row>
    <row r="741" spans="3:3">
      <c r="C741" s="102"/>
    </row>
    <row r="742" spans="3:3">
      <c r="C742" s="102"/>
    </row>
    <row r="743" spans="3:3">
      <c r="C743" s="102"/>
    </row>
    <row r="744" spans="3:3">
      <c r="C744" s="102"/>
    </row>
    <row r="745" spans="3:3">
      <c r="C745" s="102"/>
    </row>
    <row r="746" spans="3:3">
      <c r="C746" s="102"/>
    </row>
    <row r="747" spans="3:3">
      <c r="C747" s="102"/>
    </row>
    <row r="748" spans="3:3">
      <c r="C748" s="102"/>
    </row>
    <row r="749" spans="3:3">
      <c r="C749" s="102"/>
    </row>
    <row r="750" spans="3:3">
      <c r="C750" s="102"/>
    </row>
    <row r="751" spans="3:3">
      <c r="C751" s="102"/>
    </row>
    <row r="752" spans="3:3">
      <c r="C752" s="102"/>
    </row>
    <row r="753" spans="3:3">
      <c r="C753" s="102"/>
    </row>
    <row r="754" spans="3:3">
      <c r="C754" s="102"/>
    </row>
    <row r="755" spans="3:3">
      <c r="C755" s="102"/>
    </row>
    <row r="756" spans="3:3">
      <c r="C756" s="102"/>
    </row>
    <row r="757" spans="3:3">
      <c r="C757" s="102"/>
    </row>
    <row r="758" spans="3:3">
      <c r="C758" s="102"/>
    </row>
    <row r="759" spans="3:3">
      <c r="C759" s="102"/>
    </row>
    <row r="760" spans="3:3">
      <c r="C760" s="102"/>
    </row>
    <row r="761" spans="3:3">
      <c r="C761" s="102"/>
    </row>
    <row r="762" spans="3:3">
      <c r="C762" s="102"/>
    </row>
    <row r="763" spans="3:3">
      <c r="C763" s="102"/>
    </row>
    <row r="764" spans="3:3">
      <c r="C764" s="102"/>
    </row>
    <row r="765" spans="3:3">
      <c r="C765" s="102"/>
    </row>
    <row r="766" spans="3:3">
      <c r="C766" s="102"/>
    </row>
    <row r="767" spans="3:3">
      <c r="C767" s="102"/>
    </row>
    <row r="768" spans="3:3">
      <c r="C768" s="102"/>
    </row>
    <row r="769" spans="3:3">
      <c r="C769" s="102"/>
    </row>
    <row r="770" spans="3:3">
      <c r="C770" s="102"/>
    </row>
    <row r="771" spans="3:3">
      <c r="C771" s="102"/>
    </row>
    <row r="772" spans="3:3">
      <c r="C772" s="102"/>
    </row>
    <row r="773" spans="3:3">
      <c r="C773" s="102"/>
    </row>
    <row r="774" spans="3:3">
      <c r="C774" s="102"/>
    </row>
    <row r="775" spans="3:3">
      <c r="C775" s="102"/>
    </row>
    <row r="776" spans="3:3">
      <c r="C776" s="102"/>
    </row>
    <row r="777" spans="3:3">
      <c r="C777" s="102"/>
    </row>
    <row r="778" spans="3:3">
      <c r="C778" s="102"/>
    </row>
    <row r="779" spans="3:3">
      <c r="C779" s="102"/>
    </row>
    <row r="780" spans="3:3">
      <c r="C780" s="102"/>
    </row>
    <row r="781" spans="3:3">
      <c r="C781" s="102"/>
    </row>
    <row r="782" spans="3:3">
      <c r="C782" s="102"/>
    </row>
    <row r="783" spans="3:3">
      <c r="C783" s="102"/>
    </row>
    <row r="784" spans="3:3">
      <c r="C784" s="102"/>
    </row>
    <row r="785" spans="3:3">
      <c r="C785" s="102"/>
    </row>
    <row r="786" spans="3:3">
      <c r="C786" s="102"/>
    </row>
    <row r="787" spans="3:3">
      <c r="C787" s="102"/>
    </row>
    <row r="788" spans="3:3">
      <c r="C788" s="102"/>
    </row>
    <row r="789" spans="3:3">
      <c r="C789" s="102"/>
    </row>
    <row r="790" spans="3:3">
      <c r="C790" s="102"/>
    </row>
    <row r="791" spans="3:3">
      <c r="C791" s="102"/>
    </row>
    <row r="792" spans="3:3">
      <c r="C792" s="102"/>
    </row>
    <row r="793" spans="3:3">
      <c r="C793" s="102"/>
    </row>
    <row r="794" spans="3:3">
      <c r="C794" s="102"/>
    </row>
    <row r="795" spans="3:3">
      <c r="C795" s="102"/>
    </row>
    <row r="796" spans="3:3">
      <c r="C796" s="102"/>
    </row>
    <row r="797" spans="3:3">
      <c r="C797" s="102"/>
    </row>
    <row r="798" spans="3:3">
      <c r="C798" s="102"/>
    </row>
    <row r="799" spans="3:3">
      <c r="C799" s="102"/>
    </row>
    <row r="800" spans="3:3">
      <c r="C800" s="102"/>
    </row>
    <row r="801" spans="3:3">
      <c r="C801" s="102"/>
    </row>
    <row r="802" spans="3:3">
      <c r="C802" s="102"/>
    </row>
    <row r="803" spans="3:3">
      <c r="C803" s="102"/>
    </row>
    <row r="804" spans="3:3">
      <c r="C804" s="102"/>
    </row>
    <row r="805" spans="3:3">
      <c r="C805" s="102"/>
    </row>
    <row r="806" spans="3:3">
      <c r="C806" s="102"/>
    </row>
    <row r="807" spans="3:3">
      <c r="C807" s="102"/>
    </row>
    <row r="808" spans="3:3">
      <c r="C808" s="102"/>
    </row>
    <row r="809" spans="3:3">
      <c r="C809" s="102"/>
    </row>
    <row r="810" spans="3:3">
      <c r="C810" s="102"/>
    </row>
    <row r="811" spans="3:3">
      <c r="C811" s="102"/>
    </row>
    <row r="812" spans="3:3">
      <c r="C812" s="102"/>
    </row>
    <row r="813" spans="3:3">
      <c r="C813" s="102"/>
    </row>
    <row r="814" spans="3:3">
      <c r="C814" s="102"/>
    </row>
    <row r="815" spans="3:3">
      <c r="C815" s="102"/>
    </row>
    <row r="816" spans="3:3">
      <c r="C816" s="102"/>
    </row>
    <row r="817" spans="3:3">
      <c r="C817" s="102"/>
    </row>
    <row r="818" spans="3:3">
      <c r="C818" s="102"/>
    </row>
    <row r="819" spans="3:3">
      <c r="C819" s="102"/>
    </row>
    <row r="820" spans="3:3">
      <c r="C820" s="102"/>
    </row>
    <row r="821" spans="3:3">
      <c r="C821" s="102"/>
    </row>
    <row r="822" spans="3:3">
      <c r="C822" s="102"/>
    </row>
    <row r="823" spans="3:3">
      <c r="C823" s="102"/>
    </row>
    <row r="824" spans="3:3">
      <c r="C824" s="102"/>
    </row>
    <row r="825" spans="3:3">
      <c r="C825" s="102"/>
    </row>
    <row r="826" spans="3:3">
      <c r="C826" s="102"/>
    </row>
    <row r="827" spans="3:3">
      <c r="C827" s="102"/>
    </row>
    <row r="828" spans="3:3">
      <c r="C828" s="102"/>
    </row>
    <row r="829" spans="3:3">
      <c r="C829" s="102"/>
    </row>
  </sheetData>
  <phoneticPr fontId="10" type="noConversion"/>
  <pageMargins left="0.5" right="0.5" top="0.5" bottom="0.5" header="0.5" footer="0.5"/>
  <pageSetup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C1123"/>
  <sheetViews>
    <sheetView view="pageBreakPreview" zoomScale="90" zoomScaleNormal="80" zoomScaleSheetLayoutView="90" workbookViewId="0">
      <pane ySplit="4" topLeftCell="A1051" activePane="bottomLeft" state="frozen"/>
      <selection activeCell="B1" sqref="B1"/>
      <selection pane="bottomLeft" activeCell="A1080" sqref="A1080"/>
    </sheetView>
  </sheetViews>
  <sheetFormatPr defaultColWidth="9.140625" defaultRowHeight="12.75"/>
  <cols>
    <col min="1" max="1" width="34.85546875" style="101" customWidth="1"/>
    <col min="2" max="2" width="11.140625" style="101" customWidth="1"/>
    <col min="3" max="3" width="10.140625" style="101" customWidth="1"/>
    <col min="4" max="4" width="41.85546875" style="102" bestFit="1" customWidth="1"/>
    <col min="5" max="5" width="14" style="152" customWidth="1"/>
    <col min="6" max="6" width="17.28515625" style="101" customWidth="1"/>
    <col min="7" max="7" width="10.42578125" style="153" customWidth="1"/>
    <col min="8" max="8" width="11.140625" style="101" customWidth="1"/>
    <col min="9" max="9" width="16.42578125" style="101" customWidth="1"/>
    <col min="10" max="10" width="15" style="101" customWidth="1"/>
    <col min="11" max="12" width="9.140625" style="101"/>
    <col min="13" max="13" width="12.140625" style="101" bestFit="1" customWidth="1"/>
    <col min="14" max="14" width="9.140625" style="101"/>
    <col min="15" max="15" width="10.42578125" style="101" bestFit="1" customWidth="1"/>
    <col min="16" max="16" width="9.140625" style="101"/>
    <col min="17" max="17" width="14.85546875" style="101" customWidth="1"/>
    <col min="18" max="22" width="9.140625" style="101"/>
    <col min="23" max="23" width="33.28515625" style="101" bestFit="1" customWidth="1"/>
    <col min="24" max="16384" width="9.140625" style="101"/>
  </cols>
  <sheetData>
    <row r="1" spans="1:19">
      <c r="A1" s="67" t="s">
        <v>85</v>
      </c>
      <c r="Q1" s="154">
        <v>201609</v>
      </c>
    </row>
    <row r="3" spans="1:19">
      <c r="A3" s="81" t="s">
        <v>86</v>
      </c>
      <c r="B3" s="81" t="s">
        <v>87</v>
      </c>
      <c r="C3" s="81" t="s">
        <v>88</v>
      </c>
      <c r="D3" s="81"/>
      <c r="E3" s="146" t="s">
        <v>89</v>
      </c>
      <c r="F3" s="81" t="s">
        <v>90</v>
      </c>
      <c r="G3" s="147"/>
      <c r="H3" s="81" t="s">
        <v>91</v>
      </c>
      <c r="I3" s="81" t="s">
        <v>92</v>
      </c>
      <c r="J3" s="81" t="s">
        <v>93</v>
      </c>
      <c r="Q3" s="101" t="s">
        <v>214</v>
      </c>
    </row>
    <row r="4" spans="1:19">
      <c r="A4" s="86" t="s">
        <v>94</v>
      </c>
      <c r="B4" s="86" t="s">
        <v>95</v>
      </c>
      <c r="C4" s="86" t="s">
        <v>96</v>
      </c>
      <c r="D4" s="86" t="s">
        <v>97</v>
      </c>
      <c r="E4" s="148" t="s">
        <v>98</v>
      </c>
      <c r="F4" s="86" t="s">
        <v>99</v>
      </c>
      <c r="G4" s="149" t="s">
        <v>100</v>
      </c>
      <c r="H4" s="86" t="s">
        <v>101</v>
      </c>
      <c r="I4" s="86" t="s">
        <v>93</v>
      </c>
      <c r="J4" s="86" t="s">
        <v>102</v>
      </c>
      <c r="Q4" s="101" t="s">
        <v>215</v>
      </c>
    </row>
    <row r="5" spans="1:19">
      <c r="A5" s="332" t="s">
        <v>318</v>
      </c>
      <c r="B5" s="333" t="s">
        <v>320</v>
      </c>
      <c r="C5" s="333" t="s">
        <v>319</v>
      </c>
      <c r="D5" s="332" t="s">
        <v>321</v>
      </c>
      <c r="E5" s="333">
        <v>201611</v>
      </c>
      <c r="F5" s="334">
        <v>10.66</v>
      </c>
      <c r="G5" s="521">
        <f>VLOOKUP(E5,$N$6:$O$49,2,FALSE)</f>
        <v>5.5</v>
      </c>
      <c r="H5" s="336">
        <v>1.3083000000000001E-3</v>
      </c>
      <c r="I5" s="334">
        <f t="shared" ref="I5" si="0">ROUND(F5*G5*H5,2)</f>
        <v>0.08</v>
      </c>
      <c r="J5" s="393">
        <f t="shared" ref="J5" si="1">ROUND(F5*H5*12,2)</f>
        <v>0.17</v>
      </c>
      <c r="N5" s="126" t="s">
        <v>154</v>
      </c>
      <c r="O5" s="126" t="s">
        <v>155</v>
      </c>
      <c r="Q5" s="101">
        <f>IF(E5&lt;=$Q$1,$S$5,$S$6)</f>
        <v>2017</v>
      </c>
      <c r="R5" s="121"/>
      <c r="S5" s="101">
        <v>2016</v>
      </c>
    </row>
    <row r="6" spans="1:19">
      <c r="A6" s="332" t="s">
        <v>318</v>
      </c>
      <c r="B6" s="333" t="s">
        <v>323</v>
      </c>
      <c r="C6" s="423" t="s">
        <v>319</v>
      </c>
      <c r="D6" s="332" t="s">
        <v>324</v>
      </c>
      <c r="E6" s="333">
        <v>201611</v>
      </c>
      <c r="F6" s="334">
        <v>-80.88</v>
      </c>
      <c r="G6" s="521">
        <f t="shared" ref="G6:G69" si="2">VLOOKUP(E6,$N$6:$O$49,2,FALSE)</f>
        <v>5.5</v>
      </c>
      <c r="H6" s="381">
        <v>1.3083000000000001E-3</v>
      </c>
      <c r="I6" s="523">
        <f t="shared" ref="I6:I69" si="3">ROUND(F6*G6*H6,2)</f>
        <v>-0.57999999999999996</v>
      </c>
      <c r="J6" s="448">
        <f t="shared" ref="J6:J69" si="4">ROUND(F6*H6*12,2)</f>
        <v>-1.27</v>
      </c>
      <c r="N6" s="159">
        <v>201309</v>
      </c>
      <c r="O6" s="590">
        <f t="shared" ref="O6:O45" si="5">+O7+1</f>
        <v>43.5</v>
      </c>
      <c r="Q6" s="101">
        <f t="shared" ref="Q6:Q69" si="6">IF(E6&lt;=$Q$1,$S$5,$S$6)</f>
        <v>2017</v>
      </c>
      <c r="S6" s="101">
        <v>2017</v>
      </c>
    </row>
    <row r="7" spans="1:19">
      <c r="A7" s="332" t="s">
        <v>322</v>
      </c>
      <c r="B7" s="333" t="s">
        <v>325</v>
      </c>
      <c r="C7" s="423" t="s">
        <v>319</v>
      </c>
      <c r="D7" s="332" t="s">
        <v>326</v>
      </c>
      <c r="E7" s="333">
        <v>201611</v>
      </c>
      <c r="F7" s="334">
        <v>23.87</v>
      </c>
      <c r="G7" s="521">
        <f t="shared" si="2"/>
        <v>5.5</v>
      </c>
      <c r="H7" s="381">
        <v>1.1999999999999999E-3</v>
      </c>
      <c r="I7" s="523">
        <f t="shared" si="3"/>
        <v>0.16</v>
      </c>
      <c r="J7" s="448">
        <f t="shared" si="4"/>
        <v>0.34</v>
      </c>
      <c r="N7" s="159">
        <v>201310</v>
      </c>
      <c r="O7" s="590">
        <f t="shared" si="5"/>
        <v>42.5</v>
      </c>
      <c r="Q7" s="101">
        <f t="shared" si="6"/>
        <v>2017</v>
      </c>
    </row>
    <row r="8" spans="1:19">
      <c r="A8" s="332" t="s">
        <v>318</v>
      </c>
      <c r="B8" s="333" t="s">
        <v>327</v>
      </c>
      <c r="C8" s="423" t="s">
        <v>319</v>
      </c>
      <c r="D8" s="332" t="s">
        <v>328</v>
      </c>
      <c r="E8" s="333">
        <v>201611</v>
      </c>
      <c r="F8" s="334">
        <v>10481.35</v>
      </c>
      <c r="G8" s="521">
        <f t="shared" si="2"/>
        <v>5.5</v>
      </c>
      <c r="H8" s="381">
        <v>1.3083000000000001E-3</v>
      </c>
      <c r="I8" s="523">
        <f t="shared" si="3"/>
        <v>75.42</v>
      </c>
      <c r="J8" s="448">
        <f t="shared" si="4"/>
        <v>164.55</v>
      </c>
      <c r="N8" s="159">
        <v>201311</v>
      </c>
      <c r="O8" s="590">
        <f t="shared" si="5"/>
        <v>41.5</v>
      </c>
      <c r="Q8" s="101">
        <f t="shared" si="6"/>
        <v>2017</v>
      </c>
    </row>
    <row r="9" spans="1:19">
      <c r="A9" s="332" t="s">
        <v>318</v>
      </c>
      <c r="B9" s="333" t="s">
        <v>941</v>
      </c>
      <c r="C9" s="423" t="s">
        <v>330</v>
      </c>
      <c r="D9" s="332" t="s">
        <v>942</v>
      </c>
      <c r="E9" s="333">
        <v>201611</v>
      </c>
      <c r="F9" s="334">
        <v>308.51</v>
      </c>
      <c r="G9" s="521">
        <f t="shared" si="2"/>
        <v>5.5</v>
      </c>
      <c r="H9" s="381">
        <v>1.3083000000000001E-3</v>
      </c>
      <c r="I9" s="523">
        <f t="shared" si="3"/>
        <v>2.2200000000000002</v>
      </c>
      <c r="J9" s="448">
        <f t="shared" si="4"/>
        <v>4.84</v>
      </c>
      <c r="N9" s="159">
        <v>201312</v>
      </c>
      <c r="O9" s="590">
        <f t="shared" si="5"/>
        <v>40.5</v>
      </c>
      <c r="Q9" s="101">
        <f t="shared" si="6"/>
        <v>2017</v>
      </c>
    </row>
    <row r="10" spans="1:19">
      <c r="A10" s="332" t="s">
        <v>318</v>
      </c>
      <c r="B10" s="333" t="s">
        <v>941</v>
      </c>
      <c r="C10" s="423" t="s">
        <v>330</v>
      </c>
      <c r="D10" s="332" t="s">
        <v>942</v>
      </c>
      <c r="E10" s="333">
        <v>201611</v>
      </c>
      <c r="F10" s="334">
        <v>4410.1499999999996</v>
      </c>
      <c r="G10" s="521">
        <f t="shared" si="2"/>
        <v>5.5</v>
      </c>
      <c r="H10" s="336">
        <v>1.3083000000000001E-3</v>
      </c>
      <c r="I10" s="523">
        <f t="shared" si="3"/>
        <v>31.73</v>
      </c>
      <c r="J10" s="448">
        <f t="shared" si="4"/>
        <v>69.239999999999995</v>
      </c>
      <c r="N10" s="159">
        <v>201401</v>
      </c>
      <c r="O10" s="590">
        <f t="shared" si="5"/>
        <v>39.5</v>
      </c>
      <c r="Q10" s="101">
        <f t="shared" si="6"/>
        <v>2017</v>
      </c>
    </row>
    <row r="11" spans="1:19">
      <c r="A11" s="332" t="s">
        <v>322</v>
      </c>
      <c r="B11" s="333" t="s">
        <v>856</v>
      </c>
      <c r="C11" s="423" t="s">
        <v>330</v>
      </c>
      <c r="D11" s="332" t="s">
        <v>857</v>
      </c>
      <c r="E11" s="333">
        <v>201611</v>
      </c>
      <c r="F11" s="334">
        <v>-0.03</v>
      </c>
      <c r="G11" s="521">
        <f t="shared" si="2"/>
        <v>5.5</v>
      </c>
      <c r="H11" s="336">
        <v>1.1999999999999999E-3</v>
      </c>
      <c r="I11" s="523">
        <f t="shared" si="3"/>
        <v>0</v>
      </c>
      <c r="J11" s="448">
        <f t="shared" si="4"/>
        <v>0</v>
      </c>
      <c r="N11" s="159">
        <v>201402</v>
      </c>
      <c r="O11" s="590">
        <f t="shared" si="5"/>
        <v>38.5</v>
      </c>
      <c r="Q11" s="101">
        <f t="shared" si="6"/>
        <v>2017</v>
      </c>
    </row>
    <row r="12" spans="1:19" ht="15">
      <c r="A12" s="332" t="s">
        <v>318</v>
      </c>
      <c r="B12" s="333" t="s">
        <v>856</v>
      </c>
      <c r="C12" s="424" t="s">
        <v>330</v>
      </c>
      <c r="D12" s="332" t="s">
        <v>857</v>
      </c>
      <c r="E12" s="333">
        <v>201611</v>
      </c>
      <c r="F12" s="334">
        <v>-2.02</v>
      </c>
      <c r="G12" s="521">
        <f t="shared" si="2"/>
        <v>5.5</v>
      </c>
      <c r="H12" s="336">
        <v>1.3083000000000001E-3</v>
      </c>
      <c r="I12" s="523">
        <f t="shared" si="3"/>
        <v>-0.01</v>
      </c>
      <c r="J12" s="448">
        <f t="shared" si="4"/>
        <v>-0.03</v>
      </c>
      <c r="N12" s="159">
        <v>201403</v>
      </c>
      <c r="O12" s="590">
        <f t="shared" si="5"/>
        <v>37.5</v>
      </c>
      <c r="Q12" s="101">
        <f t="shared" si="6"/>
        <v>2017</v>
      </c>
    </row>
    <row r="13" spans="1:19">
      <c r="A13" s="332" t="s">
        <v>318</v>
      </c>
      <c r="B13" s="333" t="s">
        <v>856</v>
      </c>
      <c r="C13" s="423" t="s">
        <v>330</v>
      </c>
      <c r="D13" s="332" t="s">
        <v>857</v>
      </c>
      <c r="E13" s="333">
        <v>201611</v>
      </c>
      <c r="F13" s="334">
        <v>-0.08</v>
      </c>
      <c r="G13" s="521">
        <f t="shared" si="2"/>
        <v>5.5</v>
      </c>
      <c r="H13" s="336">
        <v>1.3083000000000001E-3</v>
      </c>
      <c r="I13" s="523">
        <f t="shared" si="3"/>
        <v>0</v>
      </c>
      <c r="J13" s="448">
        <f t="shared" si="4"/>
        <v>0</v>
      </c>
      <c r="N13" s="159">
        <v>201404</v>
      </c>
      <c r="O13" s="590">
        <f t="shared" si="5"/>
        <v>36.5</v>
      </c>
      <c r="Q13" s="101">
        <f t="shared" si="6"/>
        <v>2017</v>
      </c>
    </row>
    <row r="14" spans="1:19">
      <c r="A14" s="332" t="s">
        <v>318</v>
      </c>
      <c r="B14" s="333" t="s">
        <v>800</v>
      </c>
      <c r="C14" s="423" t="s">
        <v>330</v>
      </c>
      <c r="D14" s="332" t="s">
        <v>830</v>
      </c>
      <c r="E14" s="333">
        <v>201611</v>
      </c>
      <c r="F14" s="334">
        <v>33.28</v>
      </c>
      <c r="G14" s="521">
        <f t="shared" si="2"/>
        <v>5.5</v>
      </c>
      <c r="H14" s="336">
        <v>1.3083000000000001E-3</v>
      </c>
      <c r="I14" s="523">
        <f t="shared" si="3"/>
        <v>0.24</v>
      </c>
      <c r="J14" s="448">
        <f t="shared" si="4"/>
        <v>0.52</v>
      </c>
      <c r="N14" s="159">
        <v>201405</v>
      </c>
      <c r="O14" s="590">
        <f t="shared" si="5"/>
        <v>35.5</v>
      </c>
      <c r="Q14" s="101">
        <f t="shared" si="6"/>
        <v>2017</v>
      </c>
    </row>
    <row r="15" spans="1:19">
      <c r="A15" s="332" t="s">
        <v>318</v>
      </c>
      <c r="B15" s="333" t="s">
        <v>800</v>
      </c>
      <c r="C15" s="423" t="s">
        <v>330</v>
      </c>
      <c r="D15" s="332" t="s">
        <v>830</v>
      </c>
      <c r="E15" s="333">
        <v>201611</v>
      </c>
      <c r="F15" s="334">
        <v>593.77</v>
      </c>
      <c r="G15" s="521">
        <f t="shared" si="2"/>
        <v>5.5</v>
      </c>
      <c r="H15" s="336">
        <v>1.3083000000000001E-3</v>
      </c>
      <c r="I15" s="523">
        <f t="shared" si="3"/>
        <v>4.2699999999999996</v>
      </c>
      <c r="J15" s="448">
        <f t="shared" si="4"/>
        <v>9.32</v>
      </c>
      <c r="N15" s="159">
        <v>201406</v>
      </c>
      <c r="O15" s="590">
        <f t="shared" si="5"/>
        <v>34.5</v>
      </c>
      <c r="Q15" s="101">
        <f t="shared" si="6"/>
        <v>2017</v>
      </c>
    </row>
    <row r="16" spans="1:19" ht="15">
      <c r="A16" s="332" t="s">
        <v>318</v>
      </c>
      <c r="B16" s="333" t="s">
        <v>629</v>
      </c>
      <c r="C16" s="424" t="s">
        <v>330</v>
      </c>
      <c r="D16" s="332" t="s">
        <v>630</v>
      </c>
      <c r="E16" s="333">
        <v>201611</v>
      </c>
      <c r="F16" s="334">
        <v>-0.05</v>
      </c>
      <c r="G16" s="521">
        <f t="shared" si="2"/>
        <v>5.5</v>
      </c>
      <c r="H16" s="336">
        <v>1.3083000000000001E-3</v>
      </c>
      <c r="I16" s="523">
        <f t="shared" si="3"/>
        <v>0</v>
      </c>
      <c r="J16" s="448">
        <f t="shared" si="4"/>
        <v>0</v>
      </c>
      <c r="N16" s="159">
        <v>201407</v>
      </c>
      <c r="O16" s="590">
        <f t="shared" si="5"/>
        <v>33.5</v>
      </c>
      <c r="Q16" s="101">
        <f t="shared" si="6"/>
        <v>2017</v>
      </c>
    </row>
    <row r="17" spans="1:17" ht="15">
      <c r="A17" s="332" t="s">
        <v>318</v>
      </c>
      <c r="B17" s="333" t="s">
        <v>629</v>
      </c>
      <c r="C17" s="424" t="s">
        <v>330</v>
      </c>
      <c r="D17" s="332" t="s">
        <v>630</v>
      </c>
      <c r="E17" s="333">
        <v>201611</v>
      </c>
      <c r="F17" s="334">
        <v>1.46</v>
      </c>
      <c r="G17" s="521">
        <f t="shared" si="2"/>
        <v>5.5</v>
      </c>
      <c r="H17" s="336">
        <v>1.3083000000000001E-3</v>
      </c>
      <c r="I17" s="523">
        <f t="shared" si="3"/>
        <v>0.01</v>
      </c>
      <c r="J17" s="448">
        <f t="shared" si="4"/>
        <v>0.02</v>
      </c>
      <c r="N17" s="159">
        <v>201408</v>
      </c>
      <c r="O17" s="590">
        <f t="shared" si="5"/>
        <v>32.5</v>
      </c>
      <c r="Q17" s="101">
        <f t="shared" si="6"/>
        <v>2017</v>
      </c>
    </row>
    <row r="18" spans="1:17" ht="15">
      <c r="A18" s="332" t="s">
        <v>318</v>
      </c>
      <c r="B18" s="333" t="s">
        <v>805</v>
      </c>
      <c r="C18" s="424" t="s">
        <v>330</v>
      </c>
      <c r="D18" s="332" t="s">
        <v>806</v>
      </c>
      <c r="E18" s="333">
        <v>201611</v>
      </c>
      <c r="F18" s="334">
        <v>-3.13</v>
      </c>
      <c r="G18" s="521">
        <f t="shared" si="2"/>
        <v>5.5</v>
      </c>
      <c r="H18" s="336">
        <v>1.3083000000000001E-3</v>
      </c>
      <c r="I18" s="523">
        <f t="shared" si="3"/>
        <v>-0.02</v>
      </c>
      <c r="J18" s="448">
        <f t="shared" si="4"/>
        <v>-0.05</v>
      </c>
      <c r="N18" s="159">
        <v>201409</v>
      </c>
      <c r="O18" s="590">
        <f t="shared" si="5"/>
        <v>31.5</v>
      </c>
      <c r="Q18" s="101">
        <f t="shared" si="6"/>
        <v>2017</v>
      </c>
    </row>
    <row r="19" spans="1:17">
      <c r="A19" s="332" t="s">
        <v>318</v>
      </c>
      <c r="B19" s="333" t="s">
        <v>805</v>
      </c>
      <c r="C19" s="423" t="s">
        <v>330</v>
      </c>
      <c r="D19" s="332" t="s">
        <v>806</v>
      </c>
      <c r="E19" s="333">
        <v>201611</v>
      </c>
      <c r="F19" s="334">
        <v>-0.35</v>
      </c>
      <c r="G19" s="521">
        <f t="shared" si="2"/>
        <v>5.5</v>
      </c>
      <c r="H19" s="336">
        <v>1.3083000000000001E-3</v>
      </c>
      <c r="I19" s="523">
        <f t="shared" si="3"/>
        <v>0</v>
      </c>
      <c r="J19" s="448">
        <f t="shared" si="4"/>
        <v>-0.01</v>
      </c>
      <c r="N19" s="159">
        <v>201410</v>
      </c>
      <c r="O19" s="590">
        <f t="shared" si="5"/>
        <v>30.5</v>
      </c>
      <c r="Q19" s="101">
        <f t="shared" si="6"/>
        <v>2017</v>
      </c>
    </row>
    <row r="20" spans="1:17" ht="15">
      <c r="A20" s="332" t="s">
        <v>318</v>
      </c>
      <c r="B20" s="333" t="s">
        <v>1067</v>
      </c>
      <c r="C20" s="424" t="s">
        <v>330</v>
      </c>
      <c r="D20" s="332" t="s">
        <v>1068</v>
      </c>
      <c r="E20" s="333">
        <v>201611</v>
      </c>
      <c r="F20" s="334">
        <v>374.9</v>
      </c>
      <c r="G20" s="521">
        <f t="shared" si="2"/>
        <v>5.5</v>
      </c>
      <c r="H20" s="336">
        <v>1.3083000000000001E-3</v>
      </c>
      <c r="I20" s="523">
        <f t="shared" si="3"/>
        <v>2.7</v>
      </c>
      <c r="J20" s="448">
        <f t="shared" si="4"/>
        <v>5.89</v>
      </c>
      <c r="N20" s="159">
        <v>201411</v>
      </c>
      <c r="O20" s="590">
        <f t="shared" si="5"/>
        <v>29.5</v>
      </c>
      <c r="Q20" s="101">
        <f t="shared" si="6"/>
        <v>2017</v>
      </c>
    </row>
    <row r="21" spans="1:17">
      <c r="A21" s="332" t="s">
        <v>318</v>
      </c>
      <c r="B21" s="333" t="s">
        <v>1067</v>
      </c>
      <c r="C21" s="423" t="s">
        <v>330</v>
      </c>
      <c r="D21" s="332" t="s">
        <v>1068</v>
      </c>
      <c r="E21" s="333">
        <v>201611</v>
      </c>
      <c r="F21" s="334">
        <v>17336.13</v>
      </c>
      <c r="G21" s="521">
        <f t="shared" si="2"/>
        <v>5.5</v>
      </c>
      <c r="H21" s="336">
        <v>1.3083000000000001E-3</v>
      </c>
      <c r="I21" s="523">
        <f t="shared" si="3"/>
        <v>124.74</v>
      </c>
      <c r="J21" s="448">
        <f t="shared" si="4"/>
        <v>272.17</v>
      </c>
      <c r="N21" s="159">
        <v>201412</v>
      </c>
      <c r="O21" s="590">
        <f t="shared" si="5"/>
        <v>28.5</v>
      </c>
      <c r="Q21" s="101">
        <f t="shared" si="6"/>
        <v>2017</v>
      </c>
    </row>
    <row r="22" spans="1:17">
      <c r="A22" s="332" t="s">
        <v>318</v>
      </c>
      <c r="B22" s="333" t="s">
        <v>858</v>
      </c>
      <c r="C22" s="423" t="s">
        <v>329</v>
      </c>
      <c r="D22" s="332" t="s">
        <v>859</v>
      </c>
      <c r="E22" s="333">
        <v>201611</v>
      </c>
      <c r="F22" s="334">
        <v>-478346.44</v>
      </c>
      <c r="G22" s="521">
        <f t="shared" si="2"/>
        <v>5.5</v>
      </c>
      <c r="H22" s="336">
        <v>1.3083000000000001E-3</v>
      </c>
      <c r="I22" s="523">
        <f t="shared" si="3"/>
        <v>-3442.01</v>
      </c>
      <c r="J22" s="448">
        <f t="shared" si="4"/>
        <v>-7509.85</v>
      </c>
      <c r="N22" s="159">
        <v>201501</v>
      </c>
      <c r="O22" s="590">
        <f t="shared" si="5"/>
        <v>27.5</v>
      </c>
      <c r="Q22" s="101">
        <f t="shared" si="6"/>
        <v>2017</v>
      </c>
    </row>
    <row r="23" spans="1:17">
      <c r="A23" s="332" t="s">
        <v>318</v>
      </c>
      <c r="B23" s="333" t="s">
        <v>858</v>
      </c>
      <c r="C23" s="423" t="s">
        <v>329</v>
      </c>
      <c r="D23" s="332" t="s">
        <v>859</v>
      </c>
      <c r="E23" s="333">
        <v>201611</v>
      </c>
      <c r="F23" s="334">
        <v>-32069.040000000001</v>
      </c>
      <c r="G23" s="521">
        <f t="shared" si="2"/>
        <v>5.5</v>
      </c>
      <c r="H23" s="336">
        <v>1.3083000000000001E-3</v>
      </c>
      <c r="I23" s="523">
        <f t="shared" si="3"/>
        <v>-230.76</v>
      </c>
      <c r="J23" s="448">
        <f t="shared" si="4"/>
        <v>-503.47</v>
      </c>
      <c r="N23" s="159">
        <v>201502</v>
      </c>
      <c r="O23" s="590">
        <f t="shared" si="5"/>
        <v>26.5</v>
      </c>
      <c r="Q23" s="101">
        <f t="shared" si="6"/>
        <v>2017</v>
      </c>
    </row>
    <row r="24" spans="1:17">
      <c r="A24" s="332" t="s">
        <v>318</v>
      </c>
      <c r="B24" s="333" t="s">
        <v>858</v>
      </c>
      <c r="C24" s="423" t="s">
        <v>329</v>
      </c>
      <c r="D24" s="332" t="s">
        <v>859</v>
      </c>
      <c r="E24" s="333">
        <v>201611</v>
      </c>
      <c r="F24" s="334">
        <v>108554.37</v>
      </c>
      <c r="G24" s="521">
        <f t="shared" si="2"/>
        <v>5.5</v>
      </c>
      <c r="H24" s="336">
        <v>1.3083000000000001E-3</v>
      </c>
      <c r="I24" s="523">
        <f t="shared" si="3"/>
        <v>781.12</v>
      </c>
      <c r="J24" s="448">
        <f t="shared" si="4"/>
        <v>1704.26</v>
      </c>
      <c r="N24" s="159">
        <v>201503</v>
      </c>
      <c r="O24" s="590">
        <f t="shared" si="5"/>
        <v>25.5</v>
      </c>
      <c r="Q24" s="101">
        <f t="shared" si="6"/>
        <v>2017</v>
      </c>
    </row>
    <row r="25" spans="1:17">
      <c r="A25" s="332" t="s">
        <v>318</v>
      </c>
      <c r="B25" s="333" t="s">
        <v>858</v>
      </c>
      <c r="C25" s="423" t="s">
        <v>329</v>
      </c>
      <c r="D25" s="332" t="s">
        <v>859</v>
      </c>
      <c r="E25" s="333">
        <v>201611</v>
      </c>
      <c r="F25" s="334">
        <v>401861.11</v>
      </c>
      <c r="G25" s="521">
        <f t="shared" si="2"/>
        <v>5.5</v>
      </c>
      <c r="H25" s="336">
        <v>1.3083000000000001E-3</v>
      </c>
      <c r="I25" s="523">
        <f t="shared" si="3"/>
        <v>2891.65</v>
      </c>
      <c r="J25" s="448">
        <f t="shared" si="4"/>
        <v>6309.06</v>
      </c>
      <c r="N25" s="159">
        <v>201504</v>
      </c>
      <c r="O25" s="590">
        <f t="shared" si="5"/>
        <v>24.5</v>
      </c>
      <c r="Q25" s="101">
        <f t="shared" si="6"/>
        <v>2017</v>
      </c>
    </row>
    <row r="26" spans="1:17" ht="15">
      <c r="A26" s="332" t="s">
        <v>318</v>
      </c>
      <c r="B26" s="333" t="s">
        <v>1033</v>
      </c>
      <c r="C26" s="424" t="s">
        <v>330</v>
      </c>
      <c r="D26" s="332" t="s">
        <v>1034</v>
      </c>
      <c r="E26" s="333">
        <v>201611</v>
      </c>
      <c r="F26" s="334">
        <v>-36.11</v>
      </c>
      <c r="G26" s="521">
        <f t="shared" si="2"/>
        <v>5.5</v>
      </c>
      <c r="H26" s="336">
        <v>1.3083000000000001E-3</v>
      </c>
      <c r="I26" s="523">
        <f t="shared" si="3"/>
        <v>-0.26</v>
      </c>
      <c r="J26" s="448">
        <f t="shared" si="4"/>
        <v>-0.56999999999999995</v>
      </c>
      <c r="N26" s="159">
        <v>201505</v>
      </c>
      <c r="O26" s="590">
        <f t="shared" si="5"/>
        <v>23.5</v>
      </c>
      <c r="Q26" s="101">
        <f t="shared" si="6"/>
        <v>2017</v>
      </c>
    </row>
    <row r="27" spans="1:17" ht="15">
      <c r="A27" s="332" t="s">
        <v>318</v>
      </c>
      <c r="B27" s="333" t="s">
        <v>1033</v>
      </c>
      <c r="C27" s="424" t="s">
        <v>330</v>
      </c>
      <c r="D27" s="332" t="s">
        <v>1034</v>
      </c>
      <c r="E27" s="333">
        <v>201611</v>
      </c>
      <c r="F27" s="334">
        <v>-1.98</v>
      </c>
      <c r="G27" s="521">
        <f t="shared" si="2"/>
        <v>5.5</v>
      </c>
      <c r="H27" s="336">
        <v>1.3083000000000001E-3</v>
      </c>
      <c r="I27" s="523">
        <f t="shared" si="3"/>
        <v>-0.01</v>
      </c>
      <c r="J27" s="448">
        <f t="shared" si="4"/>
        <v>-0.03</v>
      </c>
      <c r="N27" s="159">
        <v>201506</v>
      </c>
      <c r="O27" s="590">
        <f t="shared" si="5"/>
        <v>22.5</v>
      </c>
      <c r="Q27" s="101">
        <f t="shared" si="6"/>
        <v>2017</v>
      </c>
    </row>
    <row r="28" spans="1:17" ht="15">
      <c r="A28" s="332" t="s">
        <v>318</v>
      </c>
      <c r="B28" s="333" t="s">
        <v>832</v>
      </c>
      <c r="C28" s="424" t="s">
        <v>330</v>
      </c>
      <c r="D28" s="332" t="s">
        <v>833</v>
      </c>
      <c r="E28" s="333">
        <v>201611</v>
      </c>
      <c r="F28" s="334">
        <v>4.84</v>
      </c>
      <c r="G28" s="521">
        <f t="shared" si="2"/>
        <v>5.5</v>
      </c>
      <c r="H28" s="336">
        <v>1.3083000000000001E-3</v>
      </c>
      <c r="I28" s="523">
        <f t="shared" si="3"/>
        <v>0.03</v>
      </c>
      <c r="J28" s="448">
        <f t="shared" si="4"/>
        <v>0.08</v>
      </c>
      <c r="N28" s="159">
        <v>201507</v>
      </c>
      <c r="O28" s="590">
        <f t="shared" si="5"/>
        <v>21.5</v>
      </c>
      <c r="Q28" s="101">
        <f t="shared" si="6"/>
        <v>2017</v>
      </c>
    </row>
    <row r="29" spans="1:17">
      <c r="A29" s="332" t="s">
        <v>318</v>
      </c>
      <c r="B29" s="333" t="s">
        <v>832</v>
      </c>
      <c r="C29" s="423" t="s">
        <v>330</v>
      </c>
      <c r="D29" s="332" t="s">
        <v>833</v>
      </c>
      <c r="E29" s="333">
        <v>201611</v>
      </c>
      <c r="F29" s="334">
        <v>231.58</v>
      </c>
      <c r="G29" s="521">
        <f t="shared" si="2"/>
        <v>5.5</v>
      </c>
      <c r="H29" s="336">
        <v>1.3083000000000001E-3</v>
      </c>
      <c r="I29" s="523">
        <f t="shared" si="3"/>
        <v>1.67</v>
      </c>
      <c r="J29" s="448">
        <f t="shared" si="4"/>
        <v>3.64</v>
      </c>
      <c r="N29" s="159">
        <v>201508</v>
      </c>
      <c r="O29" s="590">
        <f t="shared" si="5"/>
        <v>20.5</v>
      </c>
      <c r="Q29" s="101">
        <f t="shared" si="6"/>
        <v>2017</v>
      </c>
    </row>
    <row r="30" spans="1:17">
      <c r="A30" s="332" t="s">
        <v>318</v>
      </c>
      <c r="B30" s="333" t="s">
        <v>947</v>
      </c>
      <c r="C30" s="423" t="s">
        <v>330</v>
      </c>
      <c r="D30" s="332" t="s">
        <v>948</v>
      </c>
      <c r="E30" s="333">
        <v>201611</v>
      </c>
      <c r="F30" s="334">
        <v>-99.86</v>
      </c>
      <c r="G30" s="521">
        <f t="shared" si="2"/>
        <v>5.5</v>
      </c>
      <c r="H30" s="336">
        <v>1.3083000000000001E-3</v>
      </c>
      <c r="I30" s="523">
        <f t="shared" si="3"/>
        <v>-0.72</v>
      </c>
      <c r="J30" s="448">
        <f t="shared" si="4"/>
        <v>-1.57</v>
      </c>
      <c r="N30" s="159">
        <v>201509</v>
      </c>
      <c r="O30" s="590">
        <f t="shared" si="5"/>
        <v>19.5</v>
      </c>
      <c r="Q30" s="101">
        <f t="shared" si="6"/>
        <v>2017</v>
      </c>
    </row>
    <row r="31" spans="1:17" ht="15">
      <c r="A31" s="332" t="s">
        <v>318</v>
      </c>
      <c r="B31" s="333" t="s">
        <v>947</v>
      </c>
      <c r="C31" s="424" t="s">
        <v>330</v>
      </c>
      <c r="D31" s="332" t="s">
        <v>948</v>
      </c>
      <c r="E31" s="333">
        <v>201611</v>
      </c>
      <c r="F31" s="334">
        <v>-3.58</v>
      </c>
      <c r="G31" s="521">
        <f t="shared" si="2"/>
        <v>5.5</v>
      </c>
      <c r="H31" s="336">
        <v>1.3083000000000001E-3</v>
      </c>
      <c r="I31" s="523">
        <f t="shared" si="3"/>
        <v>-0.03</v>
      </c>
      <c r="J31" s="448">
        <f t="shared" si="4"/>
        <v>-0.06</v>
      </c>
      <c r="N31" s="159">
        <v>201510</v>
      </c>
      <c r="O31" s="590">
        <f t="shared" si="5"/>
        <v>18.5</v>
      </c>
      <c r="Q31" s="101">
        <f t="shared" si="6"/>
        <v>2017</v>
      </c>
    </row>
    <row r="32" spans="1:17" ht="15">
      <c r="A32" s="332" t="s">
        <v>318</v>
      </c>
      <c r="B32" s="333" t="s">
        <v>951</v>
      </c>
      <c r="C32" s="424" t="s">
        <v>330</v>
      </c>
      <c r="D32" s="332" t="s">
        <v>952</v>
      </c>
      <c r="E32" s="333">
        <v>201611</v>
      </c>
      <c r="F32" s="334">
        <v>-338.02</v>
      </c>
      <c r="G32" s="521">
        <f t="shared" si="2"/>
        <v>5.5</v>
      </c>
      <c r="H32" s="336">
        <v>1.3083000000000001E-3</v>
      </c>
      <c r="I32" s="523">
        <f t="shared" si="3"/>
        <v>-2.4300000000000002</v>
      </c>
      <c r="J32" s="448">
        <f t="shared" si="4"/>
        <v>-5.31</v>
      </c>
      <c r="N32" s="159">
        <v>201511</v>
      </c>
      <c r="O32" s="590">
        <f t="shared" si="5"/>
        <v>17.5</v>
      </c>
      <c r="Q32" s="101">
        <f t="shared" si="6"/>
        <v>2017</v>
      </c>
    </row>
    <row r="33" spans="1:17" ht="15">
      <c r="A33" s="332" t="s">
        <v>318</v>
      </c>
      <c r="B33" s="333" t="s">
        <v>951</v>
      </c>
      <c r="C33" s="424" t="s">
        <v>330</v>
      </c>
      <c r="D33" s="332" t="s">
        <v>952</v>
      </c>
      <c r="E33" s="333">
        <v>201611</v>
      </c>
      <c r="F33" s="334">
        <v>-10.83</v>
      </c>
      <c r="G33" s="521">
        <f t="shared" si="2"/>
        <v>5.5</v>
      </c>
      <c r="H33" s="336">
        <v>1.3083000000000001E-3</v>
      </c>
      <c r="I33" s="523">
        <f t="shared" si="3"/>
        <v>-0.08</v>
      </c>
      <c r="J33" s="448">
        <f t="shared" si="4"/>
        <v>-0.17</v>
      </c>
      <c r="N33" s="159">
        <v>201512</v>
      </c>
      <c r="O33" s="590">
        <f t="shared" si="5"/>
        <v>16.5</v>
      </c>
      <c r="Q33" s="101">
        <f t="shared" si="6"/>
        <v>2017</v>
      </c>
    </row>
    <row r="34" spans="1:17">
      <c r="A34" s="332" t="s">
        <v>318</v>
      </c>
      <c r="B34" s="333" t="s">
        <v>955</v>
      </c>
      <c r="C34" s="423" t="s">
        <v>330</v>
      </c>
      <c r="D34" s="332" t="s">
        <v>956</v>
      </c>
      <c r="E34" s="333">
        <v>201611</v>
      </c>
      <c r="F34" s="334">
        <v>10.61</v>
      </c>
      <c r="G34" s="521">
        <f t="shared" si="2"/>
        <v>5.5</v>
      </c>
      <c r="H34" s="336">
        <v>1.3083000000000001E-3</v>
      </c>
      <c r="I34" s="523">
        <f t="shared" si="3"/>
        <v>0.08</v>
      </c>
      <c r="J34" s="448">
        <f t="shared" si="4"/>
        <v>0.17</v>
      </c>
      <c r="N34" s="159">
        <v>201601</v>
      </c>
      <c r="O34" s="590">
        <f t="shared" si="5"/>
        <v>15.5</v>
      </c>
      <c r="Q34" s="101">
        <f t="shared" si="6"/>
        <v>2017</v>
      </c>
    </row>
    <row r="35" spans="1:17" ht="15">
      <c r="A35" s="332" t="s">
        <v>318</v>
      </c>
      <c r="B35" s="333" t="s">
        <v>955</v>
      </c>
      <c r="C35" s="424" t="s">
        <v>330</v>
      </c>
      <c r="D35" s="332" t="s">
        <v>956</v>
      </c>
      <c r="E35" s="333">
        <v>201611</v>
      </c>
      <c r="F35" s="334">
        <v>330.96</v>
      </c>
      <c r="G35" s="521">
        <f t="shared" si="2"/>
        <v>5.5</v>
      </c>
      <c r="H35" s="336">
        <v>1.3083000000000001E-3</v>
      </c>
      <c r="I35" s="523">
        <f t="shared" si="3"/>
        <v>2.38</v>
      </c>
      <c r="J35" s="448">
        <f t="shared" si="4"/>
        <v>5.2</v>
      </c>
      <c r="N35" s="159">
        <v>201602</v>
      </c>
      <c r="O35" s="590">
        <f t="shared" si="5"/>
        <v>14.5</v>
      </c>
      <c r="Q35" s="101">
        <f t="shared" si="6"/>
        <v>2017</v>
      </c>
    </row>
    <row r="36" spans="1:17" ht="15">
      <c r="A36" s="332" t="s">
        <v>318</v>
      </c>
      <c r="B36" s="333" t="s">
        <v>963</v>
      </c>
      <c r="C36" s="424" t="s">
        <v>330</v>
      </c>
      <c r="D36" s="332" t="s">
        <v>964</v>
      </c>
      <c r="E36" s="333">
        <v>201611</v>
      </c>
      <c r="F36" s="334">
        <v>11.65</v>
      </c>
      <c r="G36" s="521">
        <f t="shared" si="2"/>
        <v>5.5</v>
      </c>
      <c r="H36" s="336">
        <v>1.3083000000000001E-3</v>
      </c>
      <c r="I36" s="523">
        <f t="shared" si="3"/>
        <v>0.08</v>
      </c>
      <c r="J36" s="448">
        <f t="shared" si="4"/>
        <v>0.18</v>
      </c>
      <c r="N36" s="159">
        <v>201603</v>
      </c>
      <c r="O36" s="590">
        <f t="shared" si="5"/>
        <v>13.5</v>
      </c>
      <c r="Q36" s="101">
        <f t="shared" si="6"/>
        <v>2017</v>
      </c>
    </row>
    <row r="37" spans="1:17" ht="15">
      <c r="A37" s="332" t="s">
        <v>318</v>
      </c>
      <c r="B37" s="333" t="s">
        <v>963</v>
      </c>
      <c r="C37" s="424" t="s">
        <v>330</v>
      </c>
      <c r="D37" s="332" t="s">
        <v>964</v>
      </c>
      <c r="E37" s="333">
        <v>201611</v>
      </c>
      <c r="F37" s="334">
        <v>149.72999999999999</v>
      </c>
      <c r="G37" s="521">
        <f t="shared" si="2"/>
        <v>5.5</v>
      </c>
      <c r="H37" s="336">
        <v>1.3083000000000001E-3</v>
      </c>
      <c r="I37" s="523">
        <f t="shared" si="3"/>
        <v>1.08</v>
      </c>
      <c r="J37" s="448">
        <f t="shared" si="4"/>
        <v>2.35</v>
      </c>
      <c r="N37" s="555">
        <v>201604</v>
      </c>
      <c r="O37" s="590">
        <f t="shared" si="5"/>
        <v>12.5</v>
      </c>
      <c r="Q37" s="101">
        <f t="shared" si="6"/>
        <v>2017</v>
      </c>
    </row>
    <row r="38" spans="1:17">
      <c r="A38" s="332" t="s">
        <v>318</v>
      </c>
      <c r="B38" s="333" t="s">
        <v>842</v>
      </c>
      <c r="C38" s="423" t="s">
        <v>330</v>
      </c>
      <c r="D38" s="332" t="s">
        <v>843</v>
      </c>
      <c r="E38" s="333">
        <v>201611</v>
      </c>
      <c r="F38" s="334">
        <v>10.11</v>
      </c>
      <c r="G38" s="521">
        <f t="shared" si="2"/>
        <v>5.5</v>
      </c>
      <c r="H38" s="336">
        <v>1.3083000000000001E-3</v>
      </c>
      <c r="I38" s="523">
        <f t="shared" si="3"/>
        <v>7.0000000000000007E-2</v>
      </c>
      <c r="J38" s="448">
        <f t="shared" si="4"/>
        <v>0.16</v>
      </c>
      <c r="N38" s="555">
        <v>201605</v>
      </c>
      <c r="O38" s="590">
        <f t="shared" si="5"/>
        <v>11.5</v>
      </c>
      <c r="Q38" s="101">
        <f t="shared" si="6"/>
        <v>2017</v>
      </c>
    </row>
    <row r="39" spans="1:17" ht="15">
      <c r="A39" s="332" t="s">
        <v>318</v>
      </c>
      <c r="B39" s="333" t="s">
        <v>842</v>
      </c>
      <c r="C39" s="424" t="s">
        <v>330</v>
      </c>
      <c r="D39" s="332" t="s">
        <v>843</v>
      </c>
      <c r="E39" s="333">
        <v>201611</v>
      </c>
      <c r="F39" s="334">
        <v>146.29</v>
      </c>
      <c r="G39" s="521">
        <f t="shared" si="2"/>
        <v>5.5</v>
      </c>
      <c r="H39" s="336">
        <v>1.3083000000000001E-3</v>
      </c>
      <c r="I39" s="523">
        <f t="shared" si="3"/>
        <v>1.05</v>
      </c>
      <c r="J39" s="448">
        <f t="shared" si="4"/>
        <v>2.2999999999999998</v>
      </c>
      <c r="N39" s="555">
        <v>201606</v>
      </c>
      <c r="O39" s="590">
        <f t="shared" si="5"/>
        <v>10.5</v>
      </c>
      <c r="Q39" s="101">
        <f t="shared" si="6"/>
        <v>2017</v>
      </c>
    </row>
    <row r="40" spans="1:17" ht="15">
      <c r="A40" s="332" t="s">
        <v>318</v>
      </c>
      <c r="B40" s="333" t="s">
        <v>862</v>
      </c>
      <c r="C40" s="424" t="s">
        <v>330</v>
      </c>
      <c r="D40" s="332" t="s">
        <v>863</v>
      </c>
      <c r="E40" s="333">
        <v>201611</v>
      </c>
      <c r="F40" s="334">
        <v>-17.239999999999998</v>
      </c>
      <c r="G40" s="521">
        <f t="shared" si="2"/>
        <v>5.5</v>
      </c>
      <c r="H40" s="336">
        <v>1.3083000000000001E-3</v>
      </c>
      <c r="I40" s="523">
        <f t="shared" si="3"/>
        <v>-0.12</v>
      </c>
      <c r="J40" s="448">
        <f t="shared" si="4"/>
        <v>-0.27</v>
      </c>
      <c r="N40" s="555">
        <v>201607</v>
      </c>
      <c r="O40" s="590">
        <f t="shared" si="5"/>
        <v>9.5</v>
      </c>
      <c r="Q40" s="101">
        <f t="shared" si="6"/>
        <v>2017</v>
      </c>
    </row>
    <row r="41" spans="1:17" ht="15">
      <c r="A41" s="332" t="s">
        <v>318</v>
      </c>
      <c r="B41" s="333" t="s">
        <v>862</v>
      </c>
      <c r="C41" s="424" t="s">
        <v>330</v>
      </c>
      <c r="D41" s="332" t="s">
        <v>863</v>
      </c>
      <c r="E41" s="333">
        <v>201611</v>
      </c>
      <c r="F41" s="334">
        <v>-1.1100000000000001</v>
      </c>
      <c r="G41" s="521">
        <f t="shared" si="2"/>
        <v>5.5</v>
      </c>
      <c r="H41" s="336">
        <v>1.3083000000000001E-3</v>
      </c>
      <c r="I41" s="523">
        <f t="shared" si="3"/>
        <v>-0.01</v>
      </c>
      <c r="J41" s="448">
        <f t="shared" si="4"/>
        <v>-0.02</v>
      </c>
      <c r="N41" s="555">
        <v>201608</v>
      </c>
      <c r="O41" s="590">
        <f t="shared" si="5"/>
        <v>8.5</v>
      </c>
      <c r="Q41" s="101">
        <f t="shared" si="6"/>
        <v>2017</v>
      </c>
    </row>
    <row r="42" spans="1:17">
      <c r="A42" s="332" t="s">
        <v>318</v>
      </c>
      <c r="B42" s="333" t="s">
        <v>967</v>
      </c>
      <c r="C42" s="423" t="s">
        <v>330</v>
      </c>
      <c r="D42" s="332" t="s">
        <v>968</v>
      </c>
      <c r="E42" s="333">
        <v>201611</v>
      </c>
      <c r="F42" s="334">
        <v>2.95</v>
      </c>
      <c r="G42" s="521">
        <f t="shared" si="2"/>
        <v>5.5</v>
      </c>
      <c r="H42" s="336">
        <v>1.3083000000000001E-3</v>
      </c>
      <c r="I42" s="523">
        <f t="shared" si="3"/>
        <v>0.02</v>
      </c>
      <c r="J42" s="448">
        <f t="shared" si="4"/>
        <v>0.05</v>
      </c>
      <c r="N42" s="555">
        <v>201609</v>
      </c>
      <c r="O42" s="590">
        <f t="shared" si="5"/>
        <v>7.5</v>
      </c>
      <c r="Q42" s="101">
        <f t="shared" si="6"/>
        <v>2017</v>
      </c>
    </row>
    <row r="43" spans="1:17">
      <c r="A43" s="332" t="s">
        <v>318</v>
      </c>
      <c r="B43" s="333" t="s">
        <v>967</v>
      </c>
      <c r="C43" s="423" t="s">
        <v>330</v>
      </c>
      <c r="D43" s="332" t="s">
        <v>968</v>
      </c>
      <c r="E43" s="333">
        <v>201611</v>
      </c>
      <c r="F43" s="334">
        <v>78.11</v>
      </c>
      <c r="G43" s="521">
        <f t="shared" si="2"/>
        <v>5.5</v>
      </c>
      <c r="H43" s="336">
        <v>1.3083000000000001E-3</v>
      </c>
      <c r="I43" s="523">
        <f t="shared" si="3"/>
        <v>0.56000000000000005</v>
      </c>
      <c r="J43" s="448">
        <f t="shared" si="4"/>
        <v>1.23</v>
      </c>
      <c r="N43" s="555">
        <v>201610</v>
      </c>
      <c r="O43" s="590">
        <f t="shared" si="5"/>
        <v>6.5</v>
      </c>
      <c r="Q43" s="101">
        <f t="shared" si="6"/>
        <v>2017</v>
      </c>
    </row>
    <row r="44" spans="1:17">
      <c r="A44" s="332" t="s">
        <v>318</v>
      </c>
      <c r="B44" s="333" t="s">
        <v>682</v>
      </c>
      <c r="C44" s="423" t="s">
        <v>330</v>
      </c>
      <c r="D44" s="332" t="s">
        <v>683</v>
      </c>
      <c r="E44" s="333">
        <v>201611</v>
      </c>
      <c r="F44" s="334">
        <v>421.84</v>
      </c>
      <c r="G44" s="521">
        <f t="shared" si="2"/>
        <v>5.5</v>
      </c>
      <c r="H44" s="336">
        <v>1.3083000000000001E-3</v>
      </c>
      <c r="I44" s="523">
        <f t="shared" si="3"/>
        <v>3.04</v>
      </c>
      <c r="J44" s="448">
        <f t="shared" si="4"/>
        <v>6.62</v>
      </c>
      <c r="N44" s="555">
        <v>201611</v>
      </c>
      <c r="O44" s="590">
        <f t="shared" si="5"/>
        <v>5.5</v>
      </c>
      <c r="Q44" s="101">
        <f t="shared" si="6"/>
        <v>2017</v>
      </c>
    </row>
    <row r="45" spans="1:17">
      <c r="A45" s="332" t="s">
        <v>318</v>
      </c>
      <c r="B45" s="333" t="s">
        <v>682</v>
      </c>
      <c r="C45" s="423" t="s">
        <v>330</v>
      </c>
      <c r="D45" s="332" t="s">
        <v>683</v>
      </c>
      <c r="E45" s="333">
        <v>201611</v>
      </c>
      <c r="F45" s="334">
        <v>10111.99</v>
      </c>
      <c r="G45" s="521">
        <f t="shared" si="2"/>
        <v>5.5</v>
      </c>
      <c r="H45" s="336">
        <v>1.3083000000000001E-3</v>
      </c>
      <c r="I45" s="523">
        <f t="shared" si="3"/>
        <v>72.760000000000005</v>
      </c>
      <c r="J45" s="448">
        <f t="shared" si="4"/>
        <v>158.75</v>
      </c>
      <c r="N45" s="555">
        <v>201612</v>
      </c>
      <c r="O45" s="590">
        <f t="shared" si="5"/>
        <v>4.5</v>
      </c>
      <c r="Q45" s="101">
        <f t="shared" si="6"/>
        <v>2017</v>
      </c>
    </row>
    <row r="46" spans="1:17" ht="15">
      <c r="A46" s="332" t="s">
        <v>318</v>
      </c>
      <c r="B46" s="333" t="s">
        <v>846</v>
      </c>
      <c r="C46" s="424" t="s">
        <v>330</v>
      </c>
      <c r="D46" s="332" t="s">
        <v>847</v>
      </c>
      <c r="E46" s="333">
        <v>201611</v>
      </c>
      <c r="F46" s="334">
        <v>-1968.35</v>
      </c>
      <c r="G46" s="521">
        <f t="shared" si="2"/>
        <v>5.5</v>
      </c>
      <c r="H46" s="336">
        <v>1.3083000000000001E-3</v>
      </c>
      <c r="I46" s="523">
        <f t="shared" si="3"/>
        <v>-14.16</v>
      </c>
      <c r="J46" s="448">
        <f t="shared" si="4"/>
        <v>-30.9</v>
      </c>
      <c r="N46" s="555">
        <v>201701</v>
      </c>
      <c r="O46" s="590">
        <f>+O47+1</f>
        <v>3.5</v>
      </c>
      <c r="Q46" s="101">
        <f t="shared" si="6"/>
        <v>2017</v>
      </c>
    </row>
    <row r="47" spans="1:17" ht="15">
      <c r="A47" s="332" t="s">
        <v>318</v>
      </c>
      <c r="B47" s="333" t="s">
        <v>846</v>
      </c>
      <c r="C47" s="424" t="s">
        <v>330</v>
      </c>
      <c r="D47" s="332" t="s">
        <v>847</v>
      </c>
      <c r="E47" s="333">
        <v>201611</v>
      </c>
      <c r="F47" s="334">
        <v>23774.58</v>
      </c>
      <c r="G47" s="521">
        <f t="shared" si="2"/>
        <v>5.5</v>
      </c>
      <c r="H47" s="336">
        <v>1.3083000000000001E-3</v>
      </c>
      <c r="I47" s="523">
        <f t="shared" si="3"/>
        <v>171.07</v>
      </c>
      <c r="J47" s="448">
        <f t="shared" si="4"/>
        <v>373.25</v>
      </c>
      <c r="N47" s="555">
        <v>201702</v>
      </c>
      <c r="O47" s="590">
        <v>2.5</v>
      </c>
      <c r="Q47" s="101">
        <f t="shared" si="6"/>
        <v>2017</v>
      </c>
    </row>
    <row r="48" spans="1:17" ht="15">
      <c r="A48" s="332" t="s">
        <v>318</v>
      </c>
      <c r="B48" s="333" t="s">
        <v>848</v>
      </c>
      <c r="C48" s="424" t="s">
        <v>329</v>
      </c>
      <c r="D48" s="332" t="s">
        <v>849</v>
      </c>
      <c r="E48" s="333">
        <v>201611</v>
      </c>
      <c r="F48" s="334">
        <v>1315.06</v>
      </c>
      <c r="G48" s="521">
        <f t="shared" si="2"/>
        <v>5.5</v>
      </c>
      <c r="H48" s="336">
        <v>1.3083000000000001E-3</v>
      </c>
      <c r="I48" s="523">
        <f t="shared" si="3"/>
        <v>9.4600000000000009</v>
      </c>
      <c r="J48" s="448">
        <f t="shared" si="4"/>
        <v>20.65</v>
      </c>
      <c r="N48" s="555">
        <v>201703</v>
      </c>
      <c r="O48" s="590"/>
      <c r="Q48" s="101">
        <f t="shared" si="6"/>
        <v>2017</v>
      </c>
    </row>
    <row r="49" spans="1:17" ht="15">
      <c r="A49" s="332" t="s">
        <v>318</v>
      </c>
      <c r="B49" s="333" t="s">
        <v>848</v>
      </c>
      <c r="C49" s="424" t="s">
        <v>329</v>
      </c>
      <c r="D49" s="332" t="s">
        <v>849</v>
      </c>
      <c r="E49" s="333">
        <v>201611</v>
      </c>
      <c r="F49" s="334">
        <v>1824.99</v>
      </c>
      <c r="G49" s="521">
        <f t="shared" si="2"/>
        <v>5.5</v>
      </c>
      <c r="H49" s="336">
        <v>1.3083000000000001E-3</v>
      </c>
      <c r="I49" s="523">
        <f t="shared" si="3"/>
        <v>13.13</v>
      </c>
      <c r="J49" s="448">
        <f t="shared" si="4"/>
        <v>28.65</v>
      </c>
      <c r="N49" s="555">
        <v>201704</v>
      </c>
      <c r="O49" s="590"/>
      <c r="Q49" s="101">
        <f t="shared" si="6"/>
        <v>2017</v>
      </c>
    </row>
    <row r="50" spans="1:17" ht="15">
      <c r="A50" s="332" t="s">
        <v>318</v>
      </c>
      <c r="B50" s="333" t="s">
        <v>971</v>
      </c>
      <c r="C50" s="424" t="s">
        <v>329</v>
      </c>
      <c r="D50" s="332" t="s">
        <v>972</v>
      </c>
      <c r="E50" s="333">
        <v>201611</v>
      </c>
      <c r="F50" s="334">
        <v>18.670000000000002</v>
      </c>
      <c r="G50" s="521">
        <f t="shared" si="2"/>
        <v>5.5</v>
      </c>
      <c r="H50" s="336">
        <v>1.3083000000000001E-3</v>
      </c>
      <c r="I50" s="523">
        <f t="shared" si="3"/>
        <v>0.13</v>
      </c>
      <c r="J50" s="448">
        <f t="shared" si="4"/>
        <v>0.28999999999999998</v>
      </c>
      <c r="Q50" s="101">
        <f t="shared" si="6"/>
        <v>2017</v>
      </c>
    </row>
    <row r="51" spans="1:17" ht="15">
      <c r="A51" s="332" t="s">
        <v>318</v>
      </c>
      <c r="B51" s="333" t="s">
        <v>971</v>
      </c>
      <c r="C51" s="424" t="s">
        <v>329</v>
      </c>
      <c r="D51" s="332" t="s">
        <v>972</v>
      </c>
      <c r="E51" s="333">
        <v>201611</v>
      </c>
      <c r="F51" s="334">
        <v>204.71</v>
      </c>
      <c r="G51" s="521">
        <f t="shared" si="2"/>
        <v>5.5</v>
      </c>
      <c r="H51" s="336">
        <v>1.3083000000000001E-3</v>
      </c>
      <c r="I51" s="523">
        <f t="shared" si="3"/>
        <v>1.47</v>
      </c>
      <c r="J51" s="448">
        <f t="shared" si="4"/>
        <v>3.21</v>
      </c>
      <c r="Q51" s="101">
        <f t="shared" si="6"/>
        <v>2017</v>
      </c>
    </row>
    <row r="52" spans="1:17" ht="15">
      <c r="A52" s="332" t="s">
        <v>318</v>
      </c>
      <c r="B52" s="333" t="s">
        <v>973</v>
      </c>
      <c r="C52" s="424" t="s">
        <v>330</v>
      </c>
      <c r="D52" s="332" t="s">
        <v>974</v>
      </c>
      <c r="E52" s="333">
        <v>201611</v>
      </c>
      <c r="F52" s="334">
        <v>-2.4</v>
      </c>
      <c r="G52" s="521">
        <f t="shared" si="2"/>
        <v>5.5</v>
      </c>
      <c r="H52" s="336">
        <v>1.3083000000000001E-3</v>
      </c>
      <c r="I52" s="523">
        <f t="shared" si="3"/>
        <v>-0.02</v>
      </c>
      <c r="J52" s="448">
        <f t="shared" si="4"/>
        <v>-0.04</v>
      </c>
      <c r="Q52" s="101">
        <f t="shared" si="6"/>
        <v>2017</v>
      </c>
    </row>
    <row r="53" spans="1:17" ht="15">
      <c r="A53" s="332" t="s">
        <v>318</v>
      </c>
      <c r="B53" s="333" t="s">
        <v>973</v>
      </c>
      <c r="C53" s="424" t="s">
        <v>330</v>
      </c>
      <c r="D53" s="332" t="s">
        <v>974</v>
      </c>
      <c r="E53" s="333">
        <v>201611</v>
      </c>
      <c r="F53" s="334">
        <v>-0.08</v>
      </c>
      <c r="G53" s="521">
        <f t="shared" si="2"/>
        <v>5.5</v>
      </c>
      <c r="H53" s="336">
        <v>1.3083000000000001E-3</v>
      </c>
      <c r="I53" s="523">
        <f t="shared" si="3"/>
        <v>0</v>
      </c>
      <c r="J53" s="448">
        <f t="shared" si="4"/>
        <v>0</v>
      </c>
      <c r="Q53" s="101">
        <f t="shared" si="6"/>
        <v>2017</v>
      </c>
    </row>
    <row r="54" spans="1:17" ht="15">
      <c r="A54" s="332" t="s">
        <v>318</v>
      </c>
      <c r="B54" s="333" t="s">
        <v>868</v>
      </c>
      <c r="C54" s="424" t="s">
        <v>330</v>
      </c>
      <c r="D54" s="332" t="s">
        <v>869</v>
      </c>
      <c r="E54" s="333">
        <v>201611</v>
      </c>
      <c r="F54" s="334">
        <v>-357062.92</v>
      </c>
      <c r="G54" s="521">
        <f t="shared" si="2"/>
        <v>5.5</v>
      </c>
      <c r="H54" s="336">
        <v>1.3083000000000001E-3</v>
      </c>
      <c r="I54" s="523">
        <f t="shared" si="3"/>
        <v>-2569.3000000000002</v>
      </c>
      <c r="J54" s="448">
        <f t="shared" si="4"/>
        <v>-5605.75</v>
      </c>
      <c r="Q54" s="101">
        <f t="shared" si="6"/>
        <v>2017</v>
      </c>
    </row>
    <row r="55" spans="1:17" ht="15">
      <c r="A55" s="332" t="s">
        <v>318</v>
      </c>
      <c r="B55" s="333" t="s">
        <v>868</v>
      </c>
      <c r="C55" s="424" t="s">
        <v>330</v>
      </c>
      <c r="D55" s="332" t="s">
        <v>869</v>
      </c>
      <c r="E55" s="333">
        <v>201611</v>
      </c>
      <c r="F55" s="334">
        <v>-14930.53</v>
      </c>
      <c r="G55" s="521">
        <f t="shared" si="2"/>
        <v>5.5</v>
      </c>
      <c r="H55" s="336">
        <v>1.3083000000000001E-3</v>
      </c>
      <c r="I55" s="523">
        <f t="shared" si="3"/>
        <v>-107.43</v>
      </c>
      <c r="J55" s="448">
        <f t="shared" si="4"/>
        <v>-234.4</v>
      </c>
      <c r="Q55" s="101">
        <f t="shared" si="6"/>
        <v>2017</v>
      </c>
    </row>
    <row r="56" spans="1:17" ht="15">
      <c r="A56" s="332" t="s">
        <v>318</v>
      </c>
      <c r="B56" s="333" t="s">
        <v>868</v>
      </c>
      <c r="C56" s="424" t="s">
        <v>330</v>
      </c>
      <c r="D56" s="332" t="s">
        <v>869</v>
      </c>
      <c r="E56" s="333">
        <v>201611</v>
      </c>
      <c r="F56" s="334">
        <v>93012.77</v>
      </c>
      <c r="G56" s="521">
        <f t="shared" si="2"/>
        <v>5.5</v>
      </c>
      <c r="H56" s="336">
        <v>1.3083000000000001E-3</v>
      </c>
      <c r="I56" s="523">
        <f t="shared" si="3"/>
        <v>669.29</v>
      </c>
      <c r="J56" s="448">
        <f t="shared" si="4"/>
        <v>1460.26</v>
      </c>
      <c r="Q56" s="101">
        <f t="shared" si="6"/>
        <v>2017</v>
      </c>
    </row>
    <row r="57" spans="1:17" ht="15">
      <c r="A57" s="332" t="s">
        <v>318</v>
      </c>
      <c r="B57" s="333" t="s">
        <v>868</v>
      </c>
      <c r="C57" s="424" t="s">
        <v>330</v>
      </c>
      <c r="D57" s="332" t="s">
        <v>869</v>
      </c>
      <c r="E57" s="333">
        <v>201611</v>
      </c>
      <c r="F57" s="334">
        <v>416358.07</v>
      </c>
      <c r="G57" s="521">
        <f t="shared" si="2"/>
        <v>5.5</v>
      </c>
      <c r="H57" s="336">
        <v>1.3083000000000001E-3</v>
      </c>
      <c r="I57" s="523">
        <f t="shared" si="3"/>
        <v>2995.97</v>
      </c>
      <c r="J57" s="448">
        <f t="shared" si="4"/>
        <v>6536.66</v>
      </c>
      <c r="Q57" s="101">
        <f t="shared" si="6"/>
        <v>2017</v>
      </c>
    </row>
    <row r="58" spans="1:17">
      <c r="A58" s="332" t="s">
        <v>318</v>
      </c>
      <c r="B58" s="333" t="s">
        <v>1037</v>
      </c>
      <c r="C58" s="423" t="s">
        <v>329</v>
      </c>
      <c r="D58" s="332" t="s">
        <v>1038</v>
      </c>
      <c r="E58" s="333">
        <v>201611</v>
      </c>
      <c r="F58" s="334">
        <v>40.53</v>
      </c>
      <c r="G58" s="521">
        <f t="shared" si="2"/>
        <v>5.5</v>
      </c>
      <c r="H58" s="336">
        <v>1.3083000000000001E-3</v>
      </c>
      <c r="I58" s="523">
        <f t="shared" si="3"/>
        <v>0.28999999999999998</v>
      </c>
      <c r="J58" s="448">
        <f t="shared" si="4"/>
        <v>0.64</v>
      </c>
      <c r="Q58" s="101">
        <f t="shared" si="6"/>
        <v>2017</v>
      </c>
    </row>
    <row r="59" spans="1:17">
      <c r="A59" s="332" t="s">
        <v>318</v>
      </c>
      <c r="B59" s="333" t="s">
        <v>1037</v>
      </c>
      <c r="C59" s="423" t="s">
        <v>329</v>
      </c>
      <c r="D59" s="332" t="s">
        <v>1038</v>
      </c>
      <c r="E59" s="333">
        <v>201611</v>
      </c>
      <c r="F59" s="334">
        <v>536.70000000000005</v>
      </c>
      <c r="G59" s="521">
        <f t="shared" si="2"/>
        <v>5.5</v>
      </c>
      <c r="H59" s="336">
        <v>1.3083000000000001E-3</v>
      </c>
      <c r="I59" s="523">
        <f t="shared" si="3"/>
        <v>3.86</v>
      </c>
      <c r="J59" s="448">
        <f t="shared" si="4"/>
        <v>8.43</v>
      </c>
      <c r="Q59" s="101">
        <f t="shared" si="6"/>
        <v>2017</v>
      </c>
    </row>
    <row r="60" spans="1:17">
      <c r="A60" s="332" t="s">
        <v>318</v>
      </c>
      <c r="B60" s="333" t="s">
        <v>850</v>
      </c>
      <c r="C60" s="423" t="s">
        <v>329</v>
      </c>
      <c r="D60" s="332" t="s">
        <v>851</v>
      </c>
      <c r="E60" s="333">
        <v>201611</v>
      </c>
      <c r="F60" s="334">
        <v>-23.71</v>
      </c>
      <c r="G60" s="521">
        <f t="shared" si="2"/>
        <v>5.5</v>
      </c>
      <c r="H60" s="336">
        <v>1.3083000000000001E-3</v>
      </c>
      <c r="I60" s="523">
        <f t="shared" si="3"/>
        <v>-0.17</v>
      </c>
      <c r="J60" s="448">
        <f t="shared" si="4"/>
        <v>-0.37</v>
      </c>
      <c r="Q60" s="101">
        <f t="shared" si="6"/>
        <v>2017</v>
      </c>
    </row>
    <row r="61" spans="1:17">
      <c r="A61" s="332" t="s">
        <v>318</v>
      </c>
      <c r="B61" s="333" t="s">
        <v>850</v>
      </c>
      <c r="C61" s="423" t="s">
        <v>329</v>
      </c>
      <c r="D61" s="332" t="s">
        <v>851</v>
      </c>
      <c r="E61" s="333">
        <v>201611</v>
      </c>
      <c r="F61" s="334">
        <v>-1.96</v>
      </c>
      <c r="G61" s="521">
        <f t="shared" si="2"/>
        <v>5.5</v>
      </c>
      <c r="H61" s="336">
        <v>1.3083000000000001E-3</v>
      </c>
      <c r="I61" s="523">
        <f t="shared" si="3"/>
        <v>-0.01</v>
      </c>
      <c r="J61" s="448">
        <f t="shared" si="4"/>
        <v>-0.03</v>
      </c>
      <c r="Q61" s="101">
        <f t="shared" si="6"/>
        <v>2017</v>
      </c>
    </row>
    <row r="62" spans="1:17">
      <c r="A62" s="332" t="s">
        <v>318</v>
      </c>
      <c r="B62" s="333" t="s">
        <v>1069</v>
      </c>
      <c r="C62" s="423" t="s">
        <v>330</v>
      </c>
      <c r="D62" s="332" t="s">
        <v>1105</v>
      </c>
      <c r="E62" s="333">
        <v>201611</v>
      </c>
      <c r="F62" s="334">
        <v>-2518.46</v>
      </c>
      <c r="G62" s="521">
        <f t="shared" si="2"/>
        <v>5.5</v>
      </c>
      <c r="H62" s="336">
        <v>1.3083000000000001E-3</v>
      </c>
      <c r="I62" s="523">
        <f t="shared" si="3"/>
        <v>-18.12</v>
      </c>
      <c r="J62" s="448">
        <f t="shared" si="4"/>
        <v>-39.54</v>
      </c>
      <c r="Q62" s="101">
        <f t="shared" si="6"/>
        <v>2017</v>
      </c>
    </row>
    <row r="63" spans="1:17" ht="15">
      <c r="A63" s="332" t="s">
        <v>318</v>
      </c>
      <c r="B63" s="333" t="s">
        <v>1069</v>
      </c>
      <c r="C63" s="424" t="s">
        <v>330</v>
      </c>
      <c r="D63" s="332" t="s">
        <v>1105</v>
      </c>
      <c r="E63" s="333">
        <v>201611</v>
      </c>
      <c r="F63" s="334">
        <v>-114</v>
      </c>
      <c r="G63" s="521">
        <f t="shared" si="2"/>
        <v>5.5</v>
      </c>
      <c r="H63" s="336">
        <v>1.3083000000000001E-3</v>
      </c>
      <c r="I63" s="523">
        <f t="shared" si="3"/>
        <v>-0.82</v>
      </c>
      <c r="J63" s="448">
        <f t="shared" si="4"/>
        <v>-1.79</v>
      </c>
      <c r="Q63" s="101">
        <f t="shared" si="6"/>
        <v>2017</v>
      </c>
    </row>
    <row r="64" spans="1:17" ht="15">
      <c r="A64" s="332" t="s">
        <v>318</v>
      </c>
      <c r="B64" s="333" t="s">
        <v>975</v>
      </c>
      <c r="C64" s="424" t="s">
        <v>330</v>
      </c>
      <c r="D64" s="332" t="s">
        <v>976</v>
      </c>
      <c r="E64" s="333">
        <v>201611</v>
      </c>
      <c r="F64" s="334">
        <v>0.65</v>
      </c>
      <c r="G64" s="521">
        <f t="shared" si="2"/>
        <v>5.5</v>
      </c>
      <c r="H64" s="336">
        <v>1.3083000000000001E-3</v>
      </c>
      <c r="I64" s="523">
        <f t="shared" si="3"/>
        <v>0</v>
      </c>
      <c r="J64" s="448">
        <f t="shared" si="4"/>
        <v>0.01</v>
      </c>
      <c r="Q64" s="101">
        <f t="shared" si="6"/>
        <v>2017</v>
      </c>
    </row>
    <row r="65" spans="1:17">
      <c r="A65" s="332" t="s">
        <v>318</v>
      </c>
      <c r="B65" s="333" t="s">
        <v>975</v>
      </c>
      <c r="C65" s="423" t="s">
        <v>330</v>
      </c>
      <c r="D65" s="332" t="s">
        <v>976</v>
      </c>
      <c r="E65" s="333">
        <v>201611</v>
      </c>
      <c r="F65" s="334">
        <v>45.74</v>
      </c>
      <c r="G65" s="521">
        <f t="shared" si="2"/>
        <v>5.5</v>
      </c>
      <c r="H65" s="336">
        <v>1.3083000000000001E-3</v>
      </c>
      <c r="I65" s="523">
        <f t="shared" si="3"/>
        <v>0.33</v>
      </c>
      <c r="J65" s="448">
        <f t="shared" si="4"/>
        <v>0.72</v>
      </c>
      <c r="Q65" s="101">
        <f t="shared" si="6"/>
        <v>2017</v>
      </c>
    </row>
    <row r="66" spans="1:17">
      <c r="A66" s="332" t="s">
        <v>318</v>
      </c>
      <c r="B66" s="333" t="s">
        <v>852</v>
      </c>
      <c r="C66" s="423" t="s">
        <v>330</v>
      </c>
      <c r="D66" s="332" t="s">
        <v>853</v>
      </c>
      <c r="E66" s="333">
        <v>201611</v>
      </c>
      <c r="F66" s="334">
        <v>1325.56</v>
      </c>
      <c r="G66" s="521">
        <f t="shared" si="2"/>
        <v>5.5</v>
      </c>
      <c r="H66" s="336">
        <v>1.3083000000000001E-3</v>
      </c>
      <c r="I66" s="523">
        <f t="shared" si="3"/>
        <v>9.5399999999999991</v>
      </c>
      <c r="J66" s="448">
        <f t="shared" si="4"/>
        <v>20.81</v>
      </c>
      <c r="Q66" s="101">
        <f t="shared" si="6"/>
        <v>2017</v>
      </c>
    </row>
    <row r="67" spans="1:17">
      <c r="A67" s="332" t="s">
        <v>318</v>
      </c>
      <c r="B67" s="333" t="s">
        <v>852</v>
      </c>
      <c r="C67" s="423" t="s">
        <v>330</v>
      </c>
      <c r="D67" s="332" t="s">
        <v>853</v>
      </c>
      <c r="E67" s="333">
        <v>201611</v>
      </c>
      <c r="F67" s="334">
        <v>6829.36</v>
      </c>
      <c r="G67" s="521">
        <f t="shared" si="2"/>
        <v>5.5</v>
      </c>
      <c r="H67" s="336">
        <v>1.3083000000000001E-3</v>
      </c>
      <c r="I67" s="523">
        <f t="shared" si="3"/>
        <v>49.14</v>
      </c>
      <c r="J67" s="448">
        <f t="shared" si="4"/>
        <v>107.22</v>
      </c>
      <c r="Q67" s="101">
        <f t="shared" si="6"/>
        <v>2017</v>
      </c>
    </row>
    <row r="68" spans="1:17">
      <c r="A68" s="332" t="s">
        <v>318</v>
      </c>
      <c r="B68" s="333" t="s">
        <v>870</v>
      </c>
      <c r="C68" s="423" t="s">
        <v>330</v>
      </c>
      <c r="D68" s="332" t="s">
        <v>871</v>
      </c>
      <c r="E68" s="333">
        <v>201611</v>
      </c>
      <c r="F68" s="334">
        <v>-13596.24</v>
      </c>
      <c r="G68" s="521">
        <f t="shared" si="2"/>
        <v>5.5</v>
      </c>
      <c r="H68" s="336">
        <v>1.3083000000000001E-3</v>
      </c>
      <c r="I68" s="523">
        <f t="shared" si="3"/>
        <v>-97.83</v>
      </c>
      <c r="J68" s="448">
        <f t="shared" si="4"/>
        <v>-213.46</v>
      </c>
      <c r="Q68" s="101">
        <f t="shared" si="6"/>
        <v>2017</v>
      </c>
    </row>
    <row r="69" spans="1:17">
      <c r="A69" s="332" t="s">
        <v>318</v>
      </c>
      <c r="B69" s="333" t="s">
        <v>870</v>
      </c>
      <c r="C69" s="423" t="s">
        <v>330</v>
      </c>
      <c r="D69" s="332" t="s">
        <v>871</v>
      </c>
      <c r="E69" s="333">
        <v>201611</v>
      </c>
      <c r="F69" s="334">
        <v>12007.77</v>
      </c>
      <c r="G69" s="521">
        <f t="shared" si="2"/>
        <v>5.5</v>
      </c>
      <c r="H69" s="336">
        <v>1.3083000000000001E-3</v>
      </c>
      <c r="I69" s="523">
        <f t="shared" si="3"/>
        <v>86.4</v>
      </c>
      <c r="J69" s="448">
        <f t="shared" si="4"/>
        <v>188.52</v>
      </c>
      <c r="Q69" s="101">
        <f t="shared" si="6"/>
        <v>2017</v>
      </c>
    </row>
    <row r="70" spans="1:17">
      <c r="A70" s="332" t="s">
        <v>318</v>
      </c>
      <c r="B70" s="333" t="s">
        <v>1039</v>
      </c>
      <c r="C70" s="423" t="s">
        <v>330</v>
      </c>
      <c r="D70" s="332" t="s">
        <v>1040</v>
      </c>
      <c r="E70" s="333">
        <v>201611</v>
      </c>
      <c r="F70" s="334">
        <v>263.55</v>
      </c>
      <c r="G70" s="521">
        <f t="shared" ref="G70:G131" si="7">VLOOKUP(E70,$N$6:$O$49,2,FALSE)</f>
        <v>5.5</v>
      </c>
      <c r="H70" s="336">
        <v>1.3083000000000001E-3</v>
      </c>
      <c r="I70" s="523">
        <f t="shared" ref="I70:I131" si="8">ROUND(F70*G70*H70,2)</f>
        <v>1.9</v>
      </c>
      <c r="J70" s="448">
        <f t="shared" ref="J70:J131" si="9">ROUND(F70*H70*12,2)</f>
        <v>4.1399999999999997</v>
      </c>
      <c r="Q70" s="101">
        <f t="shared" ref="Q70:Q132" si="10">IF(E70&lt;=$Q$1,$S$5,$S$6)</f>
        <v>2017</v>
      </c>
    </row>
    <row r="71" spans="1:17">
      <c r="A71" s="332" t="s">
        <v>318</v>
      </c>
      <c r="B71" s="333" t="s">
        <v>1039</v>
      </c>
      <c r="C71" s="423" t="s">
        <v>330</v>
      </c>
      <c r="D71" s="332" t="s">
        <v>1040</v>
      </c>
      <c r="E71" s="333">
        <v>201611</v>
      </c>
      <c r="F71" s="334">
        <v>5348.74</v>
      </c>
      <c r="G71" s="521">
        <f t="shared" si="7"/>
        <v>5.5</v>
      </c>
      <c r="H71" s="336">
        <v>1.3083000000000001E-3</v>
      </c>
      <c r="I71" s="523">
        <f t="shared" si="8"/>
        <v>38.49</v>
      </c>
      <c r="J71" s="448">
        <f t="shared" si="9"/>
        <v>83.97</v>
      </c>
      <c r="Q71" s="101">
        <f t="shared" si="10"/>
        <v>2017</v>
      </c>
    </row>
    <row r="72" spans="1:17">
      <c r="A72" s="332" t="s">
        <v>318</v>
      </c>
      <c r="B72" s="333" t="s">
        <v>872</v>
      </c>
      <c r="C72" s="423" t="s">
        <v>330</v>
      </c>
      <c r="D72" s="332" t="s">
        <v>873</v>
      </c>
      <c r="E72" s="333">
        <v>201611</v>
      </c>
      <c r="F72" s="334">
        <v>-18745.8</v>
      </c>
      <c r="G72" s="521">
        <f t="shared" si="7"/>
        <v>5.5</v>
      </c>
      <c r="H72" s="336">
        <v>1.3083000000000001E-3</v>
      </c>
      <c r="I72" s="523">
        <f t="shared" si="8"/>
        <v>-134.88999999999999</v>
      </c>
      <c r="J72" s="448">
        <f t="shared" si="9"/>
        <v>-294.3</v>
      </c>
      <c r="Q72" s="101">
        <f t="shared" si="10"/>
        <v>2017</v>
      </c>
    </row>
    <row r="73" spans="1:17">
      <c r="A73" s="332" t="s">
        <v>318</v>
      </c>
      <c r="B73" s="333" t="s">
        <v>872</v>
      </c>
      <c r="C73" s="423" t="s">
        <v>330</v>
      </c>
      <c r="D73" s="332" t="s">
        <v>873</v>
      </c>
      <c r="E73" s="333">
        <v>201611</v>
      </c>
      <c r="F73" s="334">
        <v>905.16</v>
      </c>
      <c r="G73" s="521">
        <f t="shared" si="7"/>
        <v>5.5</v>
      </c>
      <c r="H73" s="336">
        <v>1.3083000000000001E-3</v>
      </c>
      <c r="I73" s="523">
        <f t="shared" si="8"/>
        <v>6.51</v>
      </c>
      <c r="J73" s="448">
        <f t="shared" si="9"/>
        <v>14.21</v>
      </c>
      <c r="Q73" s="101">
        <f t="shared" si="10"/>
        <v>2017</v>
      </c>
    </row>
    <row r="74" spans="1:17">
      <c r="A74" s="332" t="s">
        <v>318</v>
      </c>
      <c r="B74" s="333" t="s">
        <v>977</v>
      </c>
      <c r="C74" s="423" t="s">
        <v>330</v>
      </c>
      <c r="D74" s="332" t="s">
        <v>978</v>
      </c>
      <c r="E74" s="333">
        <v>201611</v>
      </c>
      <c r="F74" s="334">
        <v>22.9</v>
      </c>
      <c r="G74" s="521">
        <f t="shared" si="7"/>
        <v>5.5</v>
      </c>
      <c r="H74" s="336">
        <v>1.3083000000000001E-3</v>
      </c>
      <c r="I74" s="523">
        <f t="shared" si="8"/>
        <v>0.16</v>
      </c>
      <c r="J74" s="448">
        <f t="shared" si="9"/>
        <v>0.36</v>
      </c>
      <c r="Q74" s="101">
        <f t="shared" si="10"/>
        <v>2017</v>
      </c>
    </row>
    <row r="75" spans="1:17">
      <c r="A75" s="332" t="s">
        <v>318</v>
      </c>
      <c r="B75" s="333" t="s">
        <v>977</v>
      </c>
      <c r="C75" s="423" t="s">
        <v>330</v>
      </c>
      <c r="D75" s="332" t="s">
        <v>978</v>
      </c>
      <c r="E75" s="333">
        <v>201611</v>
      </c>
      <c r="F75" s="334">
        <v>360.88</v>
      </c>
      <c r="G75" s="521">
        <f t="shared" si="7"/>
        <v>5.5</v>
      </c>
      <c r="H75" s="336">
        <v>1.3083000000000001E-3</v>
      </c>
      <c r="I75" s="523">
        <f t="shared" si="8"/>
        <v>2.6</v>
      </c>
      <c r="J75" s="448">
        <f t="shared" si="9"/>
        <v>5.67</v>
      </c>
      <c r="Q75" s="101">
        <f t="shared" si="10"/>
        <v>2017</v>
      </c>
    </row>
    <row r="76" spans="1:17">
      <c r="A76" s="332" t="s">
        <v>318</v>
      </c>
      <c r="B76" s="333" t="s">
        <v>1041</v>
      </c>
      <c r="C76" s="423" t="s">
        <v>330</v>
      </c>
      <c r="D76" s="332" t="s">
        <v>1042</v>
      </c>
      <c r="E76" s="333">
        <v>201611</v>
      </c>
      <c r="F76" s="334">
        <v>251.15</v>
      </c>
      <c r="G76" s="521">
        <f t="shared" si="7"/>
        <v>5.5</v>
      </c>
      <c r="H76" s="336">
        <v>1.3083000000000001E-3</v>
      </c>
      <c r="I76" s="523">
        <f t="shared" si="8"/>
        <v>1.81</v>
      </c>
      <c r="J76" s="448">
        <f t="shared" si="9"/>
        <v>3.94</v>
      </c>
      <c r="Q76" s="101">
        <f t="shared" si="10"/>
        <v>2017</v>
      </c>
    </row>
    <row r="77" spans="1:17" ht="15">
      <c r="A77" s="332" t="s">
        <v>318</v>
      </c>
      <c r="B77" s="333" t="s">
        <v>1041</v>
      </c>
      <c r="C77" s="424" t="s">
        <v>330</v>
      </c>
      <c r="D77" s="332" t="s">
        <v>1042</v>
      </c>
      <c r="E77" s="333">
        <v>201611</v>
      </c>
      <c r="F77" s="334">
        <v>3360.47</v>
      </c>
      <c r="G77" s="521">
        <f t="shared" si="7"/>
        <v>5.5</v>
      </c>
      <c r="H77" s="336">
        <v>1.3083000000000001E-3</v>
      </c>
      <c r="I77" s="523">
        <f t="shared" si="8"/>
        <v>24.18</v>
      </c>
      <c r="J77" s="448">
        <f t="shared" si="9"/>
        <v>52.76</v>
      </c>
      <c r="Q77" s="101">
        <f t="shared" si="10"/>
        <v>2017</v>
      </c>
    </row>
    <row r="78" spans="1:17" ht="15">
      <c r="A78" s="332" t="s">
        <v>318</v>
      </c>
      <c r="B78" s="333" t="s">
        <v>979</v>
      </c>
      <c r="C78" s="424" t="s">
        <v>330</v>
      </c>
      <c r="D78" s="332" t="s">
        <v>980</v>
      </c>
      <c r="E78" s="333">
        <v>201611</v>
      </c>
      <c r="F78" s="334">
        <v>1.43</v>
      </c>
      <c r="G78" s="521">
        <f t="shared" si="7"/>
        <v>5.5</v>
      </c>
      <c r="H78" s="336">
        <v>1.3083000000000001E-3</v>
      </c>
      <c r="I78" s="523">
        <f t="shared" si="8"/>
        <v>0.01</v>
      </c>
      <c r="J78" s="448">
        <f t="shared" si="9"/>
        <v>0.02</v>
      </c>
      <c r="Q78" s="101">
        <f t="shared" si="10"/>
        <v>2017</v>
      </c>
    </row>
    <row r="79" spans="1:17" ht="15">
      <c r="A79" s="332" t="s">
        <v>318</v>
      </c>
      <c r="B79" s="333" t="s">
        <v>979</v>
      </c>
      <c r="C79" s="424" t="s">
        <v>330</v>
      </c>
      <c r="D79" s="332" t="s">
        <v>980</v>
      </c>
      <c r="E79" s="333">
        <v>201611</v>
      </c>
      <c r="F79" s="334">
        <v>29.04</v>
      </c>
      <c r="G79" s="521">
        <f t="shared" si="7"/>
        <v>5.5</v>
      </c>
      <c r="H79" s="336">
        <v>1.3083000000000001E-3</v>
      </c>
      <c r="I79" s="523">
        <f t="shared" si="8"/>
        <v>0.21</v>
      </c>
      <c r="J79" s="448">
        <f t="shared" si="9"/>
        <v>0.46</v>
      </c>
      <c r="Q79" s="101">
        <f t="shared" si="10"/>
        <v>2017</v>
      </c>
    </row>
    <row r="80" spans="1:17" ht="15">
      <c r="A80" s="332" t="s">
        <v>318</v>
      </c>
      <c r="B80" s="333" t="s">
        <v>981</v>
      </c>
      <c r="C80" s="424" t="s">
        <v>330</v>
      </c>
      <c r="D80" s="332" t="s">
        <v>1014</v>
      </c>
      <c r="E80" s="333">
        <v>201611</v>
      </c>
      <c r="F80" s="334">
        <v>18.66</v>
      </c>
      <c r="G80" s="521">
        <f t="shared" si="7"/>
        <v>5.5</v>
      </c>
      <c r="H80" s="336">
        <v>1.3083000000000001E-3</v>
      </c>
      <c r="I80" s="523">
        <f t="shared" si="8"/>
        <v>0.13</v>
      </c>
      <c r="J80" s="448">
        <f t="shared" si="9"/>
        <v>0.28999999999999998</v>
      </c>
      <c r="Q80" s="101">
        <f t="shared" si="10"/>
        <v>2017</v>
      </c>
    </row>
    <row r="81" spans="1:17" ht="15">
      <c r="A81" s="332" t="s">
        <v>318</v>
      </c>
      <c r="B81" s="333" t="s">
        <v>981</v>
      </c>
      <c r="C81" s="424" t="s">
        <v>330</v>
      </c>
      <c r="D81" s="332" t="s">
        <v>1014</v>
      </c>
      <c r="E81" s="333">
        <v>201611</v>
      </c>
      <c r="F81" s="334">
        <v>102.47</v>
      </c>
      <c r="G81" s="521">
        <f t="shared" si="7"/>
        <v>5.5</v>
      </c>
      <c r="H81" s="336">
        <v>1.3083000000000001E-3</v>
      </c>
      <c r="I81" s="523">
        <f t="shared" si="8"/>
        <v>0.74</v>
      </c>
      <c r="J81" s="448">
        <f t="shared" si="9"/>
        <v>1.61</v>
      </c>
      <c r="Q81" s="101">
        <f t="shared" si="10"/>
        <v>2017</v>
      </c>
    </row>
    <row r="82" spans="1:17" ht="15">
      <c r="A82" s="332" t="s">
        <v>318</v>
      </c>
      <c r="B82" s="333" t="s">
        <v>981</v>
      </c>
      <c r="C82" s="424" t="s">
        <v>330</v>
      </c>
      <c r="D82" s="332" t="s">
        <v>1014</v>
      </c>
      <c r="E82" s="333">
        <v>201611</v>
      </c>
      <c r="F82" s="334">
        <v>2023.18</v>
      </c>
      <c r="G82" s="521">
        <f t="shared" si="7"/>
        <v>5.5</v>
      </c>
      <c r="H82" s="336">
        <v>1.3083000000000001E-3</v>
      </c>
      <c r="I82" s="523">
        <f t="shared" si="8"/>
        <v>14.56</v>
      </c>
      <c r="J82" s="448">
        <f t="shared" si="9"/>
        <v>31.76</v>
      </c>
      <c r="Q82" s="101">
        <f t="shared" si="10"/>
        <v>2017</v>
      </c>
    </row>
    <row r="83" spans="1:17">
      <c r="A83" s="332" t="s">
        <v>318</v>
      </c>
      <c r="B83" s="333" t="s">
        <v>874</v>
      </c>
      <c r="C83" s="423" t="s">
        <v>330</v>
      </c>
      <c r="D83" s="332" t="s">
        <v>875</v>
      </c>
      <c r="E83" s="333">
        <v>201611</v>
      </c>
      <c r="F83" s="334">
        <v>-2553.87</v>
      </c>
      <c r="G83" s="521">
        <f t="shared" si="7"/>
        <v>5.5</v>
      </c>
      <c r="H83" s="336">
        <v>1.3083000000000001E-3</v>
      </c>
      <c r="I83" s="523">
        <f t="shared" si="8"/>
        <v>-18.38</v>
      </c>
      <c r="J83" s="448">
        <f t="shared" si="9"/>
        <v>-40.090000000000003</v>
      </c>
      <c r="Q83" s="101">
        <f t="shared" si="10"/>
        <v>2017</v>
      </c>
    </row>
    <row r="84" spans="1:17">
      <c r="A84" s="332" t="s">
        <v>318</v>
      </c>
      <c r="B84" s="333" t="s">
        <v>874</v>
      </c>
      <c r="C84" s="423" t="s">
        <v>330</v>
      </c>
      <c r="D84" s="332" t="s">
        <v>875</v>
      </c>
      <c r="E84" s="333">
        <v>201611</v>
      </c>
      <c r="F84" s="334">
        <v>1916.25</v>
      </c>
      <c r="G84" s="521">
        <f t="shared" si="7"/>
        <v>5.5</v>
      </c>
      <c r="H84" s="336">
        <v>1.3083000000000001E-3</v>
      </c>
      <c r="I84" s="523">
        <f t="shared" si="8"/>
        <v>13.79</v>
      </c>
      <c r="J84" s="448">
        <f t="shared" si="9"/>
        <v>30.08</v>
      </c>
      <c r="Q84" s="101">
        <f t="shared" si="10"/>
        <v>2017</v>
      </c>
    </row>
    <row r="85" spans="1:17">
      <c r="A85" s="332" t="s">
        <v>318</v>
      </c>
      <c r="B85" s="333" t="s">
        <v>983</v>
      </c>
      <c r="C85" s="423" t="s">
        <v>330</v>
      </c>
      <c r="D85" s="332" t="s">
        <v>984</v>
      </c>
      <c r="E85" s="333">
        <v>201611</v>
      </c>
      <c r="F85" s="334">
        <v>1.48</v>
      </c>
      <c r="G85" s="521">
        <f t="shared" si="7"/>
        <v>5.5</v>
      </c>
      <c r="H85" s="336">
        <v>1.3083000000000001E-3</v>
      </c>
      <c r="I85" s="523">
        <f t="shared" si="8"/>
        <v>0.01</v>
      </c>
      <c r="J85" s="448">
        <f t="shared" si="9"/>
        <v>0.02</v>
      </c>
      <c r="Q85" s="101">
        <f t="shared" si="10"/>
        <v>2017</v>
      </c>
    </row>
    <row r="86" spans="1:17">
      <c r="A86" s="332" t="s">
        <v>318</v>
      </c>
      <c r="B86" s="333" t="s">
        <v>983</v>
      </c>
      <c r="C86" s="423" t="s">
        <v>330</v>
      </c>
      <c r="D86" s="332" t="s">
        <v>984</v>
      </c>
      <c r="E86" s="333">
        <v>201611</v>
      </c>
      <c r="F86" s="334">
        <v>41.57</v>
      </c>
      <c r="G86" s="521">
        <f t="shared" si="7"/>
        <v>5.5</v>
      </c>
      <c r="H86" s="336">
        <v>1.3083000000000001E-3</v>
      </c>
      <c r="I86" s="523">
        <f t="shared" si="8"/>
        <v>0.3</v>
      </c>
      <c r="J86" s="448">
        <f t="shared" si="9"/>
        <v>0.65</v>
      </c>
      <c r="Q86" s="101">
        <f t="shared" si="10"/>
        <v>2017</v>
      </c>
    </row>
    <row r="87" spans="1:17">
      <c r="A87" s="332" t="s">
        <v>318</v>
      </c>
      <c r="B87" s="333" t="s">
        <v>1043</v>
      </c>
      <c r="C87" s="423" t="s">
        <v>330</v>
      </c>
      <c r="D87" s="332" t="s">
        <v>1044</v>
      </c>
      <c r="E87" s="333">
        <v>201611</v>
      </c>
      <c r="F87" s="334">
        <v>14.91</v>
      </c>
      <c r="G87" s="521">
        <f t="shared" si="7"/>
        <v>5.5</v>
      </c>
      <c r="H87" s="336">
        <v>1.3083000000000001E-3</v>
      </c>
      <c r="I87" s="523">
        <f t="shared" si="8"/>
        <v>0.11</v>
      </c>
      <c r="J87" s="448">
        <f t="shared" si="9"/>
        <v>0.23</v>
      </c>
      <c r="Q87" s="101">
        <f t="shared" si="10"/>
        <v>2017</v>
      </c>
    </row>
    <row r="88" spans="1:17">
      <c r="A88" s="332" t="s">
        <v>318</v>
      </c>
      <c r="B88" s="333" t="s">
        <v>1043</v>
      </c>
      <c r="C88" s="423" t="s">
        <v>330</v>
      </c>
      <c r="D88" s="332" t="s">
        <v>1044</v>
      </c>
      <c r="E88" s="333">
        <v>201611</v>
      </c>
      <c r="F88" s="334">
        <v>273.77999999999997</v>
      </c>
      <c r="G88" s="521">
        <f t="shared" si="7"/>
        <v>5.5</v>
      </c>
      <c r="H88" s="336">
        <v>1.3083000000000001E-3</v>
      </c>
      <c r="I88" s="523">
        <f t="shared" si="8"/>
        <v>1.97</v>
      </c>
      <c r="J88" s="448">
        <f t="shared" si="9"/>
        <v>4.3</v>
      </c>
      <c r="Q88" s="101">
        <f t="shared" si="10"/>
        <v>2017</v>
      </c>
    </row>
    <row r="89" spans="1:17">
      <c r="A89" s="332" t="s">
        <v>318</v>
      </c>
      <c r="B89" s="333" t="s">
        <v>876</v>
      </c>
      <c r="C89" s="423" t="s">
        <v>330</v>
      </c>
      <c r="D89" s="332" t="s">
        <v>877</v>
      </c>
      <c r="E89" s="333">
        <v>201611</v>
      </c>
      <c r="F89" s="334">
        <v>-74.81</v>
      </c>
      <c r="G89" s="521">
        <f t="shared" si="7"/>
        <v>5.5</v>
      </c>
      <c r="H89" s="336">
        <v>1.3083000000000001E-3</v>
      </c>
      <c r="I89" s="523">
        <f t="shared" si="8"/>
        <v>-0.54</v>
      </c>
      <c r="J89" s="448">
        <f t="shared" si="9"/>
        <v>-1.17</v>
      </c>
      <c r="Q89" s="101">
        <f t="shared" si="10"/>
        <v>2017</v>
      </c>
    </row>
    <row r="90" spans="1:17" ht="15">
      <c r="A90" s="332" t="s">
        <v>318</v>
      </c>
      <c r="B90" s="333" t="s">
        <v>876</v>
      </c>
      <c r="C90" s="424" t="s">
        <v>330</v>
      </c>
      <c r="D90" s="332" t="s">
        <v>877</v>
      </c>
      <c r="E90" s="333">
        <v>201611</v>
      </c>
      <c r="F90" s="334">
        <v>-4.22</v>
      </c>
      <c r="G90" s="521">
        <f t="shared" si="7"/>
        <v>5.5</v>
      </c>
      <c r="H90" s="336">
        <v>1.3083000000000001E-3</v>
      </c>
      <c r="I90" s="523">
        <f t="shared" si="8"/>
        <v>-0.03</v>
      </c>
      <c r="J90" s="448">
        <f t="shared" si="9"/>
        <v>-7.0000000000000007E-2</v>
      </c>
      <c r="Q90" s="101">
        <f t="shared" si="10"/>
        <v>2017</v>
      </c>
    </row>
    <row r="91" spans="1:17" ht="15">
      <c r="A91" s="332" t="s">
        <v>318</v>
      </c>
      <c r="B91" s="333" t="s">
        <v>1045</v>
      </c>
      <c r="C91" s="424" t="s">
        <v>330</v>
      </c>
      <c r="D91" s="332" t="s">
        <v>1046</v>
      </c>
      <c r="E91" s="333">
        <v>201611</v>
      </c>
      <c r="F91" s="334">
        <v>1.1499999999999999</v>
      </c>
      <c r="G91" s="521">
        <f t="shared" si="7"/>
        <v>5.5</v>
      </c>
      <c r="H91" s="336">
        <v>1.3083000000000001E-3</v>
      </c>
      <c r="I91" s="523">
        <f t="shared" si="8"/>
        <v>0.01</v>
      </c>
      <c r="J91" s="448">
        <f t="shared" si="9"/>
        <v>0.02</v>
      </c>
      <c r="Q91" s="101">
        <f t="shared" si="10"/>
        <v>2017</v>
      </c>
    </row>
    <row r="92" spans="1:17">
      <c r="A92" s="332" t="s">
        <v>318</v>
      </c>
      <c r="B92" s="333" t="s">
        <v>1045</v>
      </c>
      <c r="C92" s="423" t="s">
        <v>330</v>
      </c>
      <c r="D92" s="332" t="s">
        <v>1046</v>
      </c>
      <c r="E92" s="333">
        <v>201611</v>
      </c>
      <c r="F92" s="334">
        <v>20.34</v>
      </c>
      <c r="G92" s="521">
        <f t="shared" si="7"/>
        <v>5.5</v>
      </c>
      <c r="H92" s="336">
        <v>1.3083000000000001E-3</v>
      </c>
      <c r="I92" s="523">
        <f t="shared" si="8"/>
        <v>0.15</v>
      </c>
      <c r="J92" s="448">
        <f t="shared" si="9"/>
        <v>0.32</v>
      </c>
      <c r="Q92" s="101">
        <f t="shared" si="10"/>
        <v>2017</v>
      </c>
    </row>
    <row r="93" spans="1:17">
      <c r="A93" s="332" t="s">
        <v>318</v>
      </c>
      <c r="B93" s="333" t="s">
        <v>987</v>
      </c>
      <c r="C93" s="423" t="s">
        <v>330</v>
      </c>
      <c r="D93" s="332" t="s">
        <v>988</v>
      </c>
      <c r="E93" s="333">
        <v>201611</v>
      </c>
      <c r="F93" s="334">
        <v>0.09</v>
      </c>
      <c r="G93" s="521">
        <f t="shared" si="7"/>
        <v>5.5</v>
      </c>
      <c r="H93" s="336">
        <v>1.3083000000000001E-3</v>
      </c>
      <c r="I93" s="523">
        <f t="shared" si="8"/>
        <v>0</v>
      </c>
      <c r="J93" s="448">
        <f t="shared" si="9"/>
        <v>0</v>
      </c>
      <c r="Q93" s="101">
        <f t="shared" si="10"/>
        <v>2017</v>
      </c>
    </row>
    <row r="94" spans="1:17" ht="15">
      <c r="A94" s="332" t="s">
        <v>318</v>
      </c>
      <c r="B94" s="333" t="s">
        <v>987</v>
      </c>
      <c r="C94" s="424" t="s">
        <v>330</v>
      </c>
      <c r="D94" s="332" t="s">
        <v>988</v>
      </c>
      <c r="E94" s="333">
        <v>201611</v>
      </c>
      <c r="F94" s="334">
        <v>1.9</v>
      </c>
      <c r="G94" s="521">
        <f t="shared" si="7"/>
        <v>5.5</v>
      </c>
      <c r="H94" s="336">
        <v>1.3083000000000001E-3</v>
      </c>
      <c r="I94" s="523">
        <f t="shared" si="8"/>
        <v>0.01</v>
      </c>
      <c r="J94" s="448">
        <f t="shared" si="9"/>
        <v>0.03</v>
      </c>
      <c r="Q94" s="101">
        <f t="shared" si="10"/>
        <v>2017</v>
      </c>
    </row>
    <row r="95" spans="1:17" ht="15">
      <c r="A95" s="332" t="s">
        <v>318</v>
      </c>
      <c r="B95" s="333" t="s">
        <v>991</v>
      </c>
      <c r="C95" s="424" t="s">
        <v>330</v>
      </c>
      <c r="D95" s="332" t="s">
        <v>992</v>
      </c>
      <c r="E95" s="333">
        <v>201611</v>
      </c>
      <c r="F95" s="334">
        <v>-449.03</v>
      </c>
      <c r="G95" s="521">
        <f t="shared" si="7"/>
        <v>5.5</v>
      </c>
      <c r="H95" s="336">
        <v>1.3083000000000001E-3</v>
      </c>
      <c r="I95" s="523">
        <f t="shared" si="8"/>
        <v>-3.23</v>
      </c>
      <c r="J95" s="448">
        <f t="shared" si="9"/>
        <v>-7.05</v>
      </c>
      <c r="Q95" s="101">
        <f t="shared" si="10"/>
        <v>2017</v>
      </c>
    </row>
    <row r="96" spans="1:17">
      <c r="A96" s="332" t="s">
        <v>318</v>
      </c>
      <c r="B96" s="333" t="s">
        <v>991</v>
      </c>
      <c r="C96" s="423" t="s">
        <v>330</v>
      </c>
      <c r="D96" s="332" t="s">
        <v>992</v>
      </c>
      <c r="E96" s="333">
        <v>201611</v>
      </c>
      <c r="F96" s="334">
        <v>114.54</v>
      </c>
      <c r="G96" s="521">
        <f t="shared" si="7"/>
        <v>5.5</v>
      </c>
      <c r="H96" s="336">
        <v>1.3083000000000001E-3</v>
      </c>
      <c r="I96" s="523">
        <f t="shared" si="8"/>
        <v>0.82</v>
      </c>
      <c r="J96" s="448">
        <f t="shared" si="9"/>
        <v>1.8</v>
      </c>
      <c r="Q96" s="101">
        <f t="shared" si="10"/>
        <v>2017</v>
      </c>
    </row>
    <row r="97" spans="1:17">
      <c r="A97" s="332" t="s">
        <v>318</v>
      </c>
      <c r="B97" s="333" t="s">
        <v>880</v>
      </c>
      <c r="C97" s="423" t="s">
        <v>330</v>
      </c>
      <c r="D97" s="332" t="s">
        <v>881</v>
      </c>
      <c r="E97" s="333">
        <v>201611</v>
      </c>
      <c r="F97" s="334">
        <v>-31679.119999999999</v>
      </c>
      <c r="G97" s="521">
        <f t="shared" si="7"/>
        <v>5.5</v>
      </c>
      <c r="H97" s="336">
        <v>1.3083000000000001E-3</v>
      </c>
      <c r="I97" s="523">
        <f t="shared" si="8"/>
        <v>-227.95</v>
      </c>
      <c r="J97" s="448">
        <f t="shared" si="9"/>
        <v>-497.35</v>
      </c>
      <c r="Q97" s="101">
        <f t="shared" si="10"/>
        <v>2017</v>
      </c>
    </row>
    <row r="98" spans="1:17" ht="15">
      <c r="A98" s="332" t="s">
        <v>318</v>
      </c>
      <c r="B98" s="333" t="s">
        <v>880</v>
      </c>
      <c r="C98" s="424" t="s">
        <v>330</v>
      </c>
      <c r="D98" s="332" t="s">
        <v>881</v>
      </c>
      <c r="E98" s="333">
        <v>201611</v>
      </c>
      <c r="F98" s="334">
        <v>-1563.71</v>
      </c>
      <c r="G98" s="521">
        <f t="shared" si="7"/>
        <v>5.5</v>
      </c>
      <c r="H98" s="336">
        <v>1.3083000000000001E-3</v>
      </c>
      <c r="I98" s="523">
        <f t="shared" si="8"/>
        <v>-11.25</v>
      </c>
      <c r="J98" s="448">
        <f t="shared" si="9"/>
        <v>-24.55</v>
      </c>
      <c r="Q98" s="101">
        <f t="shared" si="10"/>
        <v>2017</v>
      </c>
    </row>
    <row r="99" spans="1:17" ht="15">
      <c r="A99" s="332" t="s">
        <v>318</v>
      </c>
      <c r="B99" s="333" t="s">
        <v>993</v>
      </c>
      <c r="C99" s="424" t="s">
        <v>330</v>
      </c>
      <c r="D99" s="332" t="s">
        <v>994</v>
      </c>
      <c r="E99" s="333">
        <v>201611</v>
      </c>
      <c r="F99" s="334">
        <v>74.44</v>
      </c>
      <c r="G99" s="521">
        <f t="shared" si="7"/>
        <v>5.5</v>
      </c>
      <c r="H99" s="336">
        <v>1.3083000000000001E-3</v>
      </c>
      <c r="I99" s="523">
        <f t="shared" si="8"/>
        <v>0.54</v>
      </c>
      <c r="J99" s="448">
        <f t="shared" si="9"/>
        <v>1.17</v>
      </c>
      <c r="Q99" s="101">
        <f t="shared" si="10"/>
        <v>2017</v>
      </c>
    </row>
    <row r="100" spans="1:17" ht="15">
      <c r="A100" s="332" t="s">
        <v>318</v>
      </c>
      <c r="B100" s="333" t="s">
        <v>993</v>
      </c>
      <c r="C100" s="424" t="s">
        <v>330</v>
      </c>
      <c r="D100" s="332" t="s">
        <v>994</v>
      </c>
      <c r="E100" s="333">
        <v>201611</v>
      </c>
      <c r="F100" s="334">
        <v>1478.94</v>
      </c>
      <c r="G100" s="521">
        <f t="shared" si="7"/>
        <v>5.5</v>
      </c>
      <c r="H100" s="336">
        <v>1.3083000000000001E-3</v>
      </c>
      <c r="I100" s="523">
        <f t="shared" si="8"/>
        <v>10.64</v>
      </c>
      <c r="J100" s="448">
        <f t="shared" si="9"/>
        <v>23.22</v>
      </c>
      <c r="Q100" s="101">
        <f t="shared" si="10"/>
        <v>2017</v>
      </c>
    </row>
    <row r="101" spans="1:17" ht="15">
      <c r="A101" s="332" t="s">
        <v>318</v>
      </c>
      <c r="B101" s="333" t="s">
        <v>996</v>
      </c>
      <c r="C101" s="424" t="s">
        <v>330</v>
      </c>
      <c r="D101" s="332" t="s">
        <v>997</v>
      </c>
      <c r="E101" s="333">
        <v>201611</v>
      </c>
      <c r="F101" s="334">
        <v>59.92</v>
      </c>
      <c r="G101" s="521">
        <f t="shared" si="7"/>
        <v>5.5</v>
      </c>
      <c r="H101" s="336">
        <v>1.3083000000000001E-3</v>
      </c>
      <c r="I101" s="523">
        <f t="shared" si="8"/>
        <v>0.43</v>
      </c>
      <c r="J101" s="448">
        <f t="shared" si="9"/>
        <v>0.94</v>
      </c>
      <c r="Q101" s="101">
        <f t="shared" si="10"/>
        <v>2017</v>
      </c>
    </row>
    <row r="102" spans="1:17" ht="15">
      <c r="A102" s="332" t="s">
        <v>318</v>
      </c>
      <c r="B102" s="333" t="s">
        <v>996</v>
      </c>
      <c r="C102" s="424" t="s">
        <v>330</v>
      </c>
      <c r="D102" s="332" t="s">
        <v>997</v>
      </c>
      <c r="E102" s="333">
        <v>201611</v>
      </c>
      <c r="F102" s="334">
        <v>1661.15</v>
      </c>
      <c r="G102" s="521">
        <f t="shared" si="7"/>
        <v>5.5</v>
      </c>
      <c r="H102" s="336">
        <v>1.3083000000000001E-3</v>
      </c>
      <c r="I102" s="523">
        <f t="shared" si="8"/>
        <v>11.95</v>
      </c>
      <c r="J102" s="448">
        <f t="shared" si="9"/>
        <v>26.08</v>
      </c>
      <c r="Q102" s="101">
        <f t="shared" si="10"/>
        <v>2017</v>
      </c>
    </row>
    <row r="103" spans="1:17" ht="15">
      <c r="A103" s="332" t="s">
        <v>318</v>
      </c>
      <c r="B103" s="333" t="s">
        <v>1047</v>
      </c>
      <c r="C103" s="424" t="s">
        <v>329</v>
      </c>
      <c r="D103" s="332" t="s">
        <v>1048</v>
      </c>
      <c r="E103" s="333">
        <v>201611</v>
      </c>
      <c r="F103" s="334">
        <v>-135.26</v>
      </c>
      <c r="G103" s="521">
        <f t="shared" si="7"/>
        <v>5.5</v>
      </c>
      <c r="H103" s="336">
        <v>1.3083000000000001E-3</v>
      </c>
      <c r="I103" s="523">
        <f t="shared" si="8"/>
        <v>-0.97</v>
      </c>
      <c r="J103" s="448">
        <f t="shared" si="9"/>
        <v>-2.12</v>
      </c>
      <c r="Q103" s="101">
        <f t="shared" si="10"/>
        <v>2017</v>
      </c>
    </row>
    <row r="104" spans="1:17" ht="15">
      <c r="A104" s="332" t="s">
        <v>318</v>
      </c>
      <c r="B104" s="333" t="s">
        <v>1047</v>
      </c>
      <c r="C104" s="424" t="s">
        <v>329</v>
      </c>
      <c r="D104" s="332" t="s">
        <v>1048</v>
      </c>
      <c r="E104" s="333">
        <v>201611</v>
      </c>
      <c r="F104" s="334">
        <v>-42.73</v>
      </c>
      <c r="G104" s="521">
        <f t="shared" si="7"/>
        <v>5.5</v>
      </c>
      <c r="H104" s="336">
        <v>1.3083000000000001E-3</v>
      </c>
      <c r="I104" s="523">
        <f t="shared" si="8"/>
        <v>-0.31</v>
      </c>
      <c r="J104" s="448">
        <f t="shared" si="9"/>
        <v>-0.67</v>
      </c>
      <c r="Q104" s="101">
        <f t="shared" si="10"/>
        <v>2017</v>
      </c>
    </row>
    <row r="105" spans="1:17" ht="15">
      <c r="A105" s="332" t="s">
        <v>318</v>
      </c>
      <c r="B105" s="333" t="s">
        <v>887</v>
      </c>
      <c r="C105" s="424" t="s">
        <v>330</v>
      </c>
      <c r="D105" s="332" t="s">
        <v>888</v>
      </c>
      <c r="E105" s="333">
        <v>201611</v>
      </c>
      <c r="F105" s="334">
        <v>1.91</v>
      </c>
      <c r="G105" s="521">
        <f t="shared" si="7"/>
        <v>5.5</v>
      </c>
      <c r="H105" s="336">
        <v>1.3083000000000001E-3</v>
      </c>
      <c r="I105" s="523">
        <f t="shared" si="8"/>
        <v>0.01</v>
      </c>
      <c r="J105" s="448">
        <f t="shared" si="9"/>
        <v>0.03</v>
      </c>
      <c r="Q105" s="101">
        <f t="shared" si="10"/>
        <v>2017</v>
      </c>
    </row>
    <row r="106" spans="1:17" ht="15">
      <c r="A106" s="332" t="s">
        <v>318</v>
      </c>
      <c r="B106" s="333" t="s">
        <v>887</v>
      </c>
      <c r="C106" s="424" t="s">
        <v>330</v>
      </c>
      <c r="D106" s="332" t="s">
        <v>888</v>
      </c>
      <c r="E106" s="333">
        <v>201611</v>
      </c>
      <c r="F106" s="334">
        <v>106.88</v>
      </c>
      <c r="G106" s="521">
        <f t="shared" si="7"/>
        <v>5.5</v>
      </c>
      <c r="H106" s="336">
        <v>1.3083000000000001E-3</v>
      </c>
      <c r="I106" s="523">
        <f t="shared" si="8"/>
        <v>0.77</v>
      </c>
      <c r="J106" s="448">
        <f t="shared" si="9"/>
        <v>1.68</v>
      </c>
      <c r="Q106" s="101">
        <f t="shared" si="10"/>
        <v>2017</v>
      </c>
    </row>
    <row r="107" spans="1:17" ht="15">
      <c r="A107" s="332" t="s">
        <v>318</v>
      </c>
      <c r="B107" s="333" t="s">
        <v>1071</v>
      </c>
      <c r="C107" s="424" t="s">
        <v>330</v>
      </c>
      <c r="D107" s="332" t="s">
        <v>1072</v>
      </c>
      <c r="E107" s="333">
        <v>201611</v>
      </c>
      <c r="F107" s="334">
        <v>-2288.6999999999998</v>
      </c>
      <c r="G107" s="521">
        <f t="shared" si="7"/>
        <v>5.5</v>
      </c>
      <c r="H107" s="336">
        <v>1.3083000000000001E-3</v>
      </c>
      <c r="I107" s="523">
        <f t="shared" si="8"/>
        <v>-16.47</v>
      </c>
      <c r="J107" s="448">
        <f t="shared" si="9"/>
        <v>-35.93</v>
      </c>
      <c r="Q107" s="101">
        <f t="shared" si="10"/>
        <v>2017</v>
      </c>
    </row>
    <row r="108" spans="1:17">
      <c r="A108" s="332" t="s">
        <v>318</v>
      </c>
      <c r="B108" s="333" t="s">
        <v>889</v>
      </c>
      <c r="C108" s="423" t="s">
        <v>414</v>
      </c>
      <c r="D108" s="332" t="s">
        <v>890</v>
      </c>
      <c r="E108" s="333">
        <v>201611</v>
      </c>
      <c r="F108" s="334">
        <v>1.0900000000000001</v>
      </c>
      <c r="G108" s="521">
        <f t="shared" si="7"/>
        <v>5.5</v>
      </c>
      <c r="H108" s="336">
        <v>1.3083000000000001E-3</v>
      </c>
      <c r="I108" s="523">
        <f t="shared" si="8"/>
        <v>0.01</v>
      </c>
      <c r="J108" s="448">
        <f t="shared" si="9"/>
        <v>0.02</v>
      </c>
      <c r="Q108" s="101">
        <f t="shared" si="10"/>
        <v>2017</v>
      </c>
    </row>
    <row r="109" spans="1:17">
      <c r="A109" s="332" t="s">
        <v>318</v>
      </c>
      <c r="B109" s="333" t="s">
        <v>889</v>
      </c>
      <c r="C109" s="423" t="s">
        <v>414</v>
      </c>
      <c r="D109" s="332" t="s">
        <v>890</v>
      </c>
      <c r="E109" s="333">
        <v>201611</v>
      </c>
      <c r="F109" s="334">
        <v>28.5</v>
      </c>
      <c r="G109" s="521">
        <f t="shared" si="7"/>
        <v>5.5</v>
      </c>
      <c r="H109" s="336">
        <v>1.3083000000000001E-3</v>
      </c>
      <c r="I109" s="523">
        <f t="shared" si="8"/>
        <v>0.21</v>
      </c>
      <c r="J109" s="448">
        <f t="shared" si="9"/>
        <v>0.45</v>
      </c>
      <c r="Q109" s="101">
        <f t="shared" si="10"/>
        <v>2017</v>
      </c>
    </row>
    <row r="110" spans="1:17" ht="15">
      <c r="A110" s="332" t="s">
        <v>318</v>
      </c>
      <c r="B110" s="333" t="s">
        <v>1006</v>
      </c>
      <c r="C110" s="424" t="s">
        <v>414</v>
      </c>
      <c r="D110" s="332" t="s">
        <v>1007</v>
      </c>
      <c r="E110" s="333">
        <v>201611</v>
      </c>
      <c r="F110" s="334">
        <v>-24.4</v>
      </c>
      <c r="G110" s="521">
        <f t="shared" si="7"/>
        <v>5.5</v>
      </c>
      <c r="H110" s="336">
        <v>1.3083000000000001E-3</v>
      </c>
      <c r="I110" s="523">
        <f t="shared" si="8"/>
        <v>-0.18</v>
      </c>
      <c r="J110" s="448">
        <f t="shared" si="9"/>
        <v>-0.38</v>
      </c>
      <c r="Q110" s="101">
        <f t="shared" si="10"/>
        <v>2017</v>
      </c>
    </row>
    <row r="111" spans="1:17" ht="15">
      <c r="A111" s="332" t="s">
        <v>318</v>
      </c>
      <c r="B111" s="333" t="s">
        <v>1006</v>
      </c>
      <c r="C111" s="424" t="s">
        <v>414</v>
      </c>
      <c r="D111" s="332" t="s">
        <v>1007</v>
      </c>
      <c r="E111" s="333">
        <v>201611</v>
      </c>
      <c r="F111" s="334">
        <v>-0.35</v>
      </c>
      <c r="G111" s="521">
        <f t="shared" si="7"/>
        <v>5.5</v>
      </c>
      <c r="H111" s="336">
        <v>1.3083000000000001E-3</v>
      </c>
      <c r="I111" s="523">
        <f t="shared" si="8"/>
        <v>0</v>
      </c>
      <c r="J111" s="448">
        <f t="shared" si="9"/>
        <v>-0.01</v>
      </c>
      <c r="Q111" s="101">
        <f t="shared" si="10"/>
        <v>2017</v>
      </c>
    </row>
    <row r="112" spans="1:17">
      <c r="A112" s="332" t="s">
        <v>318</v>
      </c>
      <c r="B112" s="333" t="s">
        <v>1012</v>
      </c>
      <c r="C112" s="423" t="s">
        <v>331</v>
      </c>
      <c r="D112" s="332" t="s">
        <v>1013</v>
      </c>
      <c r="E112" s="333">
        <v>201611</v>
      </c>
      <c r="F112" s="334">
        <v>0.51</v>
      </c>
      <c r="G112" s="521">
        <f t="shared" si="7"/>
        <v>5.5</v>
      </c>
      <c r="H112" s="336">
        <v>1.3083000000000001E-3</v>
      </c>
      <c r="I112" s="523">
        <f t="shared" si="8"/>
        <v>0</v>
      </c>
      <c r="J112" s="448">
        <f t="shared" si="9"/>
        <v>0.01</v>
      </c>
      <c r="Q112" s="101">
        <f t="shared" si="10"/>
        <v>2017</v>
      </c>
    </row>
    <row r="113" spans="1:17">
      <c r="A113" s="332" t="s">
        <v>318</v>
      </c>
      <c r="B113" s="333" t="s">
        <v>1012</v>
      </c>
      <c r="C113" s="423" t="s">
        <v>331</v>
      </c>
      <c r="D113" s="332" t="s">
        <v>1013</v>
      </c>
      <c r="E113" s="333">
        <v>201611</v>
      </c>
      <c r="F113" s="334">
        <v>6.72</v>
      </c>
      <c r="G113" s="521">
        <f t="shared" si="7"/>
        <v>5.5</v>
      </c>
      <c r="H113" s="336">
        <v>1.3083000000000001E-3</v>
      </c>
      <c r="I113" s="523">
        <f t="shared" si="8"/>
        <v>0.05</v>
      </c>
      <c r="J113" s="448">
        <f t="shared" si="9"/>
        <v>0.11</v>
      </c>
      <c r="Q113" s="101">
        <f t="shared" si="10"/>
        <v>2017</v>
      </c>
    </row>
    <row r="114" spans="1:17">
      <c r="A114" s="332" t="s">
        <v>318</v>
      </c>
      <c r="B114" s="333" t="s">
        <v>1073</v>
      </c>
      <c r="C114" s="423" t="s">
        <v>331</v>
      </c>
      <c r="D114" s="332" t="s">
        <v>1074</v>
      </c>
      <c r="E114" s="333">
        <v>201611</v>
      </c>
      <c r="F114" s="334">
        <v>398.87</v>
      </c>
      <c r="G114" s="521">
        <f t="shared" si="7"/>
        <v>5.5</v>
      </c>
      <c r="H114" s="336">
        <v>1.3083000000000001E-3</v>
      </c>
      <c r="I114" s="523">
        <f t="shared" si="8"/>
        <v>2.87</v>
      </c>
      <c r="J114" s="448">
        <f t="shared" si="9"/>
        <v>6.26</v>
      </c>
      <c r="Q114" s="101">
        <f t="shared" si="10"/>
        <v>2017</v>
      </c>
    </row>
    <row r="115" spans="1:17">
      <c r="A115" s="332" t="s">
        <v>318</v>
      </c>
      <c r="B115" s="333" t="s">
        <v>1073</v>
      </c>
      <c r="C115" s="423" t="s">
        <v>331</v>
      </c>
      <c r="D115" s="332" t="s">
        <v>1074</v>
      </c>
      <c r="E115" s="333">
        <v>201611</v>
      </c>
      <c r="F115" s="334">
        <v>4158.9799999999996</v>
      </c>
      <c r="G115" s="521">
        <f t="shared" si="7"/>
        <v>5.5</v>
      </c>
      <c r="H115" s="336">
        <v>1.3083000000000001E-3</v>
      </c>
      <c r="I115" s="523">
        <f t="shared" si="8"/>
        <v>29.93</v>
      </c>
      <c r="J115" s="448">
        <f t="shared" si="9"/>
        <v>65.290000000000006</v>
      </c>
      <c r="Q115" s="101">
        <f t="shared" si="10"/>
        <v>2017</v>
      </c>
    </row>
    <row r="116" spans="1:17">
      <c r="A116" s="332" t="s">
        <v>318</v>
      </c>
      <c r="B116" s="333" t="s">
        <v>1049</v>
      </c>
      <c r="C116" s="423" t="s">
        <v>330</v>
      </c>
      <c r="D116" s="332" t="s">
        <v>1050</v>
      </c>
      <c r="E116" s="333">
        <v>201611</v>
      </c>
      <c r="F116" s="334">
        <v>92.49</v>
      </c>
      <c r="G116" s="521">
        <f t="shared" si="7"/>
        <v>5.5</v>
      </c>
      <c r="H116" s="336">
        <v>1.3083000000000001E-3</v>
      </c>
      <c r="I116" s="523">
        <f t="shared" si="8"/>
        <v>0.67</v>
      </c>
      <c r="J116" s="448">
        <f t="shared" si="9"/>
        <v>1.45</v>
      </c>
      <c r="Q116" s="101">
        <f t="shared" si="10"/>
        <v>2017</v>
      </c>
    </row>
    <row r="117" spans="1:17">
      <c r="A117" s="332" t="s">
        <v>318</v>
      </c>
      <c r="B117" s="333" t="s">
        <v>1049</v>
      </c>
      <c r="C117" s="423" t="s">
        <v>330</v>
      </c>
      <c r="D117" s="332" t="s">
        <v>1050</v>
      </c>
      <c r="E117" s="333">
        <v>201611</v>
      </c>
      <c r="F117" s="334">
        <v>2450.66</v>
      </c>
      <c r="G117" s="521">
        <f t="shared" si="7"/>
        <v>5.5</v>
      </c>
      <c r="H117" s="336">
        <v>1.3083000000000001E-3</v>
      </c>
      <c r="I117" s="523">
        <f t="shared" si="8"/>
        <v>17.63</v>
      </c>
      <c r="J117" s="448">
        <f t="shared" si="9"/>
        <v>38.47</v>
      </c>
      <c r="Q117" s="101">
        <f t="shared" si="10"/>
        <v>2017</v>
      </c>
    </row>
    <row r="118" spans="1:17">
      <c r="A118" s="332" t="s">
        <v>318</v>
      </c>
      <c r="B118" s="333" t="s">
        <v>1077</v>
      </c>
      <c r="C118" s="423" t="s">
        <v>330</v>
      </c>
      <c r="D118" s="332" t="s">
        <v>1078</v>
      </c>
      <c r="E118" s="333">
        <v>201611</v>
      </c>
      <c r="F118" s="334">
        <v>-1374.65</v>
      </c>
      <c r="G118" s="521">
        <f t="shared" si="7"/>
        <v>5.5</v>
      </c>
      <c r="H118" s="336">
        <v>1.3083000000000001E-3</v>
      </c>
      <c r="I118" s="523">
        <f t="shared" si="8"/>
        <v>-9.89</v>
      </c>
      <c r="J118" s="448">
        <f t="shared" si="9"/>
        <v>-21.58</v>
      </c>
      <c r="Q118" s="101">
        <f t="shared" si="10"/>
        <v>2017</v>
      </c>
    </row>
    <row r="119" spans="1:17">
      <c r="A119" s="332" t="s">
        <v>318</v>
      </c>
      <c r="B119" s="333" t="s">
        <v>1077</v>
      </c>
      <c r="C119" s="423" t="s">
        <v>330</v>
      </c>
      <c r="D119" s="332" t="s">
        <v>1078</v>
      </c>
      <c r="E119" s="333">
        <v>201611</v>
      </c>
      <c r="F119" s="334">
        <v>-121.93</v>
      </c>
      <c r="G119" s="521">
        <f t="shared" si="7"/>
        <v>5.5</v>
      </c>
      <c r="H119" s="336">
        <v>1.3083000000000001E-3</v>
      </c>
      <c r="I119" s="523">
        <f t="shared" si="8"/>
        <v>-0.88</v>
      </c>
      <c r="J119" s="448">
        <f t="shared" si="9"/>
        <v>-1.91</v>
      </c>
      <c r="Q119" s="101">
        <f t="shared" si="10"/>
        <v>2017</v>
      </c>
    </row>
    <row r="120" spans="1:17">
      <c r="A120" s="332" t="s">
        <v>318</v>
      </c>
      <c r="B120" s="333" t="s">
        <v>1079</v>
      </c>
      <c r="C120" s="423" t="s">
        <v>330</v>
      </c>
      <c r="D120" s="332" t="s">
        <v>1080</v>
      </c>
      <c r="E120" s="333">
        <v>201611</v>
      </c>
      <c r="F120" s="334">
        <v>-1769.32</v>
      </c>
      <c r="G120" s="521">
        <f t="shared" si="7"/>
        <v>5.5</v>
      </c>
      <c r="H120" s="336">
        <v>1.3083000000000001E-3</v>
      </c>
      <c r="I120" s="523">
        <f t="shared" si="8"/>
        <v>-12.73</v>
      </c>
      <c r="J120" s="448">
        <f t="shared" si="9"/>
        <v>-27.78</v>
      </c>
      <c r="Q120" s="101">
        <f t="shared" si="10"/>
        <v>2017</v>
      </c>
    </row>
    <row r="121" spans="1:17">
      <c r="A121" s="332" t="s">
        <v>318</v>
      </c>
      <c r="B121" s="333" t="s">
        <v>1079</v>
      </c>
      <c r="C121" s="423" t="s">
        <v>330</v>
      </c>
      <c r="D121" s="332" t="s">
        <v>1080</v>
      </c>
      <c r="E121" s="333">
        <v>201611</v>
      </c>
      <c r="F121" s="334">
        <v>-118.61</v>
      </c>
      <c r="G121" s="521">
        <f t="shared" si="7"/>
        <v>5.5</v>
      </c>
      <c r="H121" s="336">
        <v>1.3083000000000001E-3</v>
      </c>
      <c r="I121" s="523">
        <f t="shared" si="8"/>
        <v>-0.85</v>
      </c>
      <c r="J121" s="448">
        <f t="shared" si="9"/>
        <v>-1.86</v>
      </c>
      <c r="Q121" s="101">
        <f t="shared" si="10"/>
        <v>2017</v>
      </c>
    </row>
    <row r="122" spans="1:17">
      <c r="A122" s="332" t="s">
        <v>318</v>
      </c>
      <c r="B122" s="333" t="s">
        <v>320</v>
      </c>
      <c r="C122" s="423" t="s">
        <v>319</v>
      </c>
      <c r="D122" s="332" t="s">
        <v>321</v>
      </c>
      <c r="E122" s="333">
        <v>201612</v>
      </c>
      <c r="F122" s="334">
        <v>334.28</v>
      </c>
      <c r="G122" s="521">
        <f t="shared" si="7"/>
        <v>4.5</v>
      </c>
      <c r="H122" s="336">
        <v>1.3083000000000001E-3</v>
      </c>
      <c r="I122" s="523">
        <f t="shared" si="8"/>
        <v>1.97</v>
      </c>
      <c r="J122" s="448">
        <f t="shared" si="9"/>
        <v>5.25</v>
      </c>
      <c r="Q122" s="101">
        <f t="shared" si="10"/>
        <v>2017</v>
      </c>
    </row>
    <row r="123" spans="1:17">
      <c r="A123" s="332" t="s">
        <v>318</v>
      </c>
      <c r="B123" s="333" t="s">
        <v>323</v>
      </c>
      <c r="C123" s="423" t="s">
        <v>319</v>
      </c>
      <c r="D123" s="332" t="s">
        <v>324</v>
      </c>
      <c r="E123" s="333">
        <v>201612</v>
      </c>
      <c r="F123" s="334">
        <v>2034.33</v>
      </c>
      <c r="G123" s="521">
        <f t="shared" si="7"/>
        <v>4.5</v>
      </c>
      <c r="H123" s="336">
        <v>1.3083000000000001E-3</v>
      </c>
      <c r="I123" s="523">
        <f t="shared" si="8"/>
        <v>11.98</v>
      </c>
      <c r="J123" s="448">
        <f t="shared" si="9"/>
        <v>31.94</v>
      </c>
      <c r="Q123" s="101">
        <f t="shared" si="10"/>
        <v>2017</v>
      </c>
    </row>
    <row r="124" spans="1:17">
      <c r="A124" s="332" t="s">
        <v>322</v>
      </c>
      <c r="B124" s="333" t="s">
        <v>325</v>
      </c>
      <c r="C124" s="423" t="s">
        <v>319</v>
      </c>
      <c r="D124" s="332" t="s">
        <v>326</v>
      </c>
      <c r="E124" s="333">
        <v>201612</v>
      </c>
      <c r="F124" s="334">
        <v>1190.7</v>
      </c>
      <c r="G124" s="521">
        <f t="shared" si="7"/>
        <v>4.5</v>
      </c>
      <c r="H124" s="336">
        <v>1.1999999999999999E-3</v>
      </c>
      <c r="I124" s="523">
        <f t="shared" si="8"/>
        <v>6.43</v>
      </c>
      <c r="J124" s="448">
        <f t="shared" si="9"/>
        <v>17.149999999999999</v>
      </c>
      <c r="Q124" s="101">
        <f t="shared" si="10"/>
        <v>2017</v>
      </c>
    </row>
    <row r="125" spans="1:17">
      <c r="A125" s="332" t="s">
        <v>318</v>
      </c>
      <c r="B125" s="333" t="s">
        <v>327</v>
      </c>
      <c r="C125" s="423" t="s">
        <v>319</v>
      </c>
      <c r="D125" s="332" t="s">
        <v>328</v>
      </c>
      <c r="E125" s="333">
        <v>201612</v>
      </c>
      <c r="F125" s="334">
        <v>27573.29</v>
      </c>
      <c r="G125" s="521">
        <f t="shared" si="7"/>
        <v>4.5</v>
      </c>
      <c r="H125" s="336">
        <v>1.3083000000000001E-3</v>
      </c>
      <c r="I125" s="523">
        <f t="shared" si="8"/>
        <v>162.33000000000001</v>
      </c>
      <c r="J125" s="448">
        <f t="shared" si="9"/>
        <v>432.89</v>
      </c>
      <c r="Q125" s="101">
        <f t="shared" si="10"/>
        <v>2017</v>
      </c>
    </row>
    <row r="126" spans="1:17">
      <c r="A126" s="332" t="s">
        <v>318</v>
      </c>
      <c r="B126" s="333" t="s">
        <v>941</v>
      </c>
      <c r="C126" s="423" t="s">
        <v>330</v>
      </c>
      <c r="D126" s="332" t="s">
        <v>942</v>
      </c>
      <c r="E126" s="333">
        <v>201612</v>
      </c>
      <c r="F126" s="334">
        <v>-142.61000000000001</v>
      </c>
      <c r="G126" s="521">
        <f t="shared" si="7"/>
        <v>4.5</v>
      </c>
      <c r="H126" s="336">
        <v>1.3083000000000001E-3</v>
      </c>
      <c r="I126" s="523">
        <f t="shared" si="8"/>
        <v>-0.84</v>
      </c>
      <c r="J126" s="448">
        <f t="shared" si="9"/>
        <v>-2.2400000000000002</v>
      </c>
      <c r="Q126" s="101">
        <f t="shared" si="10"/>
        <v>2017</v>
      </c>
    </row>
    <row r="127" spans="1:17">
      <c r="A127" s="332" t="s">
        <v>318</v>
      </c>
      <c r="B127" s="333" t="s">
        <v>941</v>
      </c>
      <c r="C127" s="423" t="s">
        <v>330</v>
      </c>
      <c r="D127" s="332" t="s">
        <v>942</v>
      </c>
      <c r="E127" s="333">
        <v>201612</v>
      </c>
      <c r="F127" s="334">
        <v>-9.99</v>
      </c>
      <c r="G127" s="521">
        <f t="shared" si="7"/>
        <v>4.5</v>
      </c>
      <c r="H127" s="336">
        <v>1.3083000000000001E-3</v>
      </c>
      <c r="I127" s="523">
        <f t="shared" si="8"/>
        <v>-0.06</v>
      </c>
      <c r="J127" s="448">
        <f t="shared" si="9"/>
        <v>-0.16</v>
      </c>
      <c r="Q127" s="101">
        <f t="shared" si="10"/>
        <v>2017</v>
      </c>
    </row>
    <row r="128" spans="1:17" ht="15">
      <c r="A128" s="332" t="s">
        <v>322</v>
      </c>
      <c r="B128" s="333" t="s">
        <v>856</v>
      </c>
      <c r="C128" s="424" t="s">
        <v>330</v>
      </c>
      <c r="D128" s="332" t="s">
        <v>857</v>
      </c>
      <c r="E128" s="333">
        <v>201612</v>
      </c>
      <c r="F128" s="334">
        <v>-5935.18</v>
      </c>
      <c r="G128" s="521">
        <f t="shared" si="7"/>
        <v>4.5</v>
      </c>
      <c r="H128" s="336">
        <v>1.1999999999999999E-3</v>
      </c>
      <c r="I128" s="523">
        <f t="shared" si="8"/>
        <v>-32.049999999999997</v>
      </c>
      <c r="J128" s="448">
        <f t="shared" si="9"/>
        <v>-85.47</v>
      </c>
      <c r="Q128" s="101">
        <f t="shared" si="10"/>
        <v>2017</v>
      </c>
    </row>
    <row r="129" spans="1:17">
      <c r="A129" s="332" t="s">
        <v>322</v>
      </c>
      <c r="B129" s="333" t="s">
        <v>856</v>
      </c>
      <c r="C129" s="423" t="s">
        <v>330</v>
      </c>
      <c r="D129" s="332" t="s">
        <v>857</v>
      </c>
      <c r="E129" s="333">
        <v>201612</v>
      </c>
      <c r="F129" s="334">
        <v>0.03</v>
      </c>
      <c r="G129" s="521">
        <f t="shared" si="7"/>
        <v>4.5</v>
      </c>
      <c r="H129" s="336">
        <v>1.1999999999999999E-3</v>
      </c>
      <c r="I129" s="523">
        <f t="shared" si="8"/>
        <v>0</v>
      </c>
      <c r="J129" s="448">
        <f t="shared" si="9"/>
        <v>0</v>
      </c>
      <c r="Q129" s="101">
        <f t="shared" si="10"/>
        <v>2017</v>
      </c>
    </row>
    <row r="130" spans="1:17">
      <c r="A130" s="332" t="s">
        <v>318</v>
      </c>
      <c r="B130" s="333" t="s">
        <v>856</v>
      </c>
      <c r="C130" s="423" t="s">
        <v>330</v>
      </c>
      <c r="D130" s="332" t="s">
        <v>857</v>
      </c>
      <c r="E130" s="333">
        <v>201612</v>
      </c>
      <c r="F130" s="334">
        <v>-649207.34</v>
      </c>
      <c r="G130" s="521">
        <f t="shared" si="7"/>
        <v>4.5</v>
      </c>
      <c r="H130" s="336">
        <v>1.3083000000000001E-3</v>
      </c>
      <c r="I130" s="523">
        <f t="shared" si="8"/>
        <v>-3822.11</v>
      </c>
      <c r="J130" s="448">
        <f t="shared" si="9"/>
        <v>-10192.299999999999</v>
      </c>
      <c r="Q130" s="101">
        <f t="shared" si="10"/>
        <v>2017</v>
      </c>
    </row>
    <row r="131" spans="1:17">
      <c r="A131" s="332" t="s">
        <v>318</v>
      </c>
      <c r="B131" s="333" t="s">
        <v>856</v>
      </c>
      <c r="C131" s="423" t="s">
        <v>330</v>
      </c>
      <c r="D131" s="332" t="s">
        <v>857</v>
      </c>
      <c r="E131" s="333">
        <v>201612</v>
      </c>
      <c r="F131" s="334">
        <v>-27798.02</v>
      </c>
      <c r="G131" s="521">
        <f t="shared" si="7"/>
        <v>4.5</v>
      </c>
      <c r="H131" s="336">
        <v>1.3083000000000001E-3</v>
      </c>
      <c r="I131" s="523">
        <f t="shared" si="8"/>
        <v>-163.66</v>
      </c>
      <c r="J131" s="448">
        <f t="shared" si="9"/>
        <v>-436.42</v>
      </c>
      <c r="Q131" s="101">
        <f t="shared" si="10"/>
        <v>2017</v>
      </c>
    </row>
    <row r="132" spans="1:17" s="559" customFormat="1">
      <c r="A132" s="521" t="s">
        <v>318</v>
      </c>
      <c r="B132" s="522" t="s">
        <v>856</v>
      </c>
      <c r="C132" s="423" t="s">
        <v>330</v>
      </c>
      <c r="D132" s="521" t="s">
        <v>857</v>
      </c>
      <c r="E132" s="522">
        <v>201612</v>
      </c>
      <c r="F132" s="523">
        <v>44958.98</v>
      </c>
      <c r="G132" s="521">
        <f t="shared" ref="G132:G193" si="11">VLOOKUP(E132,$N$6:$O$49,2,FALSE)</f>
        <v>4.5</v>
      </c>
      <c r="H132" s="524">
        <v>1.3083000000000001E-3</v>
      </c>
      <c r="I132" s="523">
        <f t="shared" ref="I132:I193" si="12">ROUND(F132*G132*H132,2)</f>
        <v>264.69</v>
      </c>
      <c r="J132" s="448">
        <f t="shared" ref="J132:J193" si="13">ROUND(F132*H132*12,2)</f>
        <v>705.84</v>
      </c>
      <c r="Q132" s="559">
        <f t="shared" si="10"/>
        <v>2017</v>
      </c>
    </row>
    <row r="133" spans="1:17" s="559" customFormat="1">
      <c r="A133" s="521" t="s">
        <v>318</v>
      </c>
      <c r="B133" s="522" t="s">
        <v>856</v>
      </c>
      <c r="C133" s="423" t="s">
        <v>330</v>
      </c>
      <c r="D133" s="521" t="s">
        <v>857</v>
      </c>
      <c r="E133" s="522">
        <v>201612</v>
      </c>
      <c r="F133" s="523">
        <v>673160.64</v>
      </c>
      <c r="G133" s="521">
        <f t="shared" si="11"/>
        <v>4.5</v>
      </c>
      <c r="H133" s="524">
        <v>1.3083000000000001E-3</v>
      </c>
      <c r="I133" s="523">
        <f t="shared" si="12"/>
        <v>3963.13</v>
      </c>
      <c r="J133" s="448">
        <f t="shared" si="13"/>
        <v>10568.35</v>
      </c>
      <c r="Q133" s="559">
        <f t="shared" ref="Q133:Q188" si="14">IF(E133&lt;=$Q$1,$S$5,$S$6)</f>
        <v>2017</v>
      </c>
    </row>
    <row r="134" spans="1:17" s="559" customFormat="1">
      <c r="A134" s="521" t="s">
        <v>318</v>
      </c>
      <c r="B134" s="522" t="s">
        <v>800</v>
      </c>
      <c r="C134" s="423" t="s">
        <v>330</v>
      </c>
      <c r="D134" s="521" t="s">
        <v>830</v>
      </c>
      <c r="E134" s="522">
        <v>201612</v>
      </c>
      <c r="F134" s="523">
        <v>-89532.41</v>
      </c>
      <c r="G134" s="521">
        <f t="shared" si="11"/>
        <v>4.5</v>
      </c>
      <c r="H134" s="524">
        <v>1.3083000000000001E-3</v>
      </c>
      <c r="I134" s="523">
        <f t="shared" si="12"/>
        <v>-527.11</v>
      </c>
      <c r="J134" s="448">
        <f t="shared" si="13"/>
        <v>-1405.62</v>
      </c>
      <c r="Q134" s="559">
        <f t="shared" si="14"/>
        <v>2017</v>
      </c>
    </row>
    <row r="135" spans="1:17" s="559" customFormat="1">
      <c r="A135" s="521" t="s">
        <v>318</v>
      </c>
      <c r="B135" s="522" t="s">
        <v>800</v>
      </c>
      <c r="C135" s="423" t="s">
        <v>330</v>
      </c>
      <c r="D135" s="521" t="s">
        <v>830</v>
      </c>
      <c r="E135" s="522">
        <v>201612</v>
      </c>
      <c r="F135" s="523">
        <v>-5018.29</v>
      </c>
      <c r="G135" s="521">
        <f t="shared" si="11"/>
        <v>4.5</v>
      </c>
      <c r="H135" s="524">
        <v>1.3083000000000001E-3</v>
      </c>
      <c r="I135" s="523">
        <f t="shared" si="12"/>
        <v>-29.54</v>
      </c>
      <c r="J135" s="448">
        <f t="shared" si="13"/>
        <v>-78.790000000000006</v>
      </c>
      <c r="Q135" s="559">
        <f t="shared" si="14"/>
        <v>2017</v>
      </c>
    </row>
    <row r="136" spans="1:17" s="559" customFormat="1">
      <c r="A136" s="521" t="s">
        <v>318</v>
      </c>
      <c r="B136" s="522" t="s">
        <v>800</v>
      </c>
      <c r="C136" s="423" t="s">
        <v>330</v>
      </c>
      <c r="D136" s="521" t="s">
        <v>830</v>
      </c>
      <c r="E136" s="522">
        <v>201612</v>
      </c>
      <c r="F136" s="523">
        <v>10100.209999999999</v>
      </c>
      <c r="G136" s="521">
        <f t="shared" si="11"/>
        <v>4.5</v>
      </c>
      <c r="H136" s="524">
        <v>1.3083000000000001E-3</v>
      </c>
      <c r="I136" s="523">
        <f t="shared" si="12"/>
        <v>59.46</v>
      </c>
      <c r="J136" s="448">
        <f t="shared" si="13"/>
        <v>158.57</v>
      </c>
      <c r="Q136" s="559">
        <f t="shared" si="14"/>
        <v>2017</v>
      </c>
    </row>
    <row r="137" spans="1:17" s="559" customFormat="1">
      <c r="A137" s="521" t="s">
        <v>318</v>
      </c>
      <c r="B137" s="522" t="s">
        <v>800</v>
      </c>
      <c r="C137" s="423" t="s">
        <v>330</v>
      </c>
      <c r="D137" s="521" t="s">
        <v>830</v>
      </c>
      <c r="E137" s="522">
        <v>201612</v>
      </c>
      <c r="F137" s="523">
        <v>71467.740000000005</v>
      </c>
      <c r="G137" s="521">
        <f t="shared" si="11"/>
        <v>4.5</v>
      </c>
      <c r="H137" s="524">
        <v>1.3083000000000001E-3</v>
      </c>
      <c r="I137" s="523">
        <f t="shared" si="12"/>
        <v>420.76</v>
      </c>
      <c r="J137" s="448">
        <f t="shared" si="13"/>
        <v>1122.01</v>
      </c>
      <c r="Q137" s="559">
        <f t="shared" si="14"/>
        <v>2017</v>
      </c>
    </row>
    <row r="138" spans="1:17" s="559" customFormat="1">
      <c r="A138" s="521" t="s">
        <v>318</v>
      </c>
      <c r="B138" s="522" t="s">
        <v>629</v>
      </c>
      <c r="C138" s="423" t="s">
        <v>330</v>
      </c>
      <c r="D138" s="521" t="s">
        <v>630</v>
      </c>
      <c r="E138" s="522">
        <v>201612</v>
      </c>
      <c r="F138" s="523">
        <v>0.41</v>
      </c>
      <c r="G138" s="521">
        <f t="shared" si="11"/>
        <v>4.5</v>
      </c>
      <c r="H138" s="524">
        <v>1.3083000000000001E-3</v>
      </c>
      <c r="I138" s="523">
        <f t="shared" si="12"/>
        <v>0</v>
      </c>
      <c r="J138" s="448">
        <f t="shared" si="13"/>
        <v>0.01</v>
      </c>
      <c r="Q138" s="559">
        <f t="shared" si="14"/>
        <v>2017</v>
      </c>
    </row>
    <row r="139" spans="1:17" s="559" customFormat="1">
      <c r="A139" s="521" t="s">
        <v>318</v>
      </c>
      <c r="B139" s="522" t="s">
        <v>629</v>
      </c>
      <c r="C139" s="423" t="s">
        <v>330</v>
      </c>
      <c r="D139" s="521" t="s">
        <v>630</v>
      </c>
      <c r="E139" s="522">
        <v>201612</v>
      </c>
      <c r="F139" s="523">
        <v>20.149999999999999</v>
      </c>
      <c r="G139" s="521">
        <f t="shared" si="11"/>
        <v>4.5</v>
      </c>
      <c r="H139" s="524">
        <v>1.3083000000000001E-3</v>
      </c>
      <c r="I139" s="523">
        <f t="shared" si="12"/>
        <v>0.12</v>
      </c>
      <c r="J139" s="448">
        <f t="shared" si="13"/>
        <v>0.32</v>
      </c>
      <c r="Q139" s="559">
        <f t="shared" si="14"/>
        <v>2017</v>
      </c>
    </row>
    <row r="140" spans="1:17" s="559" customFormat="1">
      <c r="A140" s="521" t="s">
        <v>318</v>
      </c>
      <c r="B140" s="522" t="s">
        <v>838</v>
      </c>
      <c r="C140" s="423" t="s">
        <v>330</v>
      </c>
      <c r="D140" s="521" t="s">
        <v>1015</v>
      </c>
      <c r="E140" s="522">
        <v>201612</v>
      </c>
      <c r="F140" s="523">
        <v>-92226.54</v>
      </c>
      <c r="G140" s="521">
        <f t="shared" si="11"/>
        <v>4.5</v>
      </c>
      <c r="H140" s="524">
        <v>1.3083000000000001E-3</v>
      </c>
      <c r="I140" s="523">
        <f t="shared" si="12"/>
        <v>-542.97</v>
      </c>
      <c r="J140" s="448">
        <f t="shared" si="13"/>
        <v>-1447.92</v>
      </c>
      <c r="Q140" s="559">
        <f t="shared" si="14"/>
        <v>2017</v>
      </c>
    </row>
    <row r="141" spans="1:17" s="559" customFormat="1">
      <c r="A141" s="521" t="s">
        <v>318</v>
      </c>
      <c r="B141" s="522" t="s">
        <v>838</v>
      </c>
      <c r="C141" s="423" t="s">
        <v>330</v>
      </c>
      <c r="D141" s="521" t="s">
        <v>1015</v>
      </c>
      <c r="E141" s="522">
        <v>201612</v>
      </c>
      <c r="F141" s="523">
        <v>82982.69</v>
      </c>
      <c r="G141" s="521">
        <f t="shared" si="11"/>
        <v>4.5</v>
      </c>
      <c r="H141" s="524">
        <v>1.3083000000000001E-3</v>
      </c>
      <c r="I141" s="523">
        <f t="shared" si="12"/>
        <v>488.55</v>
      </c>
      <c r="J141" s="448">
        <f t="shared" si="13"/>
        <v>1302.8</v>
      </c>
      <c r="Q141" s="559">
        <f t="shared" si="14"/>
        <v>2017</v>
      </c>
    </row>
    <row r="142" spans="1:17" s="559" customFormat="1">
      <c r="A142" s="521" t="s">
        <v>318</v>
      </c>
      <c r="B142" s="522" t="s">
        <v>661</v>
      </c>
      <c r="C142" s="423" t="s">
        <v>330</v>
      </c>
      <c r="D142" s="521" t="s">
        <v>662</v>
      </c>
      <c r="E142" s="522">
        <v>201612</v>
      </c>
      <c r="F142" s="523">
        <v>-23.41</v>
      </c>
      <c r="G142" s="521">
        <f t="shared" si="11"/>
        <v>4.5</v>
      </c>
      <c r="H142" s="524">
        <v>1.3083000000000001E-3</v>
      </c>
      <c r="I142" s="523">
        <f t="shared" si="12"/>
        <v>-0.14000000000000001</v>
      </c>
      <c r="J142" s="448">
        <f t="shared" si="13"/>
        <v>-0.37</v>
      </c>
      <c r="Q142" s="559">
        <f t="shared" si="14"/>
        <v>2017</v>
      </c>
    </row>
    <row r="143" spans="1:17" s="559" customFormat="1">
      <c r="A143" s="521" t="s">
        <v>318</v>
      </c>
      <c r="B143" s="522" t="s">
        <v>661</v>
      </c>
      <c r="C143" s="423" t="s">
        <v>330</v>
      </c>
      <c r="D143" s="521" t="s">
        <v>662</v>
      </c>
      <c r="E143" s="522">
        <v>201612</v>
      </c>
      <c r="F143" s="523">
        <v>-1.55</v>
      </c>
      <c r="G143" s="521">
        <f t="shared" si="11"/>
        <v>4.5</v>
      </c>
      <c r="H143" s="524">
        <v>1.3083000000000001E-3</v>
      </c>
      <c r="I143" s="523">
        <f t="shared" si="12"/>
        <v>-0.01</v>
      </c>
      <c r="J143" s="448">
        <f t="shared" si="13"/>
        <v>-0.02</v>
      </c>
      <c r="Q143" s="559">
        <f t="shared" si="14"/>
        <v>2017</v>
      </c>
    </row>
    <row r="144" spans="1:17" s="559" customFormat="1">
      <c r="A144" s="521" t="s">
        <v>318</v>
      </c>
      <c r="B144" s="522" t="s">
        <v>801</v>
      </c>
      <c r="C144" s="423" t="s">
        <v>330</v>
      </c>
      <c r="D144" s="521" t="s">
        <v>802</v>
      </c>
      <c r="E144" s="522">
        <v>201612</v>
      </c>
      <c r="F144" s="523">
        <v>-23.8</v>
      </c>
      <c r="G144" s="521">
        <f t="shared" si="11"/>
        <v>4.5</v>
      </c>
      <c r="H144" s="524">
        <v>1.3083000000000001E-3</v>
      </c>
      <c r="I144" s="523">
        <f t="shared" si="12"/>
        <v>-0.14000000000000001</v>
      </c>
      <c r="J144" s="448">
        <f t="shared" si="13"/>
        <v>-0.37</v>
      </c>
      <c r="Q144" s="559">
        <f t="shared" si="14"/>
        <v>2017</v>
      </c>
    </row>
    <row r="145" spans="1:17" s="559" customFormat="1">
      <c r="A145" s="521" t="s">
        <v>318</v>
      </c>
      <c r="B145" s="522" t="s">
        <v>801</v>
      </c>
      <c r="C145" s="423" t="s">
        <v>330</v>
      </c>
      <c r="D145" s="521" t="s">
        <v>802</v>
      </c>
      <c r="E145" s="522">
        <v>201612</v>
      </c>
      <c r="F145" s="523">
        <v>-11.02</v>
      </c>
      <c r="G145" s="521">
        <f t="shared" si="11"/>
        <v>4.5</v>
      </c>
      <c r="H145" s="524">
        <v>1.3083000000000001E-3</v>
      </c>
      <c r="I145" s="523">
        <f t="shared" si="12"/>
        <v>-0.06</v>
      </c>
      <c r="J145" s="448">
        <f t="shared" si="13"/>
        <v>-0.17</v>
      </c>
      <c r="Q145" s="559">
        <f t="shared" si="14"/>
        <v>2017</v>
      </c>
    </row>
    <row r="146" spans="1:17" s="559" customFormat="1">
      <c r="A146" s="521" t="s">
        <v>318</v>
      </c>
      <c r="B146" s="522" t="s">
        <v>803</v>
      </c>
      <c r="C146" s="423" t="s">
        <v>330</v>
      </c>
      <c r="D146" s="521" t="s">
        <v>804</v>
      </c>
      <c r="E146" s="522">
        <v>201612</v>
      </c>
      <c r="F146" s="523">
        <v>-77.58</v>
      </c>
      <c r="G146" s="521">
        <f t="shared" si="11"/>
        <v>4.5</v>
      </c>
      <c r="H146" s="524">
        <v>1.3083000000000001E-3</v>
      </c>
      <c r="I146" s="523">
        <f t="shared" si="12"/>
        <v>-0.46</v>
      </c>
      <c r="J146" s="448">
        <f t="shared" si="13"/>
        <v>-1.22</v>
      </c>
      <c r="Q146" s="559">
        <f t="shared" si="14"/>
        <v>2017</v>
      </c>
    </row>
    <row r="147" spans="1:17" s="559" customFormat="1">
      <c r="A147" s="521" t="s">
        <v>318</v>
      </c>
      <c r="B147" s="522" t="s">
        <v>803</v>
      </c>
      <c r="C147" s="423" t="s">
        <v>330</v>
      </c>
      <c r="D147" s="521" t="s">
        <v>804</v>
      </c>
      <c r="E147" s="522">
        <v>201612</v>
      </c>
      <c r="F147" s="523">
        <v>-48.74</v>
      </c>
      <c r="G147" s="521">
        <f t="shared" si="11"/>
        <v>4.5</v>
      </c>
      <c r="H147" s="524">
        <v>1.3083000000000001E-3</v>
      </c>
      <c r="I147" s="523">
        <f t="shared" si="12"/>
        <v>-0.28999999999999998</v>
      </c>
      <c r="J147" s="448">
        <f t="shared" si="13"/>
        <v>-0.77</v>
      </c>
      <c r="Q147" s="559">
        <f t="shared" si="14"/>
        <v>2017</v>
      </c>
    </row>
    <row r="148" spans="1:17" s="559" customFormat="1">
      <c r="A148" s="521" t="s">
        <v>318</v>
      </c>
      <c r="B148" s="522" t="s">
        <v>805</v>
      </c>
      <c r="C148" s="423" t="s">
        <v>330</v>
      </c>
      <c r="D148" s="521" t="s">
        <v>806</v>
      </c>
      <c r="E148" s="522">
        <v>201612</v>
      </c>
      <c r="F148" s="523">
        <v>0.1</v>
      </c>
      <c r="G148" s="521">
        <f t="shared" si="11"/>
        <v>4.5</v>
      </c>
      <c r="H148" s="524">
        <v>1.3083000000000001E-3</v>
      </c>
      <c r="I148" s="523">
        <f t="shared" si="12"/>
        <v>0</v>
      </c>
      <c r="J148" s="448">
        <f t="shared" si="13"/>
        <v>0</v>
      </c>
      <c r="Q148" s="559">
        <f t="shared" si="14"/>
        <v>2017</v>
      </c>
    </row>
    <row r="149" spans="1:17" s="559" customFormat="1">
      <c r="A149" s="521" t="s">
        <v>318</v>
      </c>
      <c r="B149" s="522" t="s">
        <v>805</v>
      </c>
      <c r="C149" s="423" t="s">
        <v>330</v>
      </c>
      <c r="D149" s="521" t="s">
        <v>806</v>
      </c>
      <c r="E149" s="522">
        <v>201612</v>
      </c>
      <c r="F149" s="523">
        <v>0.86</v>
      </c>
      <c r="G149" s="521">
        <f t="shared" si="11"/>
        <v>4.5</v>
      </c>
      <c r="H149" s="524">
        <v>1.3083000000000001E-3</v>
      </c>
      <c r="I149" s="523">
        <f t="shared" si="12"/>
        <v>0.01</v>
      </c>
      <c r="J149" s="448">
        <f t="shared" si="13"/>
        <v>0.01</v>
      </c>
      <c r="Q149" s="559">
        <f t="shared" si="14"/>
        <v>2017</v>
      </c>
    </row>
    <row r="150" spans="1:17" s="559" customFormat="1">
      <c r="A150" s="521" t="s">
        <v>318</v>
      </c>
      <c r="B150" s="522" t="s">
        <v>1067</v>
      </c>
      <c r="C150" s="423" t="s">
        <v>330</v>
      </c>
      <c r="D150" s="521" t="s">
        <v>1068</v>
      </c>
      <c r="E150" s="522">
        <v>201612</v>
      </c>
      <c r="F150" s="523">
        <v>21.36</v>
      </c>
      <c r="G150" s="521">
        <f t="shared" si="11"/>
        <v>4.5</v>
      </c>
      <c r="H150" s="524">
        <v>1.3083000000000001E-3</v>
      </c>
      <c r="I150" s="523">
        <f t="shared" si="12"/>
        <v>0.13</v>
      </c>
      <c r="J150" s="448">
        <f t="shared" si="13"/>
        <v>0.34</v>
      </c>
      <c r="Q150" s="559">
        <f t="shared" si="14"/>
        <v>2017</v>
      </c>
    </row>
    <row r="151" spans="1:17" s="559" customFormat="1">
      <c r="A151" s="521" t="s">
        <v>318</v>
      </c>
      <c r="B151" s="522" t="s">
        <v>1067</v>
      </c>
      <c r="C151" s="423" t="s">
        <v>330</v>
      </c>
      <c r="D151" s="521" t="s">
        <v>1068</v>
      </c>
      <c r="E151" s="522">
        <v>201612</v>
      </c>
      <c r="F151" s="523">
        <v>987.74</v>
      </c>
      <c r="G151" s="521">
        <f t="shared" si="11"/>
        <v>4.5</v>
      </c>
      <c r="H151" s="524">
        <v>1.3083000000000001E-3</v>
      </c>
      <c r="I151" s="523">
        <f t="shared" si="12"/>
        <v>5.82</v>
      </c>
      <c r="J151" s="448">
        <f t="shared" si="13"/>
        <v>15.51</v>
      </c>
      <c r="Q151" s="559">
        <f t="shared" si="14"/>
        <v>2017</v>
      </c>
    </row>
    <row r="152" spans="1:17" s="559" customFormat="1">
      <c r="A152" s="521" t="s">
        <v>318</v>
      </c>
      <c r="B152" s="522" t="s">
        <v>858</v>
      </c>
      <c r="C152" s="423" t="s">
        <v>329</v>
      </c>
      <c r="D152" s="521" t="s">
        <v>859</v>
      </c>
      <c r="E152" s="522">
        <v>201612</v>
      </c>
      <c r="F152" s="523">
        <v>-90.77</v>
      </c>
      <c r="G152" s="521">
        <f t="shared" si="11"/>
        <v>4.5</v>
      </c>
      <c r="H152" s="524">
        <v>1.3083000000000001E-3</v>
      </c>
      <c r="I152" s="523">
        <f t="shared" si="12"/>
        <v>-0.53</v>
      </c>
      <c r="J152" s="448">
        <f t="shared" si="13"/>
        <v>-1.43</v>
      </c>
      <c r="Q152" s="559">
        <f t="shared" si="14"/>
        <v>2017</v>
      </c>
    </row>
    <row r="153" spans="1:17" s="559" customFormat="1">
      <c r="A153" s="521" t="s">
        <v>318</v>
      </c>
      <c r="B153" s="522" t="s">
        <v>858</v>
      </c>
      <c r="C153" s="423" t="s">
        <v>329</v>
      </c>
      <c r="D153" s="521" t="s">
        <v>859</v>
      </c>
      <c r="E153" s="522">
        <v>201612</v>
      </c>
      <c r="F153" s="523">
        <v>-70.510000000000005</v>
      </c>
      <c r="G153" s="521">
        <f t="shared" si="11"/>
        <v>4.5</v>
      </c>
      <c r="H153" s="524">
        <v>1.3083000000000001E-3</v>
      </c>
      <c r="I153" s="523">
        <f t="shared" si="12"/>
        <v>-0.42</v>
      </c>
      <c r="J153" s="448">
        <f t="shared" si="13"/>
        <v>-1.1100000000000001</v>
      </c>
      <c r="Q153" s="559">
        <f t="shared" si="14"/>
        <v>2017</v>
      </c>
    </row>
    <row r="154" spans="1:17" s="559" customFormat="1">
      <c r="A154" s="521" t="s">
        <v>318</v>
      </c>
      <c r="B154" s="522" t="s">
        <v>808</v>
      </c>
      <c r="C154" s="423" t="s">
        <v>329</v>
      </c>
      <c r="D154" s="521" t="s">
        <v>809</v>
      </c>
      <c r="E154" s="522">
        <v>201612</v>
      </c>
      <c r="F154" s="523">
        <v>-46.7</v>
      </c>
      <c r="G154" s="521">
        <f t="shared" si="11"/>
        <v>4.5</v>
      </c>
      <c r="H154" s="524">
        <v>1.3083000000000001E-3</v>
      </c>
      <c r="I154" s="523">
        <f t="shared" si="12"/>
        <v>-0.27</v>
      </c>
      <c r="J154" s="448">
        <f t="shared" si="13"/>
        <v>-0.73</v>
      </c>
      <c r="Q154" s="559">
        <f t="shared" si="14"/>
        <v>2017</v>
      </c>
    </row>
    <row r="155" spans="1:17" s="559" customFormat="1">
      <c r="A155" s="521" t="s">
        <v>318</v>
      </c>
      <c r="B155" s="522" t="s">
        <v>808</v>
      </c>
      <c r="C155" s="423" t="s">
        <v>329</v>
      </c>
      <c r="D155" s="521" t="s">
        <v>809</v>
      </c>
      <c r="E155" s="522">
        <v>201612</v>
      </c>
      <c r="F155" s="523">
        <v>-33.96</v>
      </c>
      <c r="G155" s="521">
        <f t="shared" si="11"/>
        <v>4.5</v>
      </c>
      <c r="H155" s="524">
        <v>1.3083000000000001E-3</v>
      </c>
      <c r="I155" s="523">
        <f t="shared" si="12"/>
        <v>-0.2</v>
      </c>
      <c r="J155" s="448">
        <f t="shared" si="13"/>
        <v>-0.53</v>
      </c>
      <c r="Q155" s="559">
        <f t="shared" si="14"/>
        <v>2017</v>
      </c>
    </row>
    <row r="156" spans="1:17" s="559" customFormat="1">
      <c r="A156" s="521" t="s">
        <v>322</v>
      </c>
      <c r="B156" s="522" t="s">
        <v>667</v>
      </c>
      <c r="C156" s="423" t="s">
        <v>329</v>
      </c>
      <c r="D156" s="521" t="s">
        <v>668</v>
      </c>
      <c r="E156" s="522">
        <v>201612</v>
      </c>
      <c r="F156" s="523">
        <v>-3.68</v>
      </c>
      <c r="G156" s="521">
        <f t="shared" si="11"/>
        <v>4.5</v>
      </c>
      <c r="H156" s="524">
        <v>1.1999999999999999E-3</v>
      </c>
      <c r="I156" s="523">
        <f t="shared" si="12"/>
        <v>-0.02</v>
      </c>
      <c r="J156" s="448">
        <f t="shared" si="13"/>
        <v>-0.05</v>
      </c>
      <c r="Q156" s="559">
        <f t="shared" si="14"/>
        <v>2017</v>
      </c>
    </row>
    <row r="157" spans="1:17" s="559" customFormat="1">
      <c r="A157" s="521" t="s">
        <v>318</v>
      </c>
      <c r="B157" s="522" t="s">
        <v>667</v>
      </c>
      <c r="C157" s="423" t="s">
        <v>329</v>
      </c>
      <c r="D157" s="521" t="s">
        <v>668</v>
      </c>
      <c r="E157" s="522">
        <v>201612</v>
      </c>
      <c r="F157" s="523">
        <v>-50.23</v>
      </c>
      <c r="G157" s="521">
        <f t="shared" si="11"/>
        <v>4.5</v>
      </c>
      <c r="H157" s="524">
        <v>1.3083000000000001E-3</v>
      </c>
      <c r="I157" s="523">
        <f t="shared" si="12"/>
        <v>-0.3</v>
      </c>
      <c r="J157" s="448">
        <f t="shared" si="13"/>
        <v>-0.79</v>
      </c>
      <c r="Q157" s="559">
        <f t="shared" si="14"/>
        <v>2017</v>
      </c>
    </row>
    <row r="158" spans="1:17" s="559" customFormat="1">
      <c r="A158" s="521" t="s">
        <v>318</v>
      </c>
      <c r="B158" s="522" t="s">
        <v>667</v>
      </c>
      <c r="C158" s="423" t="s">
        <v>329</v>
      </c>
      <c r="D158" s="521" t="s">
        <v>668</v>
      </c>
      <c r="E158" s="522">
        <v>201612</v>
      </c>
      <c r="F158" s="523">
        <v>-26.75</v>
      </c>
      <c r="G158" s="521">
        <f t="shared" si="11"/>
        <v>4.5</v>
      </c>
      <c r="H158" s="524">
        <v>1.3083000000000001E-3</v>
      </c>
      <c r="I158" s="523">
        <f t="shared" si="12"/>
        <v>-0.16</v>
      </c>
      <c r="J158" s="448">
        <f t="shared" si="13"/>
        <v>-0.42</v>
      </c>
      <c r="Q158" s="559">
        <f t="shared" si="14"/>
        <v>2017</v>
      </c>
    </row>
    <row r="159" spans="1:17" s="559" customFormat="1">
      <c r="A159" s="521" t="s">
        <v>318</v>
      </c>
      <c r="B159" s="522" t="s">
        <v>1033</v>
      </c>
      <c r="C159" s="423" t="s">
        <v>330</v>
      </c>
      <c r="D159" s="521" t="s">
        <v>1034</v>
      </c>
      <c r="E159" s="522">
        <v>201612</v>
      </c>
      <c r="F159" s="523">
        <v>26.22</v>
      </c>
      <c r="G159" s="521">
        <f t="shared" si="11"/>
        <v>4.5</v>
      </c>
      <c r="H159" s="524">
        <v>1.3083000000000001E-3</v>
      </c>
      <c r="I159" s="523">
        <f t="shared" si="12"/>
        <v>0.15</v>
      </c>
      <c r="J159" s="448">
        <f t="shared" si="13"/>
        <v>0.41</v>
      </c>
      <c r="Q159" s="559">
        <f t="shared" si="14"/>
        <v>2017</v>
      </c>
    </row>
    <row r="160" spans="1:17" s="559" customFormat="1">
      <c r="A160" s="521" t="s">
        <v>318</v>
      </c>
      <c r="B160" s="522" t="s">
        <v>1033</v>
      </c>
      <c r="C160" s="423" t="s">
        <v>330</v>
      </c>
      <c r="D160" s="521" t="s">
        <v>1034</v>
      </c>
      <c r="E160" s="522">
        <v>201612</v>
      </c>
      <c r="F160" s="523">
        <v>477.91</v>
      </c>
      <c r="G160" s="521">
        <f t="shared" si="11"/>
        <v>4.5</v>
      </c>
      <c r="H160" s="524">
        <v>1.3083000000000001E-3</v>
      </c>
      <c r="I160" s="523">
        <f t="shared" si="12"/>
        <v>2.81</v>
      </c>
      <c r="J160" s="448">
        <f t="shared" si="13"/>
        <v>7.5</v>
      </c>
      <c r="Q160" s="559">
        <f t="shared" si="14"/>
        <v>2017</v>
      </c>
    </row>
    <row r="161" spans="1:17" s="559" customFormat="1">
      <c r="A161" s="521" t="s">
        <v>318</v>
      </c>
      <c r="B161" s="522" t="s">
        <v>832</v>
      </c>
      <c r="C161" s="423" t="s">
        <v>330</v>
      </c>
      <c r="D161" s="521" t="s">
        <v>833</v>
      </c>
      <c r="E161" s="522">
        <v>201612</v>
      </c>
      <c r="F161" s="523">
        <v>0.13</v>
      </c>
      <c r="G161" s="521">
        <f t="shared" si="11"/>
        <v>4.5</v>
      </c>
      <c r="H161" s="524">
        <v>1.3083000000000001E-3</v>
      </c>
      <c r="I161" s="523">
        <f t="shared" si="12"/>
        <v>0</v>
      </c>
      <c r="J161" s="448">
        <f t="shared" si="13"/>
        <v>0</v>
      </c>
      <c r="Q161" s="559">
        <f t="shared" si="14"/>
        <v>2017</v>
      </c>
    </row>
    <row r="162" spans="1:17" s="559" customFormat="1">
      <c r="A162" s="521" t="s">
        <v>318</v>
      </c>
      <c r="B162" s="522" t="s">
        <v>832</v>
      </c>
      <c r="C162" s="423" t="s">
        <v>330</v>
      </c>
      <c r="D162" s="521" t="s">
        <v>833</v>
      </c>
      <c r="E162" s="522">
        <v>201612</v>
      </c>
      <c r="F162" s="523">
        <v>6.18</v>
      </c>
      <c r="G162" s="521">
        <f t="shared" si="11"/>
        <v>4.5</v>
      </c>
      <c r="H162" s="524">
        <v>1.3083000000000001E-3</v>
      </c>
      <c r="I162" s="523">
        <f t="shared" si="12"/>
        <v>0.04</v>
      </c>
      <c r="J162" s="448">
        <f t="shared" si="13"/>
        <v>0.1</v>
      </c>
      <c r="Q162" s="559">
        <f t="shared" si="14"/>
        <v>2017</v>
      </c>
    </row>
    <row r="163" spans="1:17" s="559" customFormat="1">
      <c r="A163" s="521" t="s">
        <v>318</v>
      </c>
      <c r="B163" s="522" t="s">
        <v>947</v>
      </c>
      <c r="C163" s="423" t="s">
        <v>330</v>
      </c>
      <c r="D163" s="521" t="s">
        <v>948</v>
      </c>
      <c r="E163" s="522">
        <v>201612</v>
      </c>
      <c r="F163" s="523">
        <v>7.51</v>
      </c>
      <c r="G163" s="521">
        <f t="shared" si="11"/>
        <v>4.5</v>
      </c>
      <c r="H163" s="524">
        <v>1.3083000000000001E-3</v>
      </c>
      <c r="I163" s="523">
        <f t="shared" si="12"/>
        <v>0.04</v>
      </c>
      <c r="J163" s="448">
        <f t="shared" si="13"/>
        <v>0.12</v>
      </c>
      <c r="Q163" s="559">
        <f t="shared" si="14"/>
        <v>2017</v>
      </c>
    </row>
    <row r="164" spans="1:17" s="559" customFormat="1">
      <c r="A164" s="521" t="s">
        <v>318</v>
      </c>
      <c r="B164" s="522" t="s">
        <v>947</v>
      </c>
      <c r="C164" s="423" t="s">
        <v>330</v>
      </c>
      <c r="D164" s="521" t="s">
        <v>948</v>
      </c>
      <c r="E164" s="522">
        <v>201612</v>
      </c>
      <c r="F164" s="523">
        <v>209.41</v>
      </c>
      <c r="G164" s="521">
        <f t="shared" si="11"/>
        <v>4.5</v>
      </c>
      <c r="H164" s="524">
        <v>1.3083000000000001E-3</v>
      </c>
      <c r="I164" s="523">
        <f t="shared" si="12"/>
        <v>1.23</v>
      </c>
      <c r="J164" s="448">
        <f t="shared" si="13"/>
        <v>3.29</v>
      </c>
      <c r="Q164" s="559">
        <f t="shared" si="14"/>
        <v>2017</v>
      </c>
    </row>
    <row r="165" spans="1:17" s="559" customFormat="1">
      <c r="A165" s="521" t="s">
        <v>318</v>
      </c>
      <c r="B165" s="522" t="s">
        <v>834</v>
      </c>
      <c r="C165" s="423" t="s">
        <v>330</v>
      </c>
      <c r="D165" s="521" t="s">
        <v>835</v>
      </c>
      <c r="E165" s="522">
        <v>201612</v>
      </c>
      <c r="F165" s="523">
        <v>-456957.15</v>
      </c>
      <c r="G165" s="521">
        <f t="shared" si="11"/>
        <v>4.5</v>
      </c>
      <c r="H165" s="524">
        <v>1.3083000000000001E-3</v>
      </c>
      <c r="I165" s="523">
        <f t="shared" si="12"/>
        <v>-2690.27</v>
      </c>
      <c r="J165" s="448">
        <f t="shared" si="13"/>
        <v>-7174.04</v>
      </c>
      <c r="Q165" s="559">
        <f t="shared" si="14"/>
        <v>2017</v>
      </c>
    </row>
    <row r="166" spans="1:17" s="559" customFormat="1">
      <c r="A166" s="521" t="s">
        <v>318</v>
      </c>
      <c r="B166" s="522" t="s">
        <v>834</v>
      </c>
      <c r="C166" s="423" t="s">
        <v>330</v>
      </c>
      <c r="D166" s="521" t="s">
        <v>835</v>
      </c>
      <c r="E166" s="522">
        <v>201612</v>
      </c>
      <c r="F166" s="523">
        <v>-55531</v>
      </c>
      <c r="G166" s="521">
        <f t="shared" si="11"/>
        <v>4.5</v>
      </c>
      <c r="H166" s="524">
        <v>1.3083000000000001E-3</v>
      </c>
      <c r="I166" s="523">
        <f t="shared" si="12"/>
        <v>-326.93</v>
      </c>
      <c r="J166" s="448">
        <f t="shared" si="13"/>
        <v>-871.81</v>
      </c>
      <c r="Q166" s="559">
        <f t="shared" si="14"/>
        <v>2017</v>
      </c>
    </row>
    <row r="167" spans="1:17" s="559" customFormat="1">
      <c r="A167" s="521" t="s">
        <v>318</v>
      </c>
      <c r="B167" s="522" t="s">
        <v>951</v>
      </c>
      <c r="C167" s="423" t="s">
        <v>330</v>
      </c>
      <c r="D167" s="521" t="s">
        <v>952</v>
      </c>
      <c r="E167" s="522">
        <v>201612</v>
      </c>
      <c r="F167" s="523">
        <v>-138.94</v>
      </c>
      <c r="G167" s="521">
        <f t="shared" si="11"/>
        <v>4.5</v>
      </c>
      <c r="H167" s="524">
        <v>1.3083000000000001E-3</v>
      </c>
      <c r="I167" s="523">
        <f t="shared" si="12"/>
        <v>-0.82</v>
      </c>
      <c r="J167" s="448">
        <f t="shared" si="13"/>
        <v>-2.1800000000000002</v>
      </c>
      <c r="Q167" s="559">
        <f t="shared" si="14"/>
        <v>2017</v>
      </c>
    </row>
    <row r="168" spans="1:17" s="559" customFormat="1">
      <c r="A168" s="521" t="s">
        <v>318</v>
      </c>
      <c r="B168" s="522" t="s">
        <v>951</v>
      </c>
      <c r="C168" s="423" t="s">
        <v>330</v>
      </c>
      <c r="D168" s="521" t="s">
        <v>952</v>
      </c>
      <c r="E168" s="522">
        <v>201612</v>
      </c>
      <c r="F168" s="523">
        <v>-4.46</v>
      </c>
      <c r="G168" s="521">
        <f t="shared" si="11"/>
        <v>4.5</v>
      </c>
      <c r="H168" s="524">
        <v>1.3083000000000001E-3</v>
      </c>
      <c r="I168" s="523">
        <f t="shared" si="12"/>
        <v>-0.03</v>
      </c>
      <c r="J168" s="448">
        <f t="shared" si="13"/>
        <v>-7.0000000000000007E-2</v>
      </c>
      <c r="Q168" s="559">
        <f t="shared" si="14"/>
        <v>2017</v>
      </c>
    </row>
    <row r="169" spans="1:17" s="559" customFormat="1">
      <c r="A169" s="521" t="s">
        <v>318</v>
      </c>
      <c r="B169" s="522" t="s">
        <v>953</v>
      </c>
      <c r="C169" s="423" t="s">
        <v>330</v>
      </c>
      <c r="D169" s="521" t="s">
        <v>954</v>
      </c>
      <c r="E169" s="522">
        <v>201612</v>
      </c>
      <c r="F169" s="523">
        <v>5326</v>
      </c>
      <c r="G169" s="521">
        <f t="shared" si="11"/>
        <v>4.5</v>
      </c>
      <c r="H169" s="524">
        <v>1.3083000000000001E-3</v>
      </c>
      <c r="I169" s="523">
        <f t="shared" si="12"/>
        <v>31.36</v>
      </c>
      <c r="J169" s="448">
        <f t="shared" si="13"/>
        <v>83.62</v>
      </c>
      <c r="Q169" s="559">
        <f t="shared" si="14"/>
        <v>2017</v>
      </c>
    </row>
    <row r="170" spans="1:17" s="559" customFormat="1">
      <c r="A170" s="521" t="s">
        <v>318</v>
      </c>
      <c r="B170" s="522" t="s">
        <v>953</v>
      </c>
      <c r="C170" s="423" t="s">
        <v>330</v>
      </c>
      <c r="D170" s="521" t="s">
        <v>954</v>
      </c>
      <c r="E170" s="522">
        <v>201612</v>
      </c>
      <c r="F170" s="523">
        <v>12515.84</v>
      </c>
      <c r="G170" s="521">
        <f t="shared" si="11"/>
        <v>4.5</v>
      </c>
      <c r="H170" s="524">
        <v>1.3083000000000001E-3</v>
      </c>
      <c r="I170" s="523">
        <f t="shared" si="12"/>
        <v>73.69</v>
      </c>
      <c r="J170" s="448">
        <f t="shared" si="13"/>
        <v>196.49</v>
      </c>
      <c r="Q170" s="559">
        <f t="shared" si="14"/>
        <v>2017</v>
      </c>
    </row>
    <row r="171" spans="1:17" s="559" customFormat="1">
      <c r="A171" s="521" t="s">
        <v>318</v>
      </c>
      <c r="B171" s="522" t="s">
        <v>955</v>
      </c>
      <c r="C171" s="423" t="s">
        <v>330</v>
      </c>
      <c r="D171" s="521" t="s">
        <v>956</v>
      </c>
      <c r="E171" s="522">
        <v>201612</v>
      </c>
      <c r="F171" s="523">
        <v>0.38</v>
      </c>
      <c r="G171" s="521">
        <f t="shared" si="11"/>
        <v>4.5</v>
      </c>
      <c r="H171" s="524">
        <v>1.3083000000000001E-3</v>
      </c>
      <c r="I171" s="523">
        <f t="shared" si="12"/>
        <v>0</v>
      </c>
      <c r="J171" s="448">
        <f t="shared" si="13"/>
        <v>0.01</v>
      </c>
      <c r="Q171" s="559">
        <f t="shared" si="14"/>
        <v>2017</v>
      </c>
    </row>
    <row r="172" spans="1:17" s="559" customFormat="1">
      <c r="A172" s="521" t="s">
        <v>318</v>
      </c>
      <c r="B172" s="522" t="s">
        <v>955</v>
      </c>
      <c r="C172" s="423" t="s">
        <v>330</v>
      </c>
      <c r="D172" s="521" t="s">
        <v>956</v>
      </c>
      <c r="E172" s="522">
        <v>201612</v>
      </c>
      <c r="F172" s="523">
        <v>11.42</v>
      </c>
      <c r="G172" s="521">
        <f t="shared" si="11"/>
        <v>4.5</v>
      </c>
      <c r="H172" s="524">
        <v>1.3083000000000001E-3</v>
      </c>
      <c r="I172" s="523">
        <f t="shared" si="12"/>
        <v>7.0000000000000007E-2</v>
      </c>
      <c r="J172" s="448">
        <f t="shared" si="13"/>
        <v>0.18</v>
      </c>
      <c r="Q172" s="559">
        <f t="shared" si="14"/>
        <v>2017</v>
      </c>
    </row>
    <row r="173" spans="1:17" s="559" customFormat="1">
      <c r="A173" s="521" t="s">
        <v>318</v>
      </c>
      <c r="B173" s="522" t="s">
        <v>672</v>
      </c>
      <c r="C173" s="423" t="s">
        <v>330</v>
      </c>
      <c r="D173" s="521" t="s">
        <v>673</v>
      </c>
      <c r="E173" s="522">
        <v>201612</v>
      </c>
      <c r="F173" s="523">
        <v>-92.08</v>
      </c>
      <c r="G173" s="521">
        <f t="shared" si="11"/>
        <v>4.5</v>
      </c>
      <c r="H173" s="524">
        <v>1.3083000000000001E-3</v>
      </c>
      <c r="I173" s="523">
        <f t="shared" si="12"/>
        <v>-0.54</v>
      </c>
      <c r="J173" s="448">
        <f t="shared" si="13"/>
        <v>-1.45</v>
      </c>
      <c r="Q173" s="559">
        <f t="shared" si="14"/>
        <v>2017</v>
      </c>
    </row>
    <row r="174" spans="1:17" s="559" customFormat="1">
      <c r="A174" s="521" t="s">
        <v>318</v>
      </c>
      <c r="B174" s="522" t="s">
        <v>814</v>
      </c>
      <c r="C174" s="423" t="s">
        <v>330</v>
      </c>
      <c r="D174" s="521" t="s">
        <v>815</v>
      </c>
      <c r="E174" s="522">
        <v>201612</v>
      </c>
      <c r="F174" s="523">
        <v>72441.429999999993</v>
      </c>
      <c r="G174" s="521">
        <f t="shared" si="11"/>
        <v>4.5</v>
      </c>
      <c r="H174" s="524">
        <v>1.3083000000000001E-3</v>
      </c>
      <c r="I174" s="523">
        <f t="shared" si="12"/>
        <v>426.49</v>
      </c>
      <c r="J174" s="448">
        <f t="shared" si="13"/>
        <v>1137.3</v>
      </c>
      <c r="Q174" s="559">
        <f t="shared" si="14"/>
        <v>2017</v>
      </c>
    </row>
    <row r="175" spans="1:17" s="559" customFormat="1">
      <c r="A175" s="521" t="s">
        <v>318</v>
      </c>
      <c r="B175" s="522" t="s">
        <v>814</v>
      </c>
      <c r="C175" s="423" t="s">
        <v>330</v>
      </c>
      <c r="D175" s="521" t="s">
        <v>815</v>
      </c>
      <c r="E175" s="522">
        <v>201612</v>
      </c>
      <c r="F175" s="523">
        <v>75297.440000000002</v>
      </c>
      <c r="G175" s="521">
        <f t="shared" si="11"/>
        <v>4.5</v>
      </c>
      <c r="H175" s="524">
        <v>1.3083000000000001E-3</v>
      </c>
      <c r="I175" s="523">
        <f t="shared" si="12"/>
        <v>443.3</v>
      </c>
      <c r="J175" s="448">
        <f t="shared" si="13"/>
        <v>1182.1400000000001</v>
      </c>
      <c r="Q175" s="559">
        <f t="shared" si="14"/>
        <v>2017</v>
      </c>
    </row>
    <row r="176" spans="1:17" s="559" customFormat="1">
      <c r="A176" s="521" t="s">
        <v>318</v>
      </c>
      <c r="B176" s="522" t="s">
        <v>961</v>
      </c>
      <c r="C176" s="423" t="s">
        <v>330</v>
      </c>
      <c r="D176" s="521" t="s">
        <v>962</v>
      </c>
      <c r="E176" s="522">
        <v>201612</v>
      </c>
      <c r="F176" s="523">
        <v>-126.79</v>
      </c>
      <c r="G176" s="521">
        <f t="shared" si="11"/>
        <v>4.5</v>
      </c>
      <c r="H176" s="524">
        <v>1.3083000000000001E-3</v>
      </c>
      <c r="I176" s="523">
        <f t="shared" si="12"/>
        <v>-0.75</v>
      </c>
      <c r="J176" s="448">
        <f t="shared" si="13"/>
        <v>-1.99</v>
      </c>
      <c r="Q176" s="559">
        <f t="shared" si="14"/>
        <v>2017</v>
      </c>
    </row>
    <row r="177" spans="1:17" s="559" customFormat="1">
      <c r="A177" s="521" t="s">
        <v>318</v>
      </c>
      <c r="B177" s="522" t="s">
        <v>961</v>
      </c>
      <c r="C177" s="423" t="s">
        <v>330</v>
      </c>
      <c r="D177" s="521" t="s">
        <v>962</v>
      </c>
      <c r="E177" s="522">
        <v>201612</v>
      </c>
      <c r="F177" s="523">
        <v>-7.9</v>
      </c>
      <c r="G177" s="521">
        <f t="shared" si="11"/>
        <v>4.5</v>
      </c>
      <c r="H177" s="524">
        <v>1.3083000000000001E-3</v>
      </c>
      <c r="I177" s="523">
        <f t="shared" si="12"/>
        <v>-0.05</v>
      </c>
      <c r="J177" s="448">
        <f t="shared" si="13"/>
        <v>-0.12</v>
      </c>
      <c r="Q177" s="559">
        <f t="shared" si="14"/>
        <v>2017</v>
      </c>
    </row>
    <row r="178" spans="1:17" s="559" customFormat="1">
      <c r="A178" s="521" t="s">
        <v>318</v>
      </c>
      <c r="B178" s="522" t="s">
        <v>963</v>
      </c>
      <c r="C178" s="423" t="s">
        <v>330</v>
      </c>
      <c r="D178" s="521" t="s">
        <v>964</v>
      </c>
      <c r="E178" s="522">
        <v>201612</v>
      </c>
      <c r="F178" s="523">
        <v>8.17</v>
      </c>
      <c r="G178" s="521">
        <f t="shared" si="11"/>
        <v>4.5</v>
      </c>
      <c r="H178" s="524">
        <v>1.3083000000000001E-3</v>
      </c>
      <c r="I178" s="523">
        <f t="shared" si="12"/>
        <v>0.05</v>
      </c>
      <c r="J178" s="448">
        <f t="shared" si="13"/>
        <v>0.13</v>
      </c>
      <c r="Q178" s="559">
        <f t="shared" si="14"/>
        <v>2017</v>
      </c>
    </row>
    <row r="179" spans="1:17" s="559" customFormat="1">
      <c r="A179" s="521" t="s">
        <v>318</v>
      </c>
      <c r="B179" s="522" t="s">
        <v>963</v>
      </c>
      <c r="C179" s="423" t="s">
        <v>330</v>
      </c>
      <c r="D179" s="521" t="s">
        <v>964</v>
      </c>
      <c r="E179" s="522">
        <v>201612</v>
      </c>
      <c r="F179" s="523">
        <v>105.05</v>
      </c>
      <c r="G179" s="521">
        <f t="shared" si="11"/>
        <v>4.5</v>
      </c>
      <c r="H179" s="524">
        <v>1.3083000000000001E-3</v>
      </c>
      <c r="I179" s="523">
        <f t="shared" si="12"/>
        <v>0.62</v>
      </c>
      <c r="J179" s="448">
        <f t="shared" si="13"/>
        <v>1.65</v>
      </c>
      <c r="Q179" s="559">
        <f t="shared" si="14"/>
        <v>2017</v>
      </c>
    </row>
    <row r="180" spans="1:17" s="559" customFormat="1">
      <c r="A180" s="521" t="s">
        <v>318</v>
      </c>
      <c r="B180" s="522" t="s">
        <v>842</v>
      </c>
      <c r="C180" s="423" t="s">
        <v>330</v>
      </c>
      <c r="D180" s="521" t="s">
        <v>843</v>
      </c>
      <c r="E180" s="522">
        <v>201612</v>
      </c>
      <c r="F180" s="523">
        <v>-950025.59</v>
      </c>
      <c r="G180" s="521">
        <f t="shared" si="11"/>
        <v>4.5</v>
      </c>
      <c r="H180" s="524">
        <v>1.3083000000000001E-3</v>
      </c>
      <c r="I180" s="523">
        <f t="shared" si="12"/>
        <v>-5593.13</v>
      </c>
      <c r="J180" s="448">
        <f t="shared" si="13"/>
        <v>-14915.02</v>
      </c>
      <c r="Q180" s="559">
        <f t="shared" si="14"/>
        <v>2017</v>
      </c>
    </row>
    <row r="181" spans="1:17" s="559" customFormat="1">
      <c r="A181" s="521" t="s">
        <v>318</v>
      </c>
      <c r="B181" s="522" t="s">
        <v>842</v>
      </c>
      <c r="C181" s="423" t="s">
        <v>330</v>
      </c>
      <c r="D181" s="521" t="s">
        <v>843</v>
      </c>
      <c r="E181" s="522">
        <v>201612</v>
      </c>
      <c r="F181" s="523">
        <v>-65717.08</v>
      </c>
      <c r="G181" s="521">
        <f t="shared" si="11"/>
        <v>4.5</v>
      </c>
      <c r="H181" s="524">
        <v>1.3083000000000001E-3</v>
      </c>
      <c r="I181" s="523">
        <f t="shared" si="12"/>
        <v>-386.9</v>
      </c>
      <c r="J181" s="448">
        <f t="shared" si="13"/>
        <v>-1031.73</v>
      </c>
      <c r="Q181" s="559">
        <f t="shared" si="14"/>
        <v>2017</v>
      </c>
    </row>
    <row r="182" spans="1:17" s="559" customFormat="1">
      <c r="A182" s="521" t="s">
        <v>318</v>
      </c>
      <c r="B182" s="522" t="s">
        <v>842</v>
      </c>
      <c r="C182" s="423" t="s">
        <v>330</v>
      </c>
      <c r="D182" s="521" t="s">
        <v>843</v>
      </c>
      <c r="E182" s="522">
        <v>201612</v>
      </c>
      <c r="F182" s="523">
        <v>180514.63</v>
      </c>
      <c r="G182" s="521">
        <f t="shared" si="11"/>
        <v>4.5</v>
      </c>
      <c r="H182" s="524">
        <v>1.3083000000000001E-3</v>
      </c>
      <c r="I182" s="523">
        <f t="shared" si="12"/>
        <v>1062.75</v>
      </c>
      <c r="J182" s="448">
        <f t="shared" si="13"/>
        <v>2834.01</v>
      </c>
      <c r="Q182" s="559">
        <f t="shared" si="14"/>
        <v>2017</v>
      </c>
    </row>
    <row r="183" spans="1:17" s="559" customFormat="1">
      <c r="A183" s="521" t="s">
        <v>318</v>
      </c>
      <c r="B183" s="522" t="s">
        <v>842</v>
      </c>
      <c r="C183" s="423" t="s">
        <v>330</v>
      </c>
      <c r="D183" s="521" t="s">
        <v>843</v>
      </c>
      <c r="E183" s="522">
        <v>201612</v>
      </c>
      <c r="F183" s="523">
        <v>835768.31</v>
      </c>
      <c r="G183" s="521">
        <f t="shared" si="11"/>
        <v>4.5</v>
      </c>
      <c r="H183" s="524">
        <v>1.3083000000000001E-3</v>
      </c>
      <c r="I183" s="523">
        <f t="shared" si="12"/>
        <v>4920.46</v>
      </c>
      <c r="J183" s="448">
        <f t="shared" si="13"/>
        <v>13121.23</v>
      </c>
      <c r="Q183" s="559">
        <f t="shared" si="14"/>
        <v>2017</v>
      </c>
    </row>
    <row r="184" spans="1:17" s="559" customFormat="1">
      <c r="A184" s="521" t="s">
        <v>318</v>
      </c>
      <c r="B184" s="522" t="s">
        <v>844</v>
      </c>
      <c r="C184" s="423" t="s">
        <v>329</v>
      </c>
      <c r="D184" s="521" t="s">
        <v>845</v>
      </c>
      <c r="E184" s="522">
        <v>201612</v>
      </c>
      <c r="F184" s="523">
        <v>-414.62</v>
      </c>
      <c r="G184" s="521">
        <f t="shared" si="11"/>
        <v>4.5</v>
      </c>
      <c r="H184" s="524">
        <v>1.3083000000000001E-3</v>
      </c>
      <c r="I184" s="523">
        <f t="shared" si="12"/>
        <v>-2.44</v>
      </c>
      <c r="J184" s="448">
        <f t="shared" si="13"/>
        <v>-6.51</v>
      </c>
      <c r="Q184" s="559">
        <f t="shared" si="14"/>
        <v>2017</v>
      </c>
    </row>
    <row r="185" spans="1:17" s="559" customFormat="1">
      <c r="A185" s="521" t="s">
        <v>318</v>
      </c>
      <c r="B185" s="522" t="s">
        <v>844</v>
      </c>
      <c r="C185" s="423" t="s">
        <v>329</v>
      </c>
      <c r="D185" s="521" t="s">
        <v>845</v>
      </c>
      <c r="E185" s="522">
        <v>201612</v>
      </c>
      <c r="F185" s="523">
        <v>-322.36</v>
      </c>
      <c r="G185" s="521">
        <f t="shared" si="11"/>
        <v>4.5</v>
      </c>
      <c r="H185" s="524">
        <v>1.3083000000000001E-3</v>
      </c>
      <c r="I185" s="523">
        <f t="shared" si="12"/>
        <v>-1.9</v>
      </c>
      <c r="J185" s="448">
        <f t="shared" si="13"/>
        <v>-5.0599999999999996</v>
      </c>
      <c r="Q185" s="559">
        <f t="shared" si="14"/>
        <v>2017</v>
      </c>
    </row>
    <row r="186" spans="1:17" s="559" customFormat="1">
      <c r="A186" s="521" t="s">
        <v>318</v>
      </c>
      <c r="B186" s="522" t="s">
        <v>1035</v>
      </c>
      <c r="C186" s="423" t="s">
        <v>329</v>
      </c>
      <c r="D186" s="521" t="s">
        <v>1036</v>
      </c>
      <c r="E186" s="522">
        <v>201612</v>
      </c>
      <c r="F186" s="523">
        <v>-78.45</v>
      </c>
      <c r="G186" s="521">
        <f t="shared" si="11"/>
        <v>4.5</v>
      </c>
      <c r="H186" s="524">
        <v>1.3083000000000001E-3</v>
      </c>
      <c r="I186" s="523">
        <f t="shared" si="12"/>
        <v>-0.46</v>
      </c>
      <c r="J186" s="448">
        <f t="shared" si="13"/>
        <v>-1.23</v>
      </c>
      <c r="Q186" s="559">
        <f t="shared" si="14"/>
        <v>2017</v>
      </c>
    </row>
    <row r="187" spans="1:17" s="559" customFormat="1">
      <c r="A187" s="521" t="s">
        <v>318</v>
      </c>
      <c r="B187" s="522" t="s">
        <v>1035</v>
      </c>
      <c r="C187" s="423" t="s">
        <v>329</v>
      </c>
      <c r="D187" s="521" t="s">
        <v>1036</v>
      </c>
      <c r="E187" s="522">
        <v>201612</v>
      </c>
      <c r="F187" s="523">
        <v>-2.21</v>
      </c>
      <c r="G187" s="521">
        <f t="shared" si="11"/>
        <v>4.5</v>
      </c>
      <c r="H187" s="524">
        <v>1.3083000000000001E-3</v>
      </c>
      <c r="I187" s="523">
        <f t="shared" si="12"/>
        <v>-0.01</v>
      </c>
      <c r="J187" s="448">
        <f t="shared" si="13"/>
        <v>-0.03</v>
      </c>
      <c r="Q187" s="559">
        <f t="shared" si="14"/>
        <v>2017</v>
      </c>
    </row>
    <row r="188" spans="1:17" s="559" customFormat="1">
      <c r="A188" s="521" t="s">
        <v>318</v>
      </c>
      <c r="B188" s="522" t="s">
        <v>862</v>
      </c>
      <c r="C188" s="423" t="s">
        <v>330</v>
      </c>
      <c r="D188" s="521" t="s">
        <v>863</v>
      </c>
      <c r="E188" s="522">
        <v>201612</v>
      </c>
      <c r="F188" s="523">
        <v>-89463.92</v>
      </c>
      <c r="G188" s="521">
        <f t="shared" si="11"/>
        <v>4.5</v>
      </c>
      <c r="H188" s="524">
        <v>1.3083000000000001E-3</v>
      </c>
      <c r="I188" s="523">
        <f t="shared" si="12"/>
        <v>-526.71</v>
      </c>
      <c r="J188" s="448">
        <f t="shared" si="13"/>
        <v>-1404.55</v>
      </c>
      <c r="Q188" s="559">
        <f t="shared" si="14"/>
        <v>2017</v>
      </c>
    </row>
    <row r="189" spans="1:17">
      <c r="A189" s="332" t="s">
        <v>318</v>
      </c>
      <c r="B189" s="333" t="s">
        <v>862</v>
      </c>
      <c r="C189" s="423" t="s">
        <v>330</v>
      </c>
      <c r="D189" s="332" t="s">
        <v>863</v>
      </c>
      <c r="E189" s="333">
        <v>201612</v>
      </c>
      <c r="F189" s="334">
        <v>2852.43</v>
      </c>
      <c r="G189" s="521">
        <f t="shared" si="11"/>
        <v>4.5</v>
      </c>
      <c r="H189" s="336">
        <v>1.3083000000000001E-3</v>
      </c>
      <c r="I189" s="523">
        <f t="shared" si="12"/>
        <v>16.79</v>
      </c>
      <c r="J189" s="448">
        <f t="shared" si="13"/>
        <v>44.78</v>
      </c>
      <c r="Q189" s="101">
        <f t="shared" ref="Q189:Q248" si="15">IF(E189&lt;=$Q$1,$S$5,$S$6)</f>
        <v>2017</v>
      </c>
    </row>
    <row r="190" spans="1:17">
      <c r="A190" s="332" t="s">
        <v>318</v>
      </c>
      <c r="B190" s="333" t="s">
        <v>967</v>
      </c>
      <c r="C190" s="423" t="s">
        <v>330</v>
      </c>
      <c r="D190" s="332" t="s">
        <v>968</v>
      </c>
      <c r="E190" s="333">
        <v>201612</v>
      </c>
      <c r="F190" s="334">
        <v>7.95</v>
      </c>
      <c r="G190" s="521">
        <f t="shared" si="11"/>
        <v>4.5</v>
      </c>
      <c r="H190" s="336">
        <v>1.3083000000000001E-3</v>
      </c>
      <c r="I190" s="523">
        <f t="shared" si="12"/>
        <v>0.05</v>
      </c>
      <c r="J190" s="448">
        <f t="shared" si="13"/>
        <v>0.12</v>
      </c>
      <c r="Q190" s="101">
        <f t="shared" si="15"/>
        <v>2017</v>
      </c>
    </row>
    <row r="191" spans="1:17">
      <c r="A191" s="332" t="s">
        <v>318</v>
      </c>
      <c r="B191" s="333" t="s">
        <v>967</v>
      </c>
      <c r="C191" s="423" t="s">
        <v>330</v>
      </c>
      <c r="D191" s="332" t="s">
        <v>968</v>
      </c>
      <c r="E191" s="333">
        <v>201612</v>
      </c>
      <c r="F191" s="334">
        <v>210.4</v>
      </c>
      <c r="G191" s="521">
        <f t="shared" si="11"/>
        <v>4.5</v>
      </c>
      <c r="H191" s="336">
        <v>1.3083000000000001E-3</v>
      </c>
      <c r="I191" s="523">
        <f t="shared" si="12"/>
        <v>1.24</v>
      </c>
      <c r="J191" s="448">
        <f t="shared" si="13"/>
        <v>3.3</v>
      </c>
      <c r="Q191" s="101">
        <f t="shared" si="15"/>
        <v>2017</v>
      </c>
    </row>
    <row r="192" spans="1:17">
      <c r="A192" s="332" t="s">
        <v>318</v>
      </c>
      <c r="B192" s="333" t="s">
        <v>682</v>
      </c>
      <c r="C192" s="423" t="s">
        <v>330</v>
      </c>
      <c r="D192" s="332" t="s">
        <v>683</v>
      </c>
      <c r="E192" s="333">
        <v>201612</v>
      </c>
      <c r="F192" s="334">
        <v>356.49</v>
      </c>
      <c r="G192" s="521">
        <f t="shared" si="11"/>
        <v>4.5</v>
      </c>
      <c r="H192" s="336">
        <v>1.3083000000000001E-3</v>
      </c>
      <c r="I192" s="523">
        <f t="shared" si="12"/>
        <v>2.1</v>
      </c>
      <c r="J192" s="448">
        <f t="shared" si="13"/>
        <v>5.6</v>
      </c>
      <c r="Q192" s="101">
        <f t="shared" si="15"/>
        <v>2017</v>
      </c>
    </row>
    <row r="193" spans="1:17">
      <c r="A193" s="332" t="s">
        <v>318</v>
      </c>
      <c r="B193" s="333" t="s">
        <v>682</v>
      </c>
      <c r="C193" s="423" t="s">
        <v>330</v>
      </c>
      <c r="D193" s="332" t="s">
        <v>683</v>
      </c>
      <c r="E193" s="333">
        <v>201612</v>
      </c>
      <c r="F193" s="334">
        <v>8545.99</v>
      </c>
      <c r="G193" s="521">
        <f t="shared" si="11"/>
        <v>4.5</v>
      </c>
      <c r="H193" s="336">
        <v>1.3083000000000001E-3</v>
      </c>
      <c r="I193" s="523">
        <f t="shared" si="12"/>
        <v>50.31</v>
      </c>
      <c r="J193" s="448">
        <f t="shared" si="13"/>
        <v>134.16999999999999</v>
      </c>
      <c r="Q193" s="101">
        <f t="shared" si="15"/>
        <v>2017</v>
      </c>
    </row>
    <row r="194" spans="1:17">
      <c r="A194" s="332" t="s">
        <v>318</v>
      </c>
      <c r="B194" s="333" t="s">
        <v>846</v>
      </c>
      <c r="C194" s="423" t="s">
        <v>330</v>
      </c>
      <c r="D194" s="332" t="s">
        <v>847</v>
      </c>
      <c r="E194" s="333">
        <v>201612</v>
      </c>
      <c r="F194" s="334">
        <v>38.85</v>
      </c>
      <c r="G194" s="521">
        <f t="shared" ref="G194:G255" si="16">VLOOKUP(E194,$N$6:$O$49,2,FALSE)</f>
        <v>4.5</v>
      </c>
      <c r="H194" s="336">
        <v>1.3083000000000001E-3</v>
      </c>
      <c r="I194" s="523">
        <f t="shared" ref="I194:I255" si="17">ROUND(F194*G194*H194,2)</f>
        <v>0.23</v>
      </c>
      <c r="J194" s="448">
        <f t="shared" ref="J194:J255" si="18">ROUND(F194*H194*12,2)</f>
        <v>0.61</v>
      </c>
      <c r="Q194" s="101">
        <f t="shared" si="15"/>
        <v>2017</v>
      </c>
    </row>
    <row r="195" spans="1:17">
      <c r="A195" s="332" t="s">
        <v>318</v>
      </c>
      <c r="B195" s="333" t="s">
        <v>846</v>
      </c>
      <c r="C195" s="423" t="s">
        <v>330</v>
      </c>
      <c r="D195" s="332" t="s">
        <v>847</v>
      </c>
      <c r="E195" s="333">
        <v>201612</v>
      </c>
      <c r="F195" s="334">
        <v>406.21</v>
      </c>
      <c r="G195" s="521">
        <f t="shared" si="16"/>
        <v>4.5</v>
      </c>
      <c r="H195" s="336">
        <v>1.3083000000000001E-3</v>
      </c>
      <c r="I195" s="523">
        <f t="shared" si="17"/>
        <v>2.39</v>
      </c>
      <c r="J195" s="448">
        <f t="shared" si="18"/>
        <v>6.38</v>
      </c>
      <c r="Q195" s="101">
        <f t="shared" si="15"/>
        <v>2017</v>
      </c>
    </row>
    <row r="196" spans="1:17">
      <c r="A196" s="332" t="s">
        <v>322</v>
      </c>
      <c r="B196" s="333" t="s">
        <v>1106</v>
      </c>
      <c r="C196" s="423" t="s">
        <v>330</v>
      </c>
      <c r="D196" s="332" t="s">
        <v>1107</v>
      </c>
      <c r="E196" s="333">
        <v>201612</v>
      </c>
      <c r="F196" s="334">
        <v>621.71</v>
      </c>
      <c r="G196" s="521">
        <f t="shared" si="16"/>
        <v>4.5</v>
      </c>
      <c r="H196" s="336">
        <v>1.1999999999999999E-3</v>
      </c>
      <c r="I196" s="523">
        <f t="shared" si="17"/>
        <v>3.36</v>
      </c>
      <c r="J196" s="448">
        <f t="shared" si="18"/>
        <v>8.9499999999999993</v>
      </c>
      <c r="Q196" s="101">
        <f t="shared" si="15"/>
        <v>2017</v>
      </c>
    </row>
    <row r="197" spans="1:17">
      <c r="A197" s="332" t="s">
        <v>318</v>
      </c>
      <c r="B197" s="333" t="s">
        <v>1106</v>
      </c>
      <c r="C197" s="423" t="s">
        <v>330</v>
      </c>
      <c r="D197" s="332" t="s">
        <v>1107</v>
      </c>
      <c r="E197" s="333">
        <v>201612</v>
      </c>
      <c r="F197" s="334">
        <v>15673.6</v>
      </c>
      <c r="G197" s="521">
        <f t="shared" si="16"/>
        <v>4.5</v>
      </c>
      <c r="H197" s="336">
        <v>1.3083000000000001E-3</v>
      </c>
      <c r="I197" s="523">
        <f t="shared" si="17"/>
        <v>92.28</v>
      </c>
      <c r="J197" s="448">
        <f t="shared" si="18"/>
        <v>246.07</v>
      </c>
      <c r="Q197" s="101">
        <f t="shared" si="15"/>
        <v>2017</v>
      </c>
    </row>
    <row r="198" spans="1:17">
      <c r="A198" s="332" t="s">
        <v>318</v>
      </c>
      <c r="B198" s="333" t="s">
        <v>1106</v>
      </c>
      <c r="C198" s="423" t="s">
        <v>330</v>
      </c>
      <c r="D198" s="332" t="s">
        <v>1107</v>
      </c>
      <c r="E198" s="333">
        <v>201612</v>
      </c>
      <c r="F198" s="334">
        <v>194730.47</v>
      </c>
      <c r="G198" s="521">
        <f t="shared" si="16"/>
        <v>4.5</v>
      </c>
      <c r="H198" s="336">
        <v>1.3083000000000001E-3</v>
      </c>
      <c r="I198" s="523">
        <f t="shared" si="17"/>
        <v>1146.45</v>
      </c>
      <c r="J198" s="448">
        <f t="shared" si="18"/>
        <v>3057.19</v>
      </c>
      <c r="Q198" s="101">
        <f t="shared" si="15"/>
        <v>2017</v>
      </c>
    </row>
    <row r="199" spans="1:17">
      <c r="A199" s="332" t="s">
        <v>318</v>
      </c>
      <c r="B199" s="333" t="s">
        <v>848</v>
      </c>
      <c r="C199" s="423" t="s">
        <v>329</v>
      </c>
      <c r="D199" s="332" t="s">
        <v>849</v>
      </c>
      <c r="E199" s="333">
        <v>201612</v>
      </c>
      <c r="F199" s="334">
        <v>44.67</v>
      </c>
      <c r="G199" s="521">
        <f t="shared" si="16"/>
        <v>4.5</v>
      </c>
      <c r="H199" s="336">
        <v>1.3083000000000001E-3</v>
      </c>
      <c r="I199" s="523">
        <f t="shared" si="17"/>
        <v>0.26</v>
      </c>
      <c r="J199" s="448">
        <f t="shared" si="18"/>
        <v>0.7</v>
      </c>
      <c r="Q199" s="101">
        <f t="shared" si="15"/>
        <v>2017</v>
      </c>
    </row>
    <row r="200" spans="1:17">
      <c r="A200" s="332" t="s">
        <v>318</v>
      </c>
      <c r="B200" s="333" t="s">
        <v>848</v>
      </c>
      <c r="C200" s="423" t="s">
        <v>329</v>
      </c>
      <c r="D200" s="332" t="s">
        <v>849</v>
      </c>
      <c r="E200" s="333">
        <v>201612</v>
      </c>
      <c r="F200" s="334">
        <v>189.5</v>
      </c>
      <c r="G200" s="521">
        <f t="shared" si="16"/>
        <v>4.5</v>
      </c>
      <c r="H200" s="336">
        <v>1.3083000000000001E-3</v>
      </c>
      <c r="I200" s="523">
        <f t="shared" si="17"/>
        <v>1.1200000000000001</v>
      </c>
      <c r="J200" s="448">
        <f t="shared" si="18"/>
        <v>2.98</v>
      </c>
      <c r="Q200" s="101">
        <f t="shared" si="15"/>
        <v>2017</v>
      </c>
    </row>
    <row r="201" spans="1:17">
      <c r="A201" s="332" t="s">
        <v>318</v>
      </c>
      <c r="B201" s="333" t="s">
        <v>971</v>
      </c>
      <c r="C201" s="423" t="s">
        <v>329</v>
      </c>
      <c r="D201" s="332" t="s">
        <v>972</v>
      </c>
      <c r="E201" s="333">
        <v>201612</v>
      </c>
      <c r="F201" s="334">
        <v>1.45</v>
      </c>
      <c r="G201" s="521">
        <f t="shared" si="16"/>
        <v>4.5</v>
      </c>
      <c r="H201" s="336">
        <v>1.3083000000000001E-3</v>
      </c>
      <c r="I201" s="523">
        <f t="shared" si="17"/>
        <v>0.01</v>
      </c>
      <c r="J201" s="448">
        <f t="shared" si="18"/>
        <v>0.02</v>
      </c>
      <c r="Q201" s="101">
        <f t="shared" si="15"/>
        <v>2017</v>
      </c>
    </row>
    <row r="202" spans="1:17">
      <c r="A202" s="332" t="s">
        <v>318</v>
      </c>
      <c r="B202" s="333" t="s">
        <v>971</v>
      </c>
      <c r="C202" s="423" t="s">
        <v>329</v>
      </c>
      <c r="D202" s="332" t="s">
        <v>972</v>
      </c>
      <c r="E202" s="333">
        <v>201612</v>
      </c>
      <c r="F202" s="334">
        <v>15.92</v>
      </c>
      <c r="G202" s="521">
        <f t="shared" si="16"/>
        <v>4.5</v>
      </c>
      <c r="H202" s="336">
        <v>1.3083000000000001E-3</v>
      </c>
      <c r="I202" s="523">
        <f t="shared" si="17"/>
        <v>0.09</v>
      </c>
      <c r="J202" s="448">
        <f t="shared" si="18"/>
        <v>0.25</v>
      </c>
      <c r="Q202" s="101">
        <f t="shared" si="15"/>
        <v>2017</v>
      </c>
    </row>
    <row r="203" spans="1:17">
      <c r="A203" s="332" t="s">
        <v>322</v>
      </c>
      <c r="B203" s="333" t="s">
        <v>822</v>
      </c>
      <c r="C203" s="423" t="s">
        <v>330</v>
      </c>
      <c r="D203" s="332" t="s">
        <v>823</v>
      </c>
      <c r="E203" s="333">
        <v>201612</v>
      </c>
      <c r="F203" s="334">
        <v>-6.07</v>
      </c>
      <c r="G203" s="521">
        <f t="shared" si="16"/>
        <v>4.5</v>
      </c>
      <c r="H203" s="336">
        <v>1.1999999999999999E-3</v>
      </c>
      <c r="I203" s="523">
        <f t="shared" si="17"/>
        <v>-0.03</v>
      </c>
      <c r="J203" s="448">
        <f t="shared" si="18"/>
        <v>-0.09</v>
      </c>
      <c r="Q203" s="101">
        <f t="shared" si="15"/>
        <v>2017</v>
      </c>
    </row>
    <row r="204" spans="1:17">
      <c r="A204" s="332" t="s">
        <v>322</v>
      </c>
      <c r="B204" s="333" t="s">
        <v>822</v>
      </c>
      <c r="C204" s="423" t="s">
        <v>330</v>
      </c>
      <c r="D204" s="332" t="s">
        <v>823</v>
      </c>
      <c r="E204" s="333">
        <v>201612</v>
      </c>
      <c r="F204" s="334">
        <v>-0.01</v>
      </c>
      <c r="G204" s="521">
        <f t="shared" si="16"/>
        <v>4.5</v>
      </c>
      <c r="H204" s="336">
        <v>1.1999999999999999E-3</v>
      </c>
      <c r="I204" s="523">
        <f t="shared" si="17"/>
        <v>0</v>
      </c>
      <c r="J204" s="448">
        <f t="shared" si="18"/>
        <v>0</v>
      </c>
      <c r="Q204" s="101">
        <f t="shared" si="15"/>
        <v>2017</v>
      </c>
    </row>
    <row r="205" spans="1:17">
      <c r="A205" s="332" t="s">
        <v>318</v>
      </c>
      <c r="B205" s="333" t="s">
        <v>822</v>
      </c>
      <c r="C205" s="423" t="s">
        <v>330</v>
      </c>
      <c r="D205" s="332" t="s">
        <v>823</v>
      </c>
      <c r="E205" s="333">
        <v>201612</v>
      </c>
      <c r="F205" s="334">
        <v>-49.15</v>
      </c>
      <c r="G205" s="521">
        <f t="shared" si="16"/>
        <v>4.5</v>
      </c>
      <c r="H205" s="336">
        <v>1.3083000000000001E-3</v>
      </c>
      <c r="I205" s="523">
        <f t="shared" si="17"/>
        <v>-0.28999999999999998</v>
      </c>
      <c r="J205" s="448">
        <f t="shared" si="18"/>
        <v>-0.77</v>
      </c>
      <c r="Q205" s="101">
        <f t="shared" si="15"/>
        <v>2017</v>
      </c>
    </row>
    <row r="206" spans="1:17">
      <c r="A206" s="332" t="s">
        <v>318</v>
      </c>
      <c r="B206" s="333" t="s">
        <v>822</v>
      </c>
      <c r="C206" s="423" t="s">
        <v>330</v>
      </c>
      <c r="D206" s="332" t="s">
        <v>823</v>
      </c>
      <c r="E206" s="333">
        <v>201612</v>
      </c>
      <c r="F206" s="334">
        <v>-38.590000000000003</v>
      </c>
      <c r="G206" s="521">
        <f t="shared" si="16"/>
        <v>4.5</v>
      </c>
      <c r="H206" s="336">
        <v>1.3083000000000001E-3</v>
      </c>
      <c r="I206" s="523">
        <f t="shared" si="17"/>
        <v>-0.23</v>
      </c>
      <c r="J206" s="448">
        <f t="shared" si="18"/>
        <v>-0.61</v>
      </c>
      <c r="Q206" s="101">
        <f t="shared" si="15"/>
        <v>2017</v>
      </c>
    </row>
    <row r="207" spans="1:17">
      <c r="A207" s="332" t="s">
        <v>318</v>
      </c>
      <c r="B207" s="333" t="s">
        <v>822</v>
      </c>
      <c r="C207" s="423" t="s">
        <v>330</v>
      </c>
      <c r="D207" s="332" t="s">
        <v>823</v>
      </c>
      <c r="E207" s="333">
        <v>201612</v>
      </c>
      <c r="F207" s="334">
        <v>-2.93</v>
      </c>
      <c r="G207" s="521">
        <f t="shared" si="16"/>
        <v>4.5</v>
      </c>
      <c r="H207" s="336">
        <v>1.3083000000000001E-3</v>
      </c>
      <c r="I207" s="523">
        <f t="shared" si="17"/>
        <v>-0.02</v>
      </c>
      <c r="J207" s="448">
        <f t="shared" si="18"/>
        <v>-0.05</v>
      </c>
      <c r="Q207" s="101">
        <f t="shared" si="15"/>
        <v>2017</v>
      </c>
    </row>
    <row r="208" spans="1:17">
      <c r="A208" s="332" t="s">
        <v>318</v>
      </c>
      <c r="B208" s="333" t="s">
        <v>973</v>
      </c>
      <c r="C208" s="423" t="s">
        <v>330</v>
      </c>
      <c r="D208" s="332" t="s">
        <v>974</v>
      </c>
      <c r="E208" s="333">
        <v>201612</v>
      </c>
      <c r="F208" s="334">
        <v>84.24</v>
      </c>
      <c r="G208" s="521">
        <f t="shared" si="16"/>
        <v>4.5</v>
      </c>
      <c r="H208" s="336">
        <v>1.3083000000000001E-3</v>
      </c>
      <c r="I208" s="523">
        <f t="shared" si="17"/>
        <v>0.5</v>
      </c>
      <c r="J208" s="448">
        <f t="shared" si="18"/>
        <v>1.32</v>
      </c>
      <c r="Q208" s="101">
        <f t="shared" si="15"/>
        <v>2017</v>
      </c>
    </row>
    <row r="209" spans="1:17">
      <c r="A209" s="332" t="s">
        <v>318</v>
      </c>
      <c r="B209" s="333" t="s">
        <v>973</v>
      </c>
      <c r="C209" s="423" t="s">
        <v>330</v>
      </c>
      <c r="D209" s="332" t="s">
        <v>974</v>
      </c>
      <c r="E209" s="333">
        <v>201612</v>
      </c>
      <c r="F209" s="334">
        <v>2162.9699999999998</v>
      </c>
      <c r="G209" s="521">
        <f t="shared" si="16"/>
        <v>4.5</v>
      </c>
      <c r="H209" s="336">
        <v>1.3083000000000001E-3</v>
      </c>
      <c r="I209" s="523">
        <f t="shared" si="17"/>
        <v>12.73</v>
      </c>
      <c r="J209" s="448">
        <f t="shared" si="18"/>
        <v>33.96</v>
      </c>
      <c r="Q209" s="101">
        <f t="shared" si="15"/>
        <v>2017</v>
      </c>
    </row>
    <row r="210" spans="1:17">
      <c r="A210" s="332" t="s">
        <v>318</v>
      </c>
      <c r="B210" s="333" t="s">
        <v>868</v>
      </c>
      <c r="C210" s="423" t="s">
        <v>330</v>
      </c>
      <c r="D210" s="332" t="s">
        <v>869</v>
      </c>
      <c r="E210" s="333">
        <v>201612</v>
      </c>
      <c r="F210" s="334">
        <v>78.11</v>
      </c>
      <c r="G210" s="521">
        <f t="shared" si="16"/>
        <v>4.5</v>
      </c>
      <c r="H210" s="336">
        <v>1.3083000000000001E-3</v>
      </c>
      <c r="I210" s="523">
        <f t="shared" si="17"/>
        <v>0.46</v>
      </c>
      <c r="J210" s="448">
        <f t="shared" si="18"/>
        <v>1.23</v>
      </c>
      <c r="Q210" s="101">
        <f t="shared" si="15"/>
        <v>2017</v>
      </c>
    </row>
    <row r="211" spans="1:17">
      <c r="A211" s="332" t="s">
        <v>318</v>
      </c>
      <c r="B211" s="333" t="s">
        <v>868</v>
      </c>
      <c r="C211" s="423" t="s">
        <v>330</v>
      </c>
      <c r="D211" s="332" t="s">
        <v>869</v>
      </c>
      <c r="E211" s="333">
        <v>201612</v>
      </c>
      <c r="F211" s="334">
        <v>355.91</v>
      </c>
      <c r="G211" s="521">
        <f t="shared" si="16"/>
        <v>4.5</v>
      </c>
      <c r="H211" s="336">
        <v>1.3083000000000001E-3</v>
      </c>
      <c r="I211" s="523">
        <f t="shared" si="17"/>
        <v>2.1</v>
      </c>
      <c r="J211" s="448">
        <f t="shared" si="18"/>
        <v>5.59</v>
      </c>
      <c r="Q211" s="101">
        <f t="shared" si="15"/>
        <v>2017</v>
      </c>
    </row>
    <row r="212" spans="1:17">
      <c r="A212" s="332" t="s">
        <v>318</v>
      </c>
      <c r="B212" s="333" t="s">
        <v>1108</v>
      </c>
      <c r="C212" s="423" t="s">
        <v>330</v>
      </c>
      <c r="D212" s="332" t="s">
        <v>1109</v>
      </c>
      <c r="E212" s="333">
        <v>201612</v>
      </c>
      <c r="F212" s="334">
        <v>6083.13</v>
      </c>
      <c r="G212" s="521">
        <f t="shared" si="16"/>
        <v>4.5</v>
      </c>
      <c r="H212" s="336">
        <v>1.3083000000000001E-3</v>
      </c>
      <c r="I212" s="523">
        <f t="shared" si="17"/>
        <v>35.81</v>
      </c>
      <c r="J212" s="448">
        <f t="shared" si="18"/>
        <v>95.5</v>
      </c>
      <c r="Q212" s="101">
        <f t="shared" si="15"/>
        <v>2017</v>
      </c>
    </row>
    <row r="213" spans="1:17">
      <c r="A213" s="332" t="s">
        <v>318</v>
      </c>
      <c r="B213" s="333" t="s">
        <v>1108</v>
      </c>
      <c r="C213" s="423" t="s">
        <v>330</v>
      </c>
      <c r="D213" s="332" t="s">
        <v>1109</v>
      </c>
      <c r="E213" s="333">
        <v>201612</v>
      </c>
      <c r="F213" s="334">
        <v>206561.57</v>
      </c>
      <c r="G213" s="521">
        <f t="shared" si="16"/>
        <v>4.5</v>
      </c>
      <c r="H213" s="336">
        <v>1.3083000000000001E-3</v>
      </c>
      <c r="I213" s="523">
        <f t="shared" si="17"/>
        <v>1216.0999999999999</v>
      </c>
      <c r="J213" s="448">
        <f t="shared" si="18"/>
        <v>3242.93</v>
      </c>
      <c r="Q213" s="101">
        <f t="shared" si="15"/>
        <v>2017</v>
      </c>
    </row>
    <row r="214" spans="1:17">
      <c r="A214" s="332" t="s">
        <v>318</v>
      </c>
      <c r="B214" s="333" t="s">
        <v>1037</v>
      </c>
      <c r="C214" s="423" t="s">
        <v>329</v>
      </c>
      <c r="D214" s="332" t="s">
        <v>1038</v>
      </c>
      <c r="E214" s="333">
        <v>201612</v>
      </c>
      <c r="F214" s="334">
        <v>-964.24</v>
      </c>
      <c r="G214" s="521">
        <f t="shared" si="16"/>
        <v>4.5</v>
      </c>
      <c r="H214" s="336">
        <v>1.3083000000000001E-3</v>
      </c>
      <c r="I214" s="523">
        <f t="shared" si="17"/>
        <v>-5.68</v>
      </c>
      <c r="J214" s="448">
        <f t="shared" si="18"/>
        <v>-15.14</v>
      </c>
      <c r="Q214" s="101">
        <f t="shared" si="15"/>
        <v>2017</v>
      </c>
    </row>
    <row r="215" spans="1:17">
      <c r="A215" s="332" t="s">
        <v>318</v>
      </c>
      <c r="B215" s="333" t="s">
        <v>1037</v>
      </c>
      <c r="C215" s="423" t="s">
        <v>329</v>
      </c>
      <c r="D215" s="332" t="s">
        <v>1038</v>
      </c>
      <c r="E215" s="333">
        <v>201612</v>
      </c>
      <c r="F215" s="334">
        <v>-72.819999999999993</v>
      </c>
      <c r="G215" s="521">
        <f t="shared" si="16"/>
        <v>4.5</v>
      </c>
      <c r="H215" s="336">
        <v>1.3083000000000001E-3</v>
      </c>
      <c r="I215" s="523">
        <f t="shared" si="17"/>
        <v>-0.43</v>
      </c>
      <c r="J215" s="448">
        <f t="shared" si="18"/>
        <v>-1.1399999999999999</v>
      </c>
      <c r="Q215" s="101">
        <f t="shared" si="15"/>
        <v>2017</v>
      </c>
    </row>
    <row r="216" spans="1:17">
      <c r="A216" s="332" t="s">
        <v>318</v>
      </c>
      <c r="B216" s="333" t="s">
        <v>850</v>
      </c>
      <c r="C216" s="423" t="s">
        <v>329</v>
      </c>
      <c r="D216" s="332" t="s">
        <v>851</v>
      </c>
      <c r="E216" s="333">
        <v>201612</v>
      </c>
      <c r="F216" s="334">
        <v>29.44</v>
      </c>
      <c r="G216" s="521">
        <f t="shared" si="16"/>
        <v>4.5</v>
      </c>
      <c r="H216" s="336">
        <v>1.3083000000000001E-3</v>
      </c>
      <c r="I216" s="523">
        <f t="shared" si="17"/>
        <v>0.17</v>
      </c>
      <c r="J216" s="448">
        <f t="shared" si="18"/>
        <v>0.46</v>
      </c>
      <c r="Q216" s="101">
        <f t="shared" si="15"/>
        <v>2017</v>
      </c>
    </row>
    <row r="217" spans="1:17">
      <c r="A217" s="332" t="s">
        <v>318</v>
      </c>
      <c r="B217" s="333" t="s">
        <v>850</v>
      </c>
      <c r="C217" s="423" t="s">
        <v>329</v>
      </c>
      <c r="D217" s="332" t="s">
        <v>851</v>
      </c>
      <c r="E217" s="333">
        <v>201612</v>
      </c>
      <c r="F217" s="334">
        <v>357.86</v>
      </c>
      <c r="G217" s="521">
        <f t="shared" si="16"/>
        <v>4.5</v>
      </c>
      <c r="H217" s="336">
        <v>1.3083000000000001E-3</v>
      </c>
      <c r="I217" s="523">
        <f t="shared" si="17"/>
        <v>2.11</v>
      </c>
      <c r="J217" s="448">
        <f t="shared" si="18"/>
        <v>5.62</v>
      </c>
      <c r="Q217" s="101">
        <f t="shared" si="15"/>
        <v>2017</v>
      </c>
    </row>
    <row r="218" spans="1:17">
      <c r="A218" s="332" t="s">
        <v>318</v>
      </c>
      <c r="B218" s="333" t="s">
        <v>1069</v>
      </c>
      <c r="C218" s="423" t="s">
        <v>330</v>
      </c>
      <c r="D218" s="332" t="s">
        <v>1105</v>
      </c>
      <c r="E218" s="333">
        <v>201612</v>
      </c>
      <c r="F218" s="334">
        <v>398.74</v>
      </c>
      <c r="G218" s="521">
        <f t="shared" si="16"/>
        <v>4.5</v>
      </c>
      <c r="H218" s="336">
        <v>1.3083000000000001E-3</v>
      </c>
      <c r="I218" s="523">
        <f t="shared" si="17"/>
        <v>2.35</v>
      </c>
      <c r="J218" s="448">
        <f t="shared" si="18"/>
        <v>6.26</v>
      </c>
      <c r="Q218" s="101">
        <f t="shared" si="15"/>
        <v>2017</v>
      </c>
    </row>
    <row r="219" spans="1:17">
      <c r="A219" s="332" t="s">
        <v>318</v>
      </c>
      <c r="B219" s="333" t="s">
        <v>1069</v>
      </c>
      <c r="C219" s="423" t="s">
        <v>330</v>
      </c>
      <c r="D219" s="332" t="s">
        <v>1105</v>
      </c>
      <c r="E219" s="333">
        <v>201612</v>
      </c>
      <c r="F219" s="334">
        <v>8808.9699999999993</v>
      </c>
      <c r="G219" s="521">
        <f t="shared" si="16"/>
        <v>4.5</v>
      </c>
      <c r="H219" s="336">
        <v>1.3083000000000001E-3</v>
      </c>
      <c r="I219" s="523">
        <f t="shared" si="17"/>
        <v>51.86</v>
      </c>
      <c r="J219" s="448">
        <f t="shared" si="18"/>
        <v>138.30000000000001</v>
      </c>
      <c r="Q219" s="101">
        <f t="shared" si="15"/>
        <v>2017</v>
      </c>
    </row>
    <row r="220" spans="1:17">
      <c r="A220" s="332" t="s">
        <v>318</v>
      </c>
      <c r="B220" s="333" t="s">
        <v>975</v>
      </c>
      <c r="C220" s="423" t="s">
        <v>330</v>
      </c>
      <c r="D220" s="332" t="s">
        <v>976</v>
      </c>
      <c r="E220" s="333">
        <v>201612</v>
      </c>
      <c r="F220" s="334">
        <v>-170.62</v>
      </c>
      <c r="G220" s="521">
        <f t="shared" si="16"/>
        <v>4.5</v>
      </c>
      <c r="H220" s="336">
        <v>1.3083000000000001E-3</v>
      </c>
      <c r="I220" s="523">
        <f t="shared" si="17"/>
        <v>-1</v>
      </c>
      <c r="J220" s="448">
        <f t="shared" si="18"/>
        <v>-2.68</v>
      </c>
      <c r="Q220" s="101">
        <f t="shared" si="15"/>
        <v>2017</v>
      </c>
    </row>
    <row r="221" spans="1:17">
      <c r="A221" s="332" t="s">
        <v>318</v>
      </c>
      <c r="B221" s="333" t="s">
        <v>975</v>
      </c>
      <c r="C221" s="423" t="s">
        <v>330</v>
      </c>
      <c r="D221" s="332" t="s">
        <v>976</v>
      </c>
      <c r="E221" s="333">
        <v>201612</v>
      </c>
      <c r="F221" s="334">
        <v>-2.4900000000000002</v>
      </c>
      <c r="G221" s="521">
        <f t="shared" si="16"/>
        <v>4.5</v>
      </c>
      <c r="H221" s="336">
        <v>1.3083000000000001E-3</v>
      </c>
      <c r="I221" s="523">
        <f t="shared" si="17"/>
        <v>-0.01</v>
      </c>
      <c r="J221" s="448">
        <f t="shared" si="18"/>
        <v>-0.04</v>
      </c>
      <c r="Q221" s="101">
        <f t="shared" si="15"/>
        <v>2017</v>
      </c>
    </row>
    <row r="222" spans="1:17">
      <c r="A222" s="332" t="s">
        <v>318</v>
      </c>
      <c r="B222" s="333" t="s">
        <v>852</v>
      </c>
      <c r="C222" s="423" t="s">
        <v>330</v>
      </c>
      <c r="D222" s="332" t="s">
        <v>853</v>
      </c>
      <c r="E222" s="333">
        <v>201612</v>
      </c>
      <c r="F222" s="334">
        <v>56.08</v>
      </c>
      <c r="G222" s="521">
        <f t="shared" si="16"/>
        <v>4.5</v>
      </c>
      <c r="H222" s="336">
        <v>1.3083000000000001E-3</v>
      </c>
      <c r="I222" s="523">
        <f t="shared" si="17"/>
        <v>0.33</v>
      </c>
      <c r="J222" s="448">
        <f t="shared" si="18"/>
        <v>0.88</v>
      </c>
      <c r="Q222" s="101">
        <f t="shared" si="15"/>
        <v>2017</v>
      </c>
    </row>
    <row r="223" spans="1:17">
      <c r="A223" s="332" t="s">
        <v>318</v>
      </c>
      <c r="B223" s="333" t="s">
        <v>852</v>
      </c>
      <c r="C223" s="423" t="s">
        <v>330</v>
      </c>
      <c r="D223" s="332" t="s">
        <v>853</v>
      </c>
      <c r="E223" s="333">
        <v>201612</v>
      </c>
      <c r="F223" s="334">
        <v>655.22</v>
      </c>
      <c r="G223" s="521">
        <f t="shared" si="16"/>
        <v>4.5</v>
      </c>
      <c r="H223" s="336">
        <v>1.3083000000000001E-3</v>
      </c>
      <c r="I223" s="523">
        <f t="shared" si="17"/>
        <v>3.86</v>
      </c>
      <c r="J223" s="448">
        <f t="shared" si="18"/>
        <v>10.29</v>
      </c>
      <c r="Q223" s="101">
        <f t="shared" si="15"/>
        <v>2017</v>
      </c>
    </row>
    <row r="224" spans="1:17">
      <c r="A224" s="332" t="s">
        <v>318</v>
      </c>
      <c r="B224" s="333" t="s">
        <v>870</v>
      </c>
      <c r="C224" s="423" t="s">
        <v>330</v>
      </c>
      <c r="D224" s="332" t="s">
        <v>871</v>
      </c>
      <c r="E224" s="333">
        <v>201612</v>
      </c>
      <c r="F224" s="334">
        <v>-518.27</v>
      </c>
      <c r="G224" s="521">
        <f t="shared" si="16"/>
        <v>4.5</v>
      </c>
      <c r="H224" s="336">
        <v>1.3083000000000001E-3</v>
      </c>
      <c r="I224" s="523">
        <f t="shared" si="17"/>
        <v>-3.05</v>
      </c>
      <c r="J224" s="448">
        <f t="shared" si="18"/>
        <v>-8.14</v>
      </c>
      <c r="Q224" s="101">
        <f t="shared" si="15"/>
        <v>2017</v>
      </c>
    </row>
    <row r="225" spans="1:17">
      <c r="A225" s="332" t="s">
        <v>318</v>
      </c>
      <c r="B225" s="333" t="s">
        <v>870</v>
      </c>
      <c r="C225" s="423" t="s">
        <v>330</v>
      </c>
      <c r="D225" s="332" t="s">
        <v>871</v>
      </c>
      <c r="E225" s="333">
        <v>201612</v>
      </c>
      <c r="F225" s="334">
        <v>-461.5</v>
      </c>
      <c r="G225" s="521">
        <f t="shared" si="16"/>
        <v>4.5</v>
      </c>
      <c r="H225" s="336">
        <v>1.3083000000000001E-3</v>
      </c>
      <c r="I225" s="523">
        <f t="shared" si="17"/>
        <v>-2.72</v>
      </c>
      <c r="J225" s="448">
        <f t="shared" si="18"/>
        <v>-7.25</v>
      </c>
      <c r="Q225" s="101">
        <f t="shared" si="15"/>
        <v>2017</v>
      </c>
    </row>
    <row r="226" spans="1:17" ht="15">
      <c r="A226" s="332" t="s">
        <v>318</v>
      </c>
      <c r="B226" s="333" t="s">
        <v>1039</v>
      </c>
      <c r="C226" s="424" t="s">
        <v>330</v>
      </c>
      <c r="D226" s="332" t="s">
        <v>1040</v>
      </c>
      <c r="E226" s="333">
        <v>201612</v>
      </c>
      <c r="F226" s="334">
        <v>72.84</v>
      </c>
      <c r="G226" s="521">
        <f t="shared" si="16"/>
        <v>4.5</v>
      </c>
      <c r="H226" s="336">
        <v>1.3083000000000001E-3</v>
      </c>
      <c r="I226" s="523">
        <f t="shared" si="17"/>
        <v>0.43</v>
      </c>
      <c r="J226" s="448">
        <f t="shared" si="18"/>
        <v>1.1399999999999999</v>
      </c>
      <c r="Q226" s="101">
        <f t="shared" si="15"/>
        <v>2017</v>
      </c>
    </row>
    <row r="227" spans="1:17" ht="15">
      <c r="A227" s="332" t="s">
        <v>318</v>
      </c>
      <c r="B227" s="333" t="s">
        <v>1039</v>
      </c>
      <c r="C227" s="424" t="s">
        <v>330</v>
      </c>
      <c r="D227" s="332" t="s">
        <v>1040</v>
      </c>
      <c r="E227" s="333">
        <v>201612</v>
      </c>
      <c r="F227" s="334">
        <v>1478.2</v>
      </c>
      <c r="G227" s="521">
        <f t="shared" si="16"/>
        <v>4.5</v>
      </c>
      <c r="H227" s="336">
        <v>1.3083000000000001E-3</v>
      </c>
      <c r="I227" s="523">
        <f t="shared" si="17"/>
        <v>8.6999999999999993</v>
      </c>
      <c r="J227" s="448">
        <f t="shared" si="18"/>
        <v>23.21</v>
      </c>
      <c r="Q227" s="101">
        <f t="shared" si="15"/>
        <v>2017</v>
      </c>
    </row>
    <row r="228" spans="1:17">
      <c r="A228" s="332" t="s">
        <v>318</v>
      </c>
      <c r="B228" s="333" t="s">
        <v>872</v>
      </c>
      <c r="C228" s="423" t="s">
        <v>330</v>
      </c>
      <c r="D228" s="332" t="s">
        <v>873</v>
      </c>
      <c r="E228" s="333">
        <v>201612</v>
      </c>
      <c r="F228" s="334">
        <v>-86.06</v>
      </c>
      <c r="G228" s="521">
        <f t="shared" si="16"/>
        <v>4.5</v>
      </c>
      <c r="H228" s="336">
        <v>1.3083000000000001E-3</v>
      </c>
      <c r="I228" s="523">
        <f t="shared" si="17"/>
        <v>-0.51</v>
      </c>
      <c r="J228" s="448">
        <f t="shared" si="18"/>
        <v>-1.35</v>
      </c>
      <c r="Q228" s="101">
        <f t="shared" si="15"/>
        <v>2017</v>
      </c>
    </row>
    <row r="229" spans="1:17">
      <c r="A229" s="332" t="s">
        <v>318</v>
      </c>
      <c r="B229" s="333" t="s">
        <v>872</v>
      </c>
      <c r="C229" s="423" t="s">
        <v>330</v>
      </c>
      <c r="D229" s="332" t="s">
        <v>873</v>
      </c>
      <c r="E229" s="333">
        <v>201612</v>
      </c>
      <c r="F229" s="334">
        <v>-54.65</v>
      </c>
      <c r="G229" s="521">
        <f t="shared" si="16"/>
        <v>4.5</v>
      </c>
      <c r="H229" s="336">
        <v>1.3083000000000001E-3</v>
      </c>
      <c r="I229" s="523">
        <f t="shared" si="17"/>
        <v>-0.32</v>
      </c>
      <c r="J229" s="448">
        <f t="shared" si="18"/>
        <v>-0.86</v>
      </c>
      <c r="Q229" s="101">
        <f t="shared" si="15"/>
        <v>2017</v>
      </c>
    </row>
    <row r="230" spans="1:17">
      <c r="A230" s="332" t="s">
        <v>318</v>
      </c>
      <c r="B230" s="333" t="s">
        <v>977</v>
      </c>
      <c r="C230" s="423" t="s">
        <v>330</v>
      </c>
      <c r="D230" s="332" t="s">
        <v>978</v>
      </c>
      <c r="E230" s="333">
        <v>201612</v>
      </c>
      <c r="F230" s="334">
        <v>2.34</v>
      </c>
      <c r="G230" s="521">
        <f t="shared" si="16"/>
        <v>4.5</v>
      </c>
      <c r="H230" s="336">
        <v>1.3083000000000001E-3</v>
      </c>
      <c r="I230" s="523">
        <f t="shared" si="17"/>
        <v>0.01</v>
      </c>
      <c r="J230" s="448">
        <f t="shared" si="18"/>
        <v>0.04</v>
      </c>
      <c r="Q230" s="101">
        <f t="shared" si="15"/>
        <v>2017</v>
      </c>
    </row>
    <row r="231" spans="1:17">
      <c r="A231" s="332" t="s">
        <v>318</v>
      </c>
      <c r="B231" s="333" t="s">
        <v>977</v>
      </c>
      <c r="C231" s="423" t="s">
        <v>330</v>
      </c>
      <c r="D231" s="332" t="s">
        <v>978</v>
      </c>
      <c r="E231" s="333">
        <v>201612</v>
      </c>
      <c r="F231" s="334">
        <v>36.9</v>
      </c>
      <c r="G231" s="521">
        <f t="shared" si="16"/>
        <v>4.5</v>
      </c>
      <c r="H231" s="336">
        <v>1.3083000000000001E-3</v>
      </c>
      <c r="I231" s="523">
        <f t="shared" si="17"/>
        <v>0.22</v>
      </c>
      <c r="J231" s="448">
        <f t="shared" si="18"/>
        <v>0.57999999999999996</v>
      </c>
      <c r="Q231" s="101">
        <f t="shared" si="15"/>
        <v>2017</v>
      </c>
    </row>
    <row r="232" spans="1:17">
      <c r="A232" s="332" t="s">
        <v>318</v>
      </c>
      <c r="B232" s="333" t="s">
        <v>1041</v>
      </c>
      <c r="C232" s="423" t="s">
        <v>330</v>
      </c>
      <c r="D232" s="332" t="s">
        <v>1042</v>
      </c>
      <c r="E232" s="333">
        <v>201612</v>
      </c>
      <c r="F232" s="334">
        <v>-79.11</v>
      </c>
      <c r="G232" s="521">
        <f t="shared" si="16"/>
        <v>4.5</v>
      </c>
      <c r="H232" s="336">
        <v>1.3083000000000001E-3</v>
      </c>
      <c r="I232" s="523">
        <f t="shared" si="17"/>
        <v>-0.47</v>
      </c>
      <c r="J232" s="448">
        <f t="shared" si="18"/>
        <v>-1.24</v>
      </c>
      <c r="Q232" s="101">
        <f t="shared" si="15"/>
        <v>2017</v>
      </c>
    </row>
    <row r="233" spans="1:17">
      <c r="A233" s="332" t="s">
        <v>318</v>
      </c>
      <c r="B233" s="333" t="s">
        <v>1041</v>
      </c>
      <c r="C233" s="423" t="s">
        <v>330</v>
      </c>
      <c r="D233" s="332" t="s">
        <v>1042</v>
      </c>
      <c r="E233" s="333">
        <v>201612</v>
      </c>
      <c r="F233" s="334">
        <v>-5.9</v>
      </c>
      <c r="G233" s="521">
        <f t="shared" si="16"/>
        <v>4.5</v>
      </c>
      <c r="H233" s="336">
        <v>1.3083000000000001E-3</v>
      </c>
      <c r="I233" s="523">
        <f t="shared" si="17"/>
        <v>-0.03</v>
      </c>
      <c r="J233" s="448">
        <f t="shared" si="18"/>
        <v>-0.09</v>
      </c>
      <c r="Q233" s="101">
        <f t="shared" si="15"/>
        <v>2017</v>
      </c>
    </row>
    <row r="234" spans="1:17">
      <c r="A234" s="332" t="s">
        <v>318</v>
      </c>
      <c r="B234" s="333" t="s">
        <v>979</v>
      </c>
      <c r="C234" s="423" t="s">
        <v>330</v>
      </c>
      <c r="D234" s="332" t="s">
        <v>980</v>
      </c>
      <c r="E234" s="333">
        <v>201612</v>
      </c>
      <c r="F234" s="334">
        <v>143.44999999999999</v>
      </c>
      <c r="G234" s="521">
        <f t="shared" si="16"/>
        <v>4.5</v>
      </c>
      <c r="H234" s="336">
        <v>1.3083000000000001E-3</v>
      </c>
      <c r="I234" s="523">
        <f t="shared" si="17"/>
        <v>0.84</v>
      </c>
      <c r="J234" s="448">
        <f t="shared" si="18"/>
        <v>2.25</v>
      </c>
      <c r="Q234" s="101">
        <f t="shared" si="15"/>
        <v>2017</v>
      </c>
    </row>
    <row r="235" spans="1:17">
      <c r="A235" s="332" t="s">
        <v>318</v>
      </c>
      <c r="B235" s="333" t="s">
        <v>979</v>
      </c>
      <c r="C235" s="423" t="s">
        <v>330</v>
      </c>
      <c r="D235" s="332" t="s">
        <v>980</v>
      </c>
      <c r="E235" s="333">
        <v>201612</v>
      </c>
      <c r="F235" s="334">
        <v>2919.8</v>
      </c>
      <c r="G235" s="521">
        <f t="shared" si="16"/>
        <v>4.5</v>
      </c>
      <c r="H235" s="336">
        <v>1.3083000000000001E-3</v>
      </c>
      <c r="I235" s="523">
        <f t="shared" si="17"/>
        <v>17.190000000000001</v>
      </c>
      <c r="J235" s="448">
        <f t="shared" si="18"/>
        <v>45.84</v>
      </c>
      <c r="Q235" s="101">
        <f t="shared" si="15"/>
        <v>2017</v>
      </c>
    </row>
    <row r="236" spans="1:17">
      <c r="A236" s="332" t="s">
        <v>318</v>
      </c>
      <c r="B236" s="333" t="s">
        <v>981</v>
      </c>
      <c r="C236" s="423" t="s">
        <v>330</v>
      </c>
      <c r="D236" s="332" t="s">
        <v>1014</v>
      </c>
      <c r="E236" s="333">
        <v>201612</v>
      </c>
      <c r="F236" s="334">
        <v>10.25</v>
      </c>
      <c r="G236" s="521">
        <f t="shared" si="16"/>
        <v>4.5</v>
      </c>
      <c r="H236" s="336">
        <v>1.3083000000000001E-3</v>
      </c>
      <c r="I236" s="523">
        <f t="shared" si="17"/>
        <v>0.06</v>
      </c>
      <c r="J236" s="448">
        <f t="shared" si="18"/>
        <v>0.16</v>
      </c>
      <c r="Q236" s="101">
        <f t="shared" si="15"/>
        <v>2017</v>
      </c>
    </row>
    <row r="237" spans="1:17">
      <c r="A237" s="332" t="s">
        <v>318</v>
      </c>
      <c r="B237" s="333" t="s">
        <v>981</v>
      </c>
      <c r="C237" s="423" t="s">
        <v>330</v>
      </c>
      <c r="D237" s="332" t="s">
        <v>1014</v>
      </c>
      <c r="E237" s="333">
        <v>201612</v>
      </c>
      <c r="F237" s="334">
        <v>56.23</v>
      </c>
      <c r="G237" s="521">
        <f t="shared" si="16"/>
        <v>4.5</v>
      </c>
      <c r="H237" s="336">
        <v>1.3083000000000001E-3</v>
      </c>
      <c r="I237" s="523">
        <f t="shared" si="17"/>
        <v>0.33</v>
      </c>
      <c r="J237" s="448">
        <f t="shared" si="18"/>
        <v>0.88</v>
      </c>
      <c r="Q237" s="101">
        <f t="shared" si="15"/>
        <v>2017</v>
      </c>
    </row>
    <row r="238" spans="1:17">
      <c r="A238" s="332" t="s">
        <v>318</v>
      </c>
      <c r="B238" s="333" t="s">
        <v>981</v>
      </c>
      <c r="C238" s="423" t="s">
        <v>330</v>
      </c>
      <c r="D238" s="332" t="s">
        <v>1014</v>
      </c>
      <c r="E238" s="333">
        <v>201612</v>
      </c>
      <c r="F238" s="334">
        <v>1110.28</v>
      </c>
      <c r="G238" s="521">
        <f t="shared" si="16"/>
        <v>4.5</v>
      </c>
      <c r="H238" s="336">
        <v>1.3083000000000001E-3</v>
      </c>
      <c r="I238" s="523">
        <f t="shared" si="17"/>
        <v>6.54</v>
      </c>
      <c r="J238" s="448">
        <f t="shared" si="18"/>
        <v>17.43</v>
      </c>
      <c r="Q238" s="101">
        <f t="shared" si="15"/>
        <v>2017</v>
      </c>
    </row>
    <row r="239" spans="1:17">
      <c r="A239" s="332" t="s">
        <v>318</v>
      </c>
      <c r="B239" s="333" t="s">
        <v>874</v>
      </c>
      <c r="C239" s="423" t="s">
        <v>330</v>
      </c>
      <c r="D239" s="332" t="s">
        <v>875</v>
      </c>
      <c r="E239" s="333">
        <v>201612</v>
      </c>
      <c r="F239" s="334">
        <v>0.5</v>
      </c>
      <c r="G239" s="521">
        <f t="shared" si="16"/>
        <v>4.5</v>
      </c>
      <c r="H239" s="336">
        <v>1.3083000000000001E-3</v>
      </c>
      <c r="I239" s="523">
        <f t="shared" si="17"/>
        <v>0</v>
      </c>
      <c r="J239" s="448">
        <f t="shared" si="18"/>
        <v>0.01</v>
      </c>
      <c r="Q239" s="101">
        <f t="shared" si="15"/>
        <v>2017</v>
      </c>
    </row>
    <row r="240" spans="1:17">
      <c r="A240" s="332" t="s">
        <v>318</v>
      </c>
      <c r="B240" s="333" t="s">
        <v>874</v>
      </c>
      <c r="C240" s="423" t="s">
        <v>330</v>
      </c>
      <c r="D240" s="332" t="s">
        <v>875</v>
      </c>
      <c r="E240" s="333">
        <v>201612</v>
      </c>
      <c r="F240" s="334">
        <v>69.569999999999993</v>
      </c>
      <c r="G240" s="521">
        <f t="shared" si="16"/>
        <v>4.5</v>
      </c>
      <c r="H240" s="336">
        <v>1.3083000000000001E-3</v>
      </c>
      <c r="I240" s="523">
        <f t="shared" si="17"/>
        <v>0.41</v>
      </c>
      <c r="J240" s="448">
        <f t="shared" si="18"/>
        <v>1.0900000000000001</v>
      </c>
      <c r="Q240" s="101">
        <f t="shared" si="15"/>
        <v>2017</v>
      </c>
    </row>
    <row r="241" spans="1:17">
      <c r="A241" s="332" t="s">
        <v>318</v>
      </c>
      <c r="B241" s="333" t="s">
        <v>983</v>
      </c>
      <c r="C241" s="423" t="s">
        <v>330</v>
      </c>
      <c r="D241" s="332" t="s">
        <v>984</v>
      </c>
      <c r="E241" s="333">
        <v>201612</v>
      </c>
      <c r="F241" s="334">
        <v>3.39</v>
      </c>
      <c r="G241" s="521">
        <f t="shared" si="16"/>
        <v>4.5</v>
      </c>
      <c r="H241" s="336">
        <v>1.3083000000000001E-3</v>
      </c>
      <c r="I241" s="523">
        <f t="shared" si="17"/>
        <v>0.02</v>
      </c>
      <c r="J241" s="448">
        <f t="shared" si="18"/>
        <v>0.05</v>
      </c>
      <c r="Q241" s="101">
        <f t="shared" si="15"/>
        <v>2017</v>
      </c>
    </row>
    <row r="242" spans="1:17">
      <c r="A242" s="332" t="s">
        <v>318</v>
      </c>
      <c r="B242" s="333" t="s">
        <v>983</v>
      </c>
      <c r="C242" s="423" t="s">
        <v>330</v>
      </c>
      <c r="D242" s="332" t="s">
        <v>984</v>
      </c>
      <c r="E242" s="333">
        <v>201612</v>
      </c>
      <c r="F242" s="334">
        <v>94.56</v>
      </c>
      <c r="G242" s="521">
        <f t="shared" si="16"/>
        <v>4.5</v>
      </c>
      <c r="H242" s="336">
        <v>1.3083000000000001E-3</v>
      </c>
      <c r="I242" s="523">
        <f t="shared" si="17"/>
        <v>0.56000000000000005</v>
      </c>
      <c r="J242" s="448">
        <f t="shared" si="18"/>
        <v>1.48</v>
      </c>
      <c r="Q242" s="101">
        <f t="shared" si="15"/>
        <v>2017</v>
      </c>
    </row>
    <row r="243" spans="1:17">
      <c r="A243" s="332" t="s">
        <v>318</v>
      </c>
      <c r="B243" s="333" t="s">
        <v>1043</v>
      </c>
      <c r="C243" s="423" t="s">
        <v>330</v>
      </c>
      <c r="D243" s="332" t="s">
        <v>1044</v>
      </c>
      <c r="E243" s="333">
        <v>201612</v>
      </c>
      <c r="F243" s="334">
        <v>-7.4</v>
      </c>
      <c r="G243" s="521">
        <f t="shared" si="16"/>
        <v>4.5</v>
      </c>
      <c r="H243" s="336">
        <v>1.3083000000000001E-3</v>
      </c>
      <c r="I243" s="523">
        <f t="shared" si="17"/>
        <v>-0.04</v>
      </c>
      <c r="J243" s="448">
        <f t="shared" si="18"/>
        <v>-0.12</v>
      </c>
      <c r="Q243" s="101">
        <f t="shared" si="15"/>
        <v>2017</v>
      </c>
    </row>
    <row r="244" spans="1:17" ht="15">
      <c r="A244" s="332" t="s">
        <v>318</v>
      </c>
      <c r="B244" s="333" t="s">
        <v>1043</v>
      </c>
      <c r="C244" s="424" t="s">
        <v>330</v>
      </c>
      <c r="D244" s="332" t="s">
        <v>1044</v>
      </c>
      <c r="E244" s="333">
        <v>201612</v>
      </c>
      <c r="F244" s="334">
        <v>-0.41</v>
      </c>
      <c r="G244" s="521">
        <f t="shared" si="16"/>
        <v>4.5</v>
      </c>
      <c r="H244" s="336">
        <v>1.3083000000000001E-3</v>
      </c>
      <c r="I244" s="523">
        <f t="shared" si="17"/>
        <v>0</v>
      </c>
      <c r="J244" s="448">
        <f t="shared" si="18"/>
        <v>-0.01</v>
      </c>
      <c r="Q244" s="101">
        <f t="shared" si="15"/>
        <v>2017</v>
      </c>
    </row>
    <row r="245" spans="1:17" ht="15">
      <c r="A245" s="332" t="s">
        <v>318</v>
      </c>
      <c r="B245" s="333" t="s">
        <v>876</v>
      </c>
      <c r="C245" s="424" t="s">
        <v>330</v>
      </c>
      <c r="D245" s="332" t="s">
        <v>877</v>
      </c>
      <c r="E245" s="333">
        <v>201612</v>
      </c>
      <c r="F245" s="334">
        <v>-23.65</v>
      </c>
      <c r="G245" s="521">
        <f t="shared" si="16"/>
        <v>4.5</v>
      </c>
      <c r="H245" s="336">
        <v>1.3083000000000001E-3</v>
      </c>
      <c r="I245" s="523">
        <f t="shared" si="17"/>
        <v>-0.14000000000000001</v>
      </c>
      <c r="J245" s="448">
        <f t="shared" si="18"/>
        <v>-0.37</v>
      </c>
      <c r="Q245" s="101">
        <f t="shared" si="15"/>
        <v>2017</v>
      </c>
    </row>
    <row r="246" spans="1:17" ht="15">
      <c r="A246" s="332" t="s">
        <v>318</v>
      </c>
      <c r="B246" s="333" t="s">
        <v>876</v>
      </c>
      <c r="C246" s="424" t="s">
        <v>330</v>
      </c>
      <c r="D246" s="332" t="s">
        <v>877</v>
      </c>
      <c r="E246" s="333">
        <v>201612</v>
      </c>
      <c r="F246" s="334">
        <v>-1.33</v>
      </c>
      <c r="G246" s="521">
        <f t="shared" si="16"/>
        <v>4.5</v>
      </c>
      <c r="H246" s="336">
        <v>1.3083000000000001E-3</v>
      </c>
      <c r="I246" s="523">
        <f t="shared" si="17"/>
        <v>-0.01</v>
      </c>
      <c r="J246" s="448">
        <f t="shared" si="18"/>
        <v>-0.02</v>
      </c>
      <c r="Q246" s="101">
        <f t="shared" si="15"/>
        <v>2017</v>
      </c>
    </row>
    <row r="247" spans="1:17" ht="15">
      <c r="A247" s="332" t="s">
        <v>318</v>
      </c>
      <c r="B247" s="333" t="s">
        <v>1045</v>
      </c>
      <c r="C247" s="424" t="s">
        <v>330</v>
      </c>
      <c r="D247" s="332" t="s">
        <v>1046</v>
      </c>
      <c r="E247" s="333">
        <v>201612</v>
      </c>
      <c r="F247" s="334">
        <v>-89.32</v>
      </c>
      <c r="G247" s="521">
        <f t="shared" si="16"/>
        <v>4.5</v>
      </c>
      <c r="H247" s="336">
        <v>1.3083000000000001E-3</v>
      </c>
      <c r="I247" s="523">
        <f t="shared" si="17"/>
        <v>-0.53</v>
      </c>
      <c r="J247" s="448">
        <f t="shared" si="18"/>
        <v>-1.4</v>
      </c>
      <c r="Q247" s="101">
        <f t="shared" si="15"/>
        <v>2017</v>
      </c>
    </row>
    <row r="248" spans="1:17">
      <c r="A248" s="332" t="s">
        <v>318</v>
      </c>
      <c r="B248" s="333" t="s">
        <v>1045</v>
      </c>
      <c r="C248" s="423" t="s">
        <v>330</v>
      </c>
      <c r="D248" s="332" t="s">
        <v>1046</v>
      </c>
      <c r="E248" s="333">
        <v>201612</v>
      </c>
      <c r="F248" s="334">
        <v>-5</v>
      </c>
      <c r="G248" s="521">
        <f t="shared" si="16"/>
        <v>4.5</v>
      </c>
      <c r="H248" s="336">
        <v>1.3083000000000001E-3</v>
      </c>
      <c r="I248" s="523">
        <f t="shared" si="17"/>
        <v>-0.03</v>
      </c>
      <c r="J248" s="448">
        <f t="shared" si="18"/>
        <v>-0.08</v>
      </c>
      <c r="Q248" s="101">
        <f t="shared" si="15"/>
        <v>2017</v>
      </c>
    </row>
    <row r="249" spans="1:17">
      <c r="A249" s="332" t="s">
        <v>318</v>
      </c>
      <c r="B249" s="333" t="s">
        <v>985</v>
      </c>
      <c r="C249" s="423" t="s">
        <v>330</v>
      </c>
      <c r="D249" s="332" t="s">
        <v>986</v>
      </c>
      <c r="E249" s="333">
        <v>201612</v>
      </c>
      <c r="F249" s="334">
        <v>33.700000000000003</v>
      </c>
      <c r="G249" s="521">
        <f t="shared" si="16"/>
        <v>4.5</v>
      </c>
      <c r="H249" s="336">
        <v>1.3083000000000001E-3</v>
      </c>
      <c r="I249" s="523">
        <f t="shared" si="17"/>
        <v>0.2</v>
      </c>
      <c r="J249" s="448">
        <f t="shared" si="18"/>
        <v>0.53</v>
      </c>
      <c r="Q249" s="101">
        <f t="shared" ref="Q249:Q312" si="19">IF(E249&lt;=$Q$1,$S$5,$S$6)</f>
        <v>2017</v>
      </c>
    </row>
    <row r="250" spans="1:17">
      <c r="A250" s="332" t="s">
        <v>318</v>
      </c>
      <c r="B250" s="333" t="s">
        <v>985</v>
      </c>
      <c r="C250" s="423" t="s">
        <v>330</v>
      </c>
      <c r="D250" s="332" t="s">
        <v>986</v>
      </c>
      <c r="E250" s="333">
        <v>201612</v>
      </c>
      <c r="F250" s="334">
        <v>1053.18</v>
      </c>
      <c r="G250" s="521">
        <f t="shared" si="16"/>
        <v>4.5</v>
      </c>
      <c r="H250" s="336">
        <v>1.3083000000000001E-3</v>
      </c>
      <c r="I250" s="523">
        <f t="shared" si="17"/>
        <v>6.2</v>
      </c>
      <c r="J250" s="448">
        <f t="shared" si="18"/>
        <v>16.53</v>
      </c>
      <c r="Q250" s="101">
        <f t="shared" si="19"/>
        <v>2017</v>
      </c>
    </row>
    <row r="251" spans="1:17" ht="15">
      <c r="A251" s="332" t="s">
        <v>318</v>
      </c>
      <c r="B251" s="333" t="s">
        <v>878</v>
      </c>
      <c r="C251" s="424" t="s">
        <v>330</v>
      </c>
      <c r="D251" s="332" t="s">
        <v>879</v>
      </c>
      <c r="E251" s="333">
        <v>201612</v>
      </c>
      <c r="F251" s="334">
        <v>-807.02</v>
      </c>
      <c r="G251" s="521">
        <f t="shared" si="16"/>
        <v>4.5</v>
      </c>
      <c r="H251" s="336">
        <v>1.3083000000000001E-3</v>
      </c>
      <c r="I251" s="523">
        <f t="shared" si="17"/>
        <v>-4.75</v>
      </c>
      <c r="J251" s="448">
        <f t="shared" si="18"/>
        <v>-12.67</v>
      </c>
      <c r="Q251" s="101">
        <f t="shared" si="19"/>
        <v>2017</v>
      </c>
    </row>
    <row r="252" spans="1:17" ht="15">
      <c r="A252" s="332" t="s">
        <v>318</v>
      </c>
      <c r="B252" s="333" t="s">
        <v>878</v>
      </c>
      <c r="C252" s="424" t="s">
        <v>330</v>
      </c>
      <c r="D252" s="332" t="s">
        <v>879</v>
      </c>
      <c r="E252" s="333">
        <v>201612</v>
      </c>
      <c r="F252" s="334">
        <v>-39.880000000000003</v>
      </c>
      <c r="G252" s="521">
        <f t="shared" si="16"/>
        <v>4.5</v>
      </c>
      <c r="H252" s="336">
        <v>1.3083000000000001E-3</v>
      </c>
      <c r="I252" s="523">
        <f t="shared" si="17"/>
        <v>-0.23</v>
      </c>
      <c r="J252" s="448">
        <f t="shared" si="18"/>
        <v>-0.63</v>
      </c>
      <c r="Q252" s="101">
        <f t="shared" si="19"/>
        <v>2017</v>
      </c>
    </row>
    <row r="253" spans="1:17" ht="15">
      <c r="A253" s="332" t="s">
        <v>318</v>
      </c>
      <c r="B253" s="333" t="s">
        <v>987</v>
      </c>
      <c r="C253" s="424" t="s">
        <v>330</v>
      </c>
      <c r="D253" s="332" t="s">
        <v>988</v>
      </c>
      <c r="E253" s="333">
        <v>201612</v>
      </c>
      <c r="F253" s="334">
        <v>-1.38</v>
      </c>
      <c r="G253" s="521">
        <f t="shared" si="16"/>
        <v>4.5</v>
      </c>
      <c r="H253" s="336">
        <v>1.3083000000000001E-3</v>
      </c>
      <c r="I253" s="523">
        <f t="shared" si="17"/>
        <v>-0.01</v>
      </c>
      <c r="J253" s="448">
        <f t="shared" si="18"/>
        <v>-0.02</v>
      </c>
      <c r="Q253" s="101">
        <f t="shared" si="19"/>
        <v>2017</v>
      </c>
    </row>
    <row r="254" spans="1:17">
      <c r="A254" s="332" t="s">
        <v>318</v>
      </c>
      <c r="B254" s="333" t="s">
        <v>987</v>
      </c>
      <c r="C254" s="423" t="s">
        <v>330</v>
      </c>
      <c r="D254" s="332" t="s">
        <v>988</v>
      </c>
      <c r="E254" s="333">
        <v>201612</v>
      </c>
      <c r="F254" s="334">
        <v>-0.06</v>
      </c>
      <c r="G254" s="521">
        <f t="shared" si="16"/>
        <v>4.5</v>
      </c>
      <c r="H254" s="336">
        <v>1.3083000000000001E-3</v>
      </c>
      <c r="I254" s="523">
        <f t="shared" si="17"/>
        <v>0</v>
      </c>
      <c r="J254" s="448">
        <f t="shared" si="18"/>
        <v>0</v>
      </c>
      <c r="Q254" s="101">
        <f t="shared" si="19"/>
        <v>2017</v>
      </c>
    </row>
    <row r="255" spans="1:17">
      <c r="A255" s="332" t="s">
        <v>318</v>
      </c>
      <c r="B255" s="333" t="s">
        <v>989</v>
      </c>
      <c r="C255" s="423" t="s">
        <v>330</v>
      </c>
      <c r="D255" s="332" t="s">
        <v>990</v>
      </c>
      <c r="E255" s="333">
        <v>201612</v>
      </c>
      <c r="F255" s="334">
        <v>-30.34</v>
      </c>
      <c r="G255" s="521">
        <f t="shared" si="16"/>
        <v>4.5</v>
      </c>
      <c r="H255" s="336">
        <v>1.3083000000000001E-3</v>
      </c>
      <c r="I255" s="523">
        <f t="shared" si="17"/>
        <v>-0.18</v>
      </c>
      <c r="J255" s="448">
        <f t="shared" si="18"/>
        <v>-0.48</v>
      </c>
      <c r="Q255" s="101">
        <f t="shared" si="19"/>
        <v>2017</v>
      </c>
    </row>
    <row r="256" spans="1:17">
      <c r="A256" s="332" t="s">
        <v>318</v>
      </c>
      <c r="B256" s="333" t="s">
        <v>989</v>
      </c>
      <c r="C256" s="423" t="s">
        <v>330</v>
      </c>
      <c r="D256" s="332" t="s">
        <v>990</v>
      </c>
      <c r="E256" s="333">
        <v>201612</v>
      </c>
      <c r="F256" s="334">
        <v>-1.26</v>
      </c>
      <c r="G256" s="521">
        <f t="shared" ref="G256:G462" si="20">VLOOKUP(E256,$N$6:$O$49,2,FALSE)</f>
        <v>4.5</v>
      </c>
      <c r="H256" s="336">
        <v>1.3083000000000001E-3</v>
      </c>
      <c r="I256" s="523">
        <f t="shared" ref="I256:I305" si="21">ROUND(F256*G256*H256,2)</f>
        <v>-0.01</v>
      </c>
      <c r="J256" s="448">
        <f t="shared" ref="J256:J305" si="22">ROUND(F256*H256*12,2)</f>
        <v>-0.02</v>
      </c>
      <c r="Q256" s="101">
        <f t="shared" si="19"/>
        <v>2017</v>
      </c>
    </row>
    <row r="257" spans="1:17">
      <c r="A257" s="332" t="s">
        <v>318</v>
      </c>
      <c r="B257" s="333" t="s">
        <v>991</v>
      </c>
      <c r="C257" s="423" t="s">
        <v>330</v>
      </c>
      <c r="D257" s="332" t="s">
        <v>992</v>
      </c>
      <c r="E257" s="333">
        <v>201612</v>
      </c>
      <c r="F257" s="334">
        <v>27.76</v>
      </c>
      <c r="G257" s="521">
        <f t="shared" si="20"/>
        <v>4.5</v>
      </c>
      <c r="H257" s="336">
        <v>1.3083000000000001E-3</v>
      </c>
      <c r="I257" s="523">
        <f t="shared" si="21"/>
        <v>0.16</v>
      </c>
      <c r="J257" s="448">
        <f t="shared" si="22"/>
        <v>0.44</v>
      </c>
      <c r="Q257" s="101">
        <f t="shared" si="19"/>
        <v>2017</v>
      </c>
    </row>
    <row r="258" spans="1:17">
      <c r="A258" s="332" t="s">
        <v>318</v>
      </c>
      <c r="B258" s="333" t="s">
        <v>991</v>
      </c>
      <c r="C258" s="423" t="s">
        <v>330</v>
      </c>
      <c r="D258" s="332" t="s">
        <v>992</v>
      </c>
      <c r="E258" s="333">
        <v>201612</v>
      </c>
      <c r="F258" s="334">
        <v>100.01</v>
      </c>
      <c r="G258" s="521">
        <f t="shared" si="20"/>
        <v>4.5</v>
      </c>
      <c r="H258" s="336">
        <v>1.3083000000000001E-3</v>
      </c>
      <c r="I258" s="523">
        <f t="shared" si="21"/>
        <v>0.59</v>
      </c>
      <c r="J258" s="448">
        <f t="shared" si="22"/>
        <v>1.57</v>
      </c>
      <c r="Q258" s="101">
        <f t="shared" si="19"/>
        <v>2017</v>
      </c>
    </row>
    <row r="259" spans="1:17">
      <c r="A259" s="332" t="s">
        <v>318</v>
      </c>
      <c r="B259" s="333" t="s">
        <v>880</v>
      </c>
      <c r="C259" s="423" t="s">
        <v>330</v>
      </c>
      <c r="D259" s="332" t="s">
        <v>881</v>
      </c>
      <c r="E259" s="333">
        <v>201612</v>
      </c>
      <c r="F259" s="334">
        <v>68.09</v>
      </c>
      <c r="G259" s="521">
        <f t="shared" si="20"/>
        <v>4.5</v>
      </c>
      <c r="H259" s="336">
        <v>1.3083000000000001E-3</v>
      </c>
      <c r="I259" s="523">
        <f t="shared" si="21"/>
        <v>0.4</v>
      </c>
      <c r="J259" s="448">
        <f t="shared" si="22"/>
        <v>1.07</v>
      </c>
      <c r="Q259" s="101">
        <f t="shared" si="19"/>
        <v>2017</v>
      </c>
    </row>
    <row r="260" spans="1:17">
      <c r="A260" s="332" t="s">
        <v>318</v>
      </c>
      <c r="B260" s="333" t="s">
        <v>880</v>
      </c>
      <c r="C260" s="423" t="s">
        <v>330</v>
      </c>
      <c r="D260" s="332" t="s">
        <v>881</v>
      </c>
      <c r="E260" s="333">
        <v>201612</v>
      </c>
      <c r="F260" s="334">
        <v>382.06</v>
      </c>
      <c r="G260" s="521">
        <f t="shared" si="20"/>
        <v>4.5</v>
      </c>
      <c r="H260" s="336">
        <v>1.3083000000000001E-3</v>
      </c>
      <c r="I260" s="523">
        <f t="shared" si="21"/>
        <v>2.25</v>
      </c>
      <c r="J260" s="448">
        <f t="shared" si="22"/>
        <v>6</v>
      </c>
      <c r="Q260" s="101">
        <f t="shared" si="19"/>
        <v>2017</v>
      </c>
    </row>
    <row r="261" spans="1:17">
      <c r="A261" s="332" t="s">
        <v>318</v>
      </c>
      <c r="B261" s="333" t="s">
        <v>993</v>
      </c>
      <c r="C261" s="423" t="s">
        <v>330</v>
      </c>
      <c r="D261" s="332" t="s">
        <v>994</v>
      </c>
      <c r="E261" s="333">
        <v>201612</v>
      </c>
      <c r="F261" s="334">
        <v>3.35</v>
      </c>
      <c r="G261" s="521">
        <f t="shared" si="20"/>
        <v>4.5</v>
      </c>
      <c r="H261" s="336">
        <v>1.3083000000000001E-3</v>
      </c>
      <c r="I261" s="523">
        <f t="shared" si="21"/>
        <v>0.02</v>
      </c>
      <c r="J261" s="448">
        <f t="shared" si="22"/>
        <v>0.05</v>
      </c>
      <c r="Q261" s="101">
        <f t="shared" si="19"/>
        <v>2017</v>
      </c>
    </row>
    <row r="262" spans="1:17">
      <c r="A262" s="332" t="s">
        <v>318</v>
      </c>
      <c r="B262" s="333" t="s">
        <v>993</v>
      </c>
      <c r="C262" s="423" t="s">
        <v>330</v>
      </c>
      <c r="D262" s="332" t="s">
        <v>994</v>
      </c>
      <c r="E262" s="333">
        <v>201612</v>
      </c>
      <c r="F262" s="334">
        <v>66.52</v>
      </c>
      <c r="G262" s="521">
        <f t="shared" si="20"/>
        <v>4.5</v>
      </c>
      <c r="H262" s="336">
        <v>1.3083000000000001E-3</v>
      </c>
      <c r="I262" s="523">
        <f t="shared" si="21"/>
        <v>0.39</v>
      </c>
      <c r="J262" s="448">
        <f t="shared" si="22"/>
        <v>1.04</v>
      </c>
      <c r="Q262" s="101">
        <f t="shared" si="19"/>
        <v>2017</v>
      </c>
    </row>
    <row r="263" spans="1:17">
      <c r="A263" s="332" t="s">
        <v>318</v>
      </c>
      <c r="B263" s="333" t="s">
        <v>882</v>
      </c>
      <c r="C263" s="423" t="s">
        <v>330</v>
      </c>
      <c r="D263" s="332" t="s">
        <v>995</v>
      </c>
      <c r="E263" s="333">
        <v>201612</v>
      </c>
      <c r="F263" s="334">
        <v>-93976.95</v>
      </c>
      <c r="G263" s="521">
        <f t="shared" si="20"/>
        <v>4.5</v>
      </c>
      <c r="H263" s="336">
        <v>1.3083000000000001E-3</v>
      </c>
      <c r="I263" s="523">
        <f t="shared" si="21"/>
        <v>-553.28</v>
      </c>
      <c r="J263" s="448">
        <f t="shared" si="22"/>
        <v>-1475.4</v>
      </c>
      <c r="Q263" s="101">
        <f t="shared" si="19"/>
        <v>2017</v>
      </c>
    </row>
    <row r="264" spans="1:17">
      <c r="A264" s="332" t="s">
        <v>318</v>
      </c>
      <c r="B264" s="333" t="s">
        <v>882</v>
      </c>
      <c r="C264" s="423" t="s">
        <v>330</v>
      </c>
      <c r="D264" s="332" t="s">
        <v>995</v>
      </c>
      <c r="E264" s="333">
        <v>201612</v>
      </c>
      <c r="F264" s="334">
        <v>251.37</v>
      </c>
      <c r="G264" s="521">
        <f t="shared" si="20"/>
        <v>4.5</v>
      </c>
      <c r="H264" s="336">
        <v>1.3083000000000001E-3</v>
      </c>
      <c r="I264" s="523">
        <f t="shared" si="21"/>
        <v>1.48</v>
      </c>
      <c r="J264" s="448">
        <f t="shared" si="22"/>
        <v>3.95</v>
      </c>
      <c r="Q264" s="101">
        <f t="shared" si="19"/>
        <v>2017</v>
      </c>
    </row>
    <row r="265" spans="1:17">
      <c r="A265" s="332" t="s">
        <v>318</v>
      </c>
      <c r="B265" s="333" t="s">
        <v>882</v>
      </c>
      <c r="C265" s="423" t="s">
        <v>330</v>
      </c>
      <c r="D265" s="332" t="s">
        <v>995</v>
      </c>
      <c r="E265" s="333">
        <v>201612</v>
      </c>
      <c r="F265" s="334">
        <v>93118.65</v>
      </c>
      <c r="G265" s="521">
        <f t="shared" si="20"/>
        <v>4.5</v>
      </c>
      <c r="H265" s="336">
        <v>1.3083000000000001E-3</v>
      </c>
      <c r="I265" s="523">
        <f t="shared" si="21"/>
        <v>548.22</v>
      </c>
      <c r="J265" s="448">
        <f t="shared" si="22"/>
        <v>1461.93</v>
      </c>
      <c r="Q265" s="101">
        <f t="shared" si="19"/>
        <v>2017</v>
      </c>
    </row>
    <row r="266" spans="1:17">
      <c r="A266" s="332" t="s">
        <v>318</v>
      </c>
      <c r="B266" s="333" t="s">
        <v>996</v>
      </c>
      <c r="C266" s="423" t="s">
        <v>330</v>
      </c>
      <c r="D266" s="332" t="s">
        <v>997</v>
      </c>
      <c r="E266" s="333">
        <v>201612</v>
      </c>
      <c r="F266" s="334">
        <v>84.84</v>
      </c>
      <c r="G266" s="521">
        <f t="shared" si="20"/>
        <v>4.5</v>
      </c>
      <c r="H266" s="336">
        <v>1.3083000000000001E-3</v>
      </c>
      <c r="I266" s="523">
        <f t="shared" si="21"/>
        <v>0.5</v>
      </c>
      <c r="J266" s="448">
        <f t="shared" si="22"/>
        <v>1.33</v>
      </c>
      <c r="Q266" s="101">
        <f t="shared" si="19"/>
        <v>2017</v>
      </c>
    </row>
    <row r="267" spans="1:17">
      <c r="A267" s="332" t="s">
        <v>318</v>
      </c>
      <c r="B267" s="333" t="s">
        <v>996</v>
      </c>
      <c r="C267" s="423" t="s">
        <v>330</v>
      </c>
      <c r="D267" s="332" t="s">
        <v>997</v>
      </c>
      <c r="E267" s="333">
        <v>201612</v>
      </c>
      <c r="F267" s="334">
        <v>2350.87</v>
      </c>
      <c r="G267" s="521">
        <f t="shared" si="20"/>
        <v>4.5</v>
      </c>
      <c r="H267" s="336">
        <v>1.3083000000000001E-3</v>
      </c>
      <c r="I267" s="523">
        <f t="shared" si="21"/>
        <v>13.84</v>
      </c>
      <c r="J267" s="448">
        <f t="shared" si="22"/>
        <v>36.909999999999997</v>
      </c>
      <c r="Q267" s="101">
        <f t="shared" si="19"/>
        <v>2017</v>
      </c>
    </row>
    <row r="268" spans="1:17">
      <c r="A268" s="332" t="s">
        <v>318</v>
      </c>
      <c r="B268" s="333" t="s">
        <v>854</v>
      </c>
      <c r="C268" s="423" t="s">
        <v>330</v>
      </c>
      <c r="D268" s="332" t="s">
        <v>855</v>
      </c>
      <c r="E268" s="333">
        <v>201612</v>
      </c>
      <c r="F268" s="334">
        <v>-312706.87</v>
      </c>
      <c r="G268" s="521">
        <f t="shared" si="20"/>
        <v>4.5</v>
      </c>
      <c r="H268" s="336">
        <v>1.3083000000000001E-3</v>
      </c>
      <c r="I268" s="523">
        <f t="shared" si="21"/>
        <v>-1841.01</v>
      </c>
      <c r="J268" s="448">
        <f t="shared" si="22"/>
        <v>-4909.37</v>
      </c>
      <c r="Q268" s="101">
        <f t="shared" si="19"/>
        <v>2017</v>
      </c>
    </row>
    <row r="269" spans="1:17">
      <c r="A269" s="332" t="s">
        <v>318</v>
      </c>
      <c r="B269" s="333" t="s">
        <v>854</v>
      </c>
      <c r="C269" s="423" t="s">
        <v>330</v>
      </c>
      <c r="D269" s="332" t="s">
        <v>855</v>
      </c>
      <c r="E269" s="333">
        <v>201612</v>
      </c>
      <c r="F269" s="334">
        <v>-10722.62</v>
      </c>
      <c r="G269" s="521">
        <f t="shared" si="20"/>
        <v>4.5</v>
      </c>
      <c r="H269" s="336">
        <v>1.3083000000000001E-3</v>
      </c>
      <c r="I269" s="523">
        <f t="shared" si="21"/>
        <v>-63.13</v>
      </c>
      <c r="J269" s="448">
        <f t="shared" si="22"/>
        <v>-168.34</v>
      </c>
      <c r="Q269" s="101">
        <f t="shared" si="19"/>
        <v>2017</v>
      </c>
    </row>
    <row r="270" spans="1:17">
      <c r="A270" s="332" t="s">
        <v>318</v>
      </c>
      <c r="B270" s="333" t="s">
        <v>854</v>
      </c>
      <c r="C270" s="423" t="s">
        <v>330</v>
      </c>
      <c r="D270" s="332" t="s">
        <v>855</v>
      </c>
      <c r="E270" s="333">
        <v>201612</v>
      </c>
      <c r="F270" s="334">
        <v>31369.9</v>
      </c>
      <c r="G270" s="521">
        <f t="shared" si="20"/>
        <v>4.5</v>
      </c>
      <c r="H270" s="336">
        <v>1.3083000000000001E-3</v>
      </c>
      <c r="I270" s="523">
        <f t="shared" si="21"/>
        <v>184.69</v>
      </c>
      <c r="J270" s="448">
        <f t="shared" si="22"/>
        <v>492.49</v>
      </c>
      <c r="Q270" s="101">
        <f t="shared" si="19"/>
        <v>2017</v>
      </c>
    </row>
    <row r="271" spans="1:17" ht="15">
      <c r="A271" s="332" t="s">
        <v>318</v>
      </c>
      <c r="B271" s="333" t="s">
        <v>854</v>
      </c>
      <c r="C271" s="424" t="s">
        <v>330</v>
      </c>
      <c r="D271" s="332" t="s">
        <v>855</v>
      </c>
      <c r="E271" s="333">
        <v>201612</v>
      </c>
      <c r="F271" s="334">
        <v>364946.65</v>
      </c>
      <c r="G271" s="521">
        <f t="shared" si="20"/>
        <v>4.5</v>
      </c>
      <c r="H271" s="336">
        <v>1.3083000000000001E-3</v>
      </c>
      <c r="I271" s="523">
        <f t="shared" si="21"/>
        <v>2148.5700000000002</v>
      </c>
      <c r="J271" s="448">
        <f t="shared" si="22"/>
        <v>5729.52</v>
      </c>
      <c r="Q271" s="101">
        <f t="shared" si="19"/>
        <v>2017</v>
      </c>
    </row>
    <row r="272" spans="1:17" ht="15">
      <c r="A272" s="332" t="s">
        <v>318</v>
      </c>
      <c r="B272" s="333" t="s">
        <v>1110</v>
      </c>
      <c r="C272" s="424" t="s">
        <v>330</v>
      </c>
      <c r="D272" s="332" t="s">
        <v>1111</v>
      </c>
      <c r="E272" s="333">
        <v>201612</v>
      </c>
      <c r="F272" s="334">
        <v>10846.25</v>
      </c>
      <c r="G272" s="521">
        <f t="shared" si="20"/>
        <v>4.5</v>
      </c>
      <c r="H272" s="336">
        <v>1.3083000000000001E-3</v>
      </c>
      <c r="I272" s="523">
        <f t="shared" si="21"/>
        <v>63.86</v>
      </c>
      <c r="J272" s="448">
        <f t="shared" si="22"/>
        <v>170.28</v>
      </c>
      <c r="Q272" s="101">
        <f t="shared" si="19"/>
        <v>2017</v>
      </c>
    </row>
    <row r="273" spans="1:17" ht="15">
      <c r="A273" s="332" t="s">
        <v>318</v>
      </c>
      <c r="B273" s="333" t="s">
        <v>1110</v>
      </c>
      <c r="C273" s="424" t="s">
        <v>330</v>
      </c>
      <c r="D273" s="332" t="s">
        <v>1111</v>
      </c>
      <c r="E273" s="333">
        <v>201612</v>
      </c>
      <c r="F273" s="334">
        <v>173981.31</v>
      </c>
      <c r="G273" s="521">
        <f t="shared" si="20"/>
        <v>4.5</v>
      </c>
      <c r="H273" s="336">
        <v>1.3083000000000001E-3</v>
      </c>
      <c r="I273" s="523">
        <f t="shared" si="21"/>
        <v>1024.29</v>
      </c>
      <c r="J273" s="448">
        <f t="shared" si="22"/>
        <v>2731.44</v>
      </c>
      <c r="Q273" s="101">
        <f t="shared" si="19"/>
        <v>2017</v>
      </c>
    </row>
    <row r="274" spans="1:17" ht="15">
      <c r="A274" s="332" t="s">
        <v>318</v>
      </c>
      <c r="B274" s="333" t="s">
        <v>1047</v>
      </c>
      <c r="C274" s="424" t="s">
        <v>329</v>
      </c>
      <c r="D274" s="332" t="s">
        <v>1048</v>
      </c>
      <c r="E274" s="333">
        <v>201612</v>
      </c>
      <c r="F274" s="334">
        <v>295.55</v>
      </c>
      <c r="G274" s="521">
        <f t="shared" si="20"/>
        <v>4.5</v>
      </c>
      <c r="H274" s="336">
        <v>1.3083000000000001E-3</v>
      </c>
      <c r="I274" s="523">
        <f t="shared" si="21"/>
        <v>1.74</v>
      </c>
      <c r="J274" s="448">
        <f t="shared" si="22"/>
        <v>4.6399999999999997</v>
      </c>
      <c r="Q274" s="101">
        <f t="shared" si="19"/>
        <v>2017</v>
      </c>
    </row>
    <row r="275" spans="1:17" ht="15">
      <c r="A275" s="332" t="s">
        <v>318</v>
      </c>
      <c r="B275" s="333" t="s">
        <v>1047</v>
      </c>
      <c r="C275" s="424" t="s">
        <v>329</v>
      </c>
      <c r="D275" s="332" t="s">
        <v>1048</v>
      </c>
      <c r="E275" s="333">
        <v>201612</v>
      </c>
      <c r="F275" s="334">
        <v>935.58</v>
      </c>
      <c r="G275" s="521">
        <f t="shared" si="20"/>
        <v>4.5</v>
      </c>
      <c r="H275" s="336">
        <v>1.3083000000000001E-3</v>
      </c>
      <c r="I275" s="523">
        <f t="shared" si="21"/>
        <v>5.51</v>
      </c>
      <c r="J275" s="448">
        <f t="shared" si="22"/>
        <v>14.69</v>
      </c>
      <c r="Q275" s="101">
        <f t="shared" si="19"/>
        <v>2017</v>
      </c>
    </row>
    <row r="276" spans="1:17" ht="15">
      <c r="A276" s="332" t="s">
        <v>322</v>
      </c>
      <c r="B276" s="333" t="s">
        <v>998</v>
      </c>
      <c r="C276" s="424" t="s">
        <v>329</v>
      </c>
      <c r="D276" s="332" t="s">
        <v>999</v>
      </c>
      <c r="E276" s="333">
        <v>201612</v>
      </c>
      <c r="F276" s="334">
        <v>1085.73</v>
      </c>
      <c r="G276" s="521">
        <f t="shared" si="20"/>
        <v>4.5</v>
      </c>
      <c r="H276" s="336">
        <v>1.1999999999999999E-3</v>
      </c>
      <c r="I276" s="523">
        <f t="shared" si="21"/>
        <v>5.86</v>
      </c>
      <c r="J276" s="448">
        <f t="shared" si="22"/>
        <v>15.63</v>
      </c>
      <c r="Q276" s="101">
        <f t="shared" si="19"/>
        <v>2017</v>
      </c>
    </row>
    <row r="277" spans="1:17" ht="15">
      <c r="A277" s="332" t="s">
        <v>318</v>
      </c>
      <c r="B277" s="333" t="s">
        <v>998</v>
      </c>
      <c r="C277" s="424" t="s">
        <v>329</v>
      </c>
      <c r="D277" s="332" t="s">
        <v>999</v>
      </c>
      <c r="E277" s="333">
        <v>201612</v>
      </c>
      <c r="F277" s="334">
        <v>-19621.009999999998</v>
      </c>
      <c r="G277" s="521">
        <f t="shared" si="20"/>
        <v>4.5</v>
      </c>
      <c r="H277" s="336">
        <v>1.3083000000000001E-3</v>
      </c>
      <c r="I277" s="523">
        <f t="shared" si="21"/>
        <v>-115.52</v>
      </c>
      <c r="J277" s="448">
        <f t="shared" si="22"/>
        <v>-308.04000000000002</v>
      </c>
      <c r="Q277" s="101">
        <f t="shared" si="19"/>
        <v>2017</v>
      </c>
    </row>
    <row r="278" spans="1:17" ht="15">
      <c r="A278" s="332" t="s">
        <v>318</v>
      </c>
      <c r="B278" s="333" t="s">
        <v>998</v>
      </c>
      <c r="C278" s="424" t="s">
        <v>329</v>
      </c>
      <c r="D278" s="332" t="s">
        <v>999</v>
      </c>
      <c r="E278" s="333">
        <v>201612</v>
      </c>
      <c r="F278" s="334">
        <v>18535.28</v>
      </c>
      <c r="G278" s="521">
        <f t="shared" si="20"/>
        <v>4.5</v>
      </c>
      <c r="H278" s="336">
        <v>1.3083000000000001E-3</v>
      </c>
      <c r="I278" s="523">
        <f t="shared" si="21"/>
        <v>109.12</v>
      </c>
      <c r="J278" s="448">
        <f t="shared" si="22"/>
        <v>291</v>
      </c>
      <c r="Q278" s="101">
        <f t="shared" si="19"/>
        <v>2017</v>
      </c>
    </row>
    <row r="279" spans="1:17" ht="15">
      <c r="A279" s="332" t="s">
        <v>318</v>
      </c>
      <c r="B279" s="333" t="s">
        <v>1112</v>
      </c>
      <c r="C279" s="424" t="s">
        <v>330</v>
      </c>
      <c r="D279" s="332" t="s">
        <v>1113</v>
      </c>
      <c r="E279" s="333">
        <v>201612</v>
      </c>
      <c r="F279" s="334">
        <v>9670.19</v>
      </c>
      <c r="G279" s="521">
        <f t="shared" si="20"/>
        <v>4.5</v>
      </c>
      <c r="H279" s="336">
        <v>1.3083000000000001E-3</v>
      </c>
      <c r="I279" s="523">
        <f t="shared" si="21"/>
        <v>56.93</v>
      </c>
      <c r="J279" s="448">
        <f t="shared" si="22"/>
        <v>151.82</v>
      </c>
      <c r="Q279" s="101">
        <f t="shared" si="19"/>
        <v>2017</v>
      </c>
    </row>
    <row r="280" spans="1:17" ht="15">
      <c r="A280" s="332" t="s">
        <v>318</v>
      </c>
      <c r="B280" s="333" t="s">
        <v>1112</v>
      </c>
      <c r="C280" s="424" t="s">
        <v>330</v>
      </c>
      <c r="D280" s="332" t="s">
        <v>1113</v>
      </c>
      <c r="E280" s="333">
        <v>201612</v>
      </c>
      <c r="F280" s="334">
        <v>133136.48000000001</v>
      </c>
      <c r="G280" s="521">
        <f t="shared" si="20"/>
        <v>4.5</v>
      </c>
      <c r="H280" s="336">
        <v>1.3083000000000001E-3</v>
      </c>
      <c r="I280" s="523">
        <f t="shared" si="21"/>
        <v>783.82</v>
      </c>
      <c r="J280" s="448">
        <f t="shared" si="22"/>
        <v>2090.19</v>
      </c>
      <c r="Q280" s="101">
        <f t="shared" si="19"/>
        <v>2017</v>
      </c>
    </row>
    <row r="281" spans="1:17" ht="15">
      <c r="A281" s="332" t="s">
        <v>318</v>
      </c>
      <c r="B281" s="333" t="s">
        <v>1114</v>
      </c>
      <c r="C281" s="424" t="s">
        <v>330</v>
      </c>
      <c r="D281" s="332" t="s">
        <v>1115</v>
      </c>
      <c r="E281" s="333">
        <v>201612</v>
      </c>
      <c r="F281" s="334">
        <v>14460.74</v>
      </c>
      <c r="G281" s="521">
        <f t="shared" si="20"/>
        <v>4.5</v>
      </c>
      <c r="H281" s="336">
        <v>1.3083000000000001E-3</v>
      </c>
      <c r="I281" s="523">
        <f t="shared" si="21"/>
        <v>85.14</v>
      </c>
      <c r="J281" s="448">
        <f t="shared" si="22"/>
        <v>227.03</v>
      </c>
      <c r="Q281" s="101">
        <f t="shared" si="19"/>
        <v>2017</v>
      </c>
    </row>
    <row r="282" spans="1:17" ht="15">
      <c r="A282" s="332" t="s">
        <v>318</v>
      </c>
      <c r="B282" s="333" t="s">
        <v>1114</v>
      </c>
      <c r="C282" s="424" t="s">
        <v>330</v>
      </c>
      <c r="D282" s="332" t="s">
        <v>1115</v>
      </c>
      <c r="E282" s="333">
        <v>201612</v>
      </c>
      <c r="F282" s="334">
        <v>214536.28</v>
      </c>
      <c r="G282" s="521">
        <f t="shared" si="20"/>
        <v>4.5</v>
      </c>
      <c r="H282" s="336">
        <v>1.3083000000000001E-3</v>
      </c>
      <c r="I282" s="523">
        <f t="shared" si="21"/>
        <v>1263.05</v>
      </c>
      <c r="J282" s="448">
        <f t="shared" si="22"/>
        <v>3368.13</v>
      </c>
      <c r="Q282" s="101">
        <f t="shared" si="19"/>
        <v>2017</v>
      </c>
    </row>
    <row r="283" spans="1:17" ht="15">
      <c r="A283" s="332" t="s">
        <v>318</v>
      </c>
      <c r="B283" s="333" t="s">
        <v>1004</v>
      </c>
      <c r="C283" s="424" t="s">
        <v>330</v>
      </c>
      <c r="D283" s="332" t="s">
        <v>1005</v>
      </c>
      <c r="E283" s="333">
        <v>201612</v>
      </c>
      <c r="F283" s="334">
        <v>-103.94</v>
      </c>
      <c r="G283" s="521">
        <f t="shared" si="20"/>
        <v>4.5</v>
      </c>
      <c r="H283" s="336">
        <v>1.3083000000000001E-3</v>
      </c>
      <c r="I283" s="523">
        <f t="shared" si="21"/>
        <v>-0.61</v>
      </c>
      <c r="J283" s="448">
        <f t="shared" si="22"/>
        <v>-1.63</v>
      </c>
      <c r="Q283" s="101">
        <f t="shared" si="19"/>
        <v>2017</v>
      </c>
    </row>
    <row r="284" spans="1:17" ht="15">
      <c r="A284" s="332" t="s">
        <v>318</v>
      </c>
      <c r="B284" s="333" t="s">
        <v>1004</v>
      </c>
      <c r="C284" s="424" t="s">
        <v>330</v>
      </c>
      <c r="D284" s="332" t="s">
        <v>1005</v>
      </c>
      <c r="E284" s="333">
        <v>201612</v>
      </c>
      <c r="F284" s="334">
        <v>79.92</v>
      </c>
      <c r="G284" s="521">
        <f t="shared" si="20"/>
        <v>4.5</v>
      </c>
      <c r="H284" s="336">
        <v>1.3083000000000001E-3</v>
      </c>
      <c r="I284" s="523">
        <f t="shared" si="21"/>
        <v>0.47</v>
      </c>
      <c r="J284" s="448">
        <f t="shared" si="22"/>
        <v>1.25</v>
      </c>
      <c r="Q284" s="101">
        <f t="shared" si="19"/>
        <v>2017</v>
      </c>
    </row>
    <row r="285" spans="1:17">
      <c r="A285" s="332" t="s">
        <v>318</v>
      </c>
      <c r="B285" s="333" t="s">
        <v>1116</v>
      </c>
      <c r="C285" s="423" t="s">
        <v>330</v>
      </c>
      <c r="D285" s="332" t="s">
        <v>1117</v>
      </c>
      <c r="E285" s="333">
        <v>201612</v>
      </c>
      <c r="F285" s="334">
        <v>10492.48</v>
      </c>
      <c r="G285" s="521">
        <f t="shared" si="20"/>
        <v>4.5</v>
      </c>
      <c r="H285" s="336">
        <v>1.3083000000000001E-3</v>
      </c>
      <c r="I285" s="523">
        <f t="shared" si="21"/>
        <v>61.77</v>
      </c>
      <c r="J285" s="448">
        <f t="shared" si="22"/>
        <v>164.73</v>
      </c>
      <c r="Q285" s="101">
        <f t="shared" si="19"/>
        <v>2017</v>
      </c>
    </row>
    <row r="286" spans="1:17">
      <c r="A286" s="332" t="s">
        <v>318</v>
      </c>
      <c r="B286" s="333" t="s">
        <v>1116</v>
      </c>
      <c r="C286" s="423" t="s">
        <v>330</v>
      </c>
      <c r="D286" s="332" t="s">
        <v>1117</v>
      </c>
      <c r="E286" s="333">
        <v>201612</v>
      </c>
      <c r="F286" s="334">
        <v>135648.13</v>
      </c>
      <c r="G286" s="521">
        <f t="shared" si="20"/>
        <v>4.5</v>
      </c>
      <c r="H286" s="336">
        <v>1.3083000000000001E-3</v>
      </c>
      <c r="I286" s="523">
        <f t="shared" si="21"/>
        <v>798.61</v>
      </c>
      <c r="J286" s="448">
        <f t="shared" si="22"/>
        <v>2129.62</v>
      </c>
      <c r="Q286" s="101">
        <f t="shared" si="19"/>
        <v>2017</v>
      </c>
    </row>
    <row r="287" spans="1:17" ht="15">
      <c r="A287" s="332" t="s">
        <v>318</v>
      </c>
      <c r="B287" s="333" t="s">
        <v>1071</v>
      </c>
      <c r="C287" s="424" t="s">
        <v>330</v>
      </c>
      <c r="D287" s="332" t="s">
        <v>1072</v>
      </c>
      <c r="E287" s="333">
        <v>201612</v>
      </c>
      <c r="F287" s="334">
        <v>335.27</v>
      </c>
      <c r="G287" s="521">
        <f t="shared" si="20"/>
        <v>4.5</v>
      </c>
      <c r="H287" s="336">
        <v>1.3083000000000001E-3</v>
      </c>
      <c r="I287" s="523">
        <f t="shared" si="21"/>
        <v>1.97</v>
      </c>
      <c r="J287" s="448">
        <f t="shared" si="22"/>
        <v>5.26</v>
      </c>
      <c r="Q287" s="101">
        <f t="shared" si="19"/>
        <v>2017</v>
      </c>
    </row>
    <row r="288" spans="1:17" ht="15">
      <c r="A288" s="332" t="s">
        <v>318</v>
      </c>
      <c r="B288" s="333" t="s">
        <v>889</v>
      </c>
      <c r="C288" s="424" t="s">
        <v>414</v>
      </c>
      <c r="D288" s="332" t="s">
        <v>890</v>
      </c>
      <c r="E288" s="333">
        <v>201612</v>
      </c>
      <c r="F288" s="334">
        <v>-13.55</v>
      </c>
      <c r="G288" s="521">
        <f t="shared" si="20"/>
        <v>4.5</v>
      </c>
      <c r="H288" s="336">
        <v>1.3083000000000001E-3</v>
      </c>
      <c r="I288" s="523">
        <f t="shared" si="21"/>
        <v>-0.08</v>
      </c>
      <c r="J288" s="448">
        <f t="shared" si="22"/>
        <v>-0.21</v>
      </c>
      <c r="Q288" s="101">
        <f t="shared" si="19"/>
        <v>2017</v>
      </c>
    </row>
    <row r="289" spans="1:17" ht="15">
      <c r="A289" s="332" t="s">
        <v>318</v>
      </c>
      <c r="B289" s="333" t="s">
        <v>889</v>
      </c>
      <c r="C289" s="424" t="s">
        <v>414</v>
      </c>
      <c r="D289" s="332" t="s">
        <v>890</v>
      </c>
      <c r="E289" s="333">
        <v>201612</v>
      </c>
      <c r="F289" s="334">
        <v>-0.51</v>
      </c>
      <c r="G289" s="521">
        <f t="shared" si="20"/>
        <v>4.5</v>
      </c>
      <c r="H289" s="336">
        <v>1.3083000000000001E-3</v>
      </c>
      <c r="I289" s="523">
        <f t="shared" si="21"/>
        <v>0</v>
      </c>
      <c r="J289" s="448">
        <f t="shared" si="22"/>
        <v>-0.01</v>
      </c>
      <c r="Q289" s="101">
        <f t="shared" si="19"/>
        <v>2017</v>
      </c>
    </row>
    <row r="290" spans="1:17" ht="15">
      <c r="A290" s="332" t="s">
        <v>318</v>
      </c>
      <c r="B290" s="333" t="s">
        <v>1006</v>
      </c>
      <c r="C290" s="424" t="s">
        <v>414</v>
      </c>
      <c r="D290" s="332" t="s">
        <v>1007</v>
      </c>
      <c r="E290" s="333">
        <v>201612</v>
      </c>
      <c r="F290" s="334">
        <v>0.22</v>
      </c>
      <c r="G290" s="521">
        <f t="shared" si="20"/>
        <v>4.5</v>
      </c>
      <c r="H290" s="336">
        <v>1.3083000000000001E-3</v>
      </c>
      <c r="I290" s="523">
        <f t="shared" si="21"/>
        <v>0</v>
      </c>
      <c r="J290" s="448">
        <f t="shared" si="22"/>
        <v>0</v>
      </c>
      <c r="Q290" s="101">
        <f t="shared" si="19"/>
        <v>2017</v>
      </c>
    </row>
    <row r="291" spans="1:17" ht="15">
      <c r="A291" s="332" t="s">
        <v>318</v>
      </c>
      <c r="B291" s="333" t="s">
        <v>1006</v>
      </c>
      <c r="C291" s="424" t="s">
        <v>414</v>
      </c>
      <c r="D291" s="332" t="s">
        <v>1007</v>
      </c>
      <c r="E291" s="333">
        <v>201612</v>
      </c>
      <c r="F291" s="334">
        <v>15.96</v>
      </c>
      <c r="G291" s="521">
        <f t="shared" si="20"/>
        <v>4.5</v>
      </c>
      <c r="H291" s="336">
        <v>1.3083000000000001E-3</v>
      </c>
      <c r="I291" s="523">
        <f t="shared" si="21"/>
        <v>0.09</v>
      </c>
      <c r="J291" s="448">
        <f t="shared" si="22"/>
        <v>0.25</v>
      </c>
      <c r="Q291" s="101">
        <f t="shared" si="19"/>
        <v>2017</v>
      </c>
    </row>
    <row r="292" spans="1:17" ht="15">
      <c r="A292" s="332" t="s">
        <v>318</v>
      </c>
      <c r="B292" s="333" t="s">
        <v>1012</v>
      </c>
      <c r="C292" s="424" t="s">
        <v>331</v>
      </c>
      <c r="D292" s="332" t="s">
        <v>1013</v>
      </c>
      <c r="E292" s="333">
        <v>201612</v>
      </c>
      <c r="F292" s="334">
        <v>-3.32</v>
      </c>
      <c r="G292" s="521">
        <f t="shared" si="20"/>
        <v>4.5</v>
      </c>
      <c r="H292" s="336">
        <v>1.3083000000000001E-3</v>
      </c>
      <c r="I292" s="523">
        <f t="shared" si="21"/>
        <v>-0.02</v>
      </c>
      <c r="J292" s="448">
        <f t="shared" si="22"/>
        <v>-0.05</v>
      </c>
      <c r="Q292" s="101">
        <f t="shared" si="19"/>
        <v>2017</v>
      </c>
    </row>
    <row r="293" spans="1:17">
      <c r="A293" s="332" t="s">
        <v>318</v>
      </c>
      <c r="B293" s="333" t="s">
        <v>1012</v>
      </c>
      <c r="C293" s="423" t="s">
        <v>331</v>
      </c>
      <c r="D293" s="332" t="s">
        <v>1013</v>
      </c>
      <c r="E293" s="333">
        <v>201612</v>
      </c>
      <c r="F293" s="334">
        <v>-0.25</v>
      </c>
      <c r="G293" s="521">
        <f t="shared" si="20"/>
        <v>4.5</v>
      </c>
      <c r="H293" s="336">
        <v>1.3083000000000001E-3</v>
      </c>
      <c r="I293" s="523">
        <f t="shared" si="21"/>
        <v>0</v>
      </c>
      <c r="J293" s="448">
        <f t="shared" si="22"/>
        <v>0</v>
      </c>
      <c r="Q293" s="101">
        <f t="shared" si="19"/>
        <v>2017</v>
      </c>
    </row>
    <row r="294" spans="1:17">
      <c r="A294" s="332" t="s">
        <v>318</v>
      </c>
      <c r="B294" s="333" t="s">
        <v>1073</v>
      </c>
      <c r="C294" s="423" t="s">
        <v>331</v>
      </c>
      <c r="D294" s="332" t="s">
        <v>1074</v>
      </c>
      <c r="E294" s="333">
        <v>201612</v>
      </c>
      <c r="F294" s="334">
        <v>62.58</v>
      </c>
      <c r="G294" s="521">
        <f t="shared" si="20"/>
        <v>4.5</v>
      </c>
      <c r="H294" s="336">
        <v>1.3083000000000001E-3</v>
      </c>
      <c r="I294" s="523">
        <f t="shared" si="21"/>
        <v>0.37</v>
      </c>
      <c r="J294" s="448">
        <f t="shared" si="22"/>
        <v>0.98</v>
      </c>
      <c r="Q294" s="101">
        <f t="shared" si="19"/>
        <v>2017</v>
      </c>
    </row>
    <row r="295" spans="1:17">
      <c r="A295" s="332" t="s">
        <v>318</v>
      </c>
      <c r="B295" s="333" t="s">
        <v>1073</v>
      </c>
      <c r="C295" s="423" t="s">
        <v>331</v>
      </c>
      <c r="D295" s="332" t="s">
        <v>1074</v>
      </c>
      <c r="E295" s="333">
        <v>201612</v>
      </c>
      <c r="F295" s="334">
        <v>652.44000000000005</v>
      </c>
      <c r="G295" s="521">
        <f t="shared" si="20"/>
        <v>4.5</v>
      </c>
      <c r="H295" s="336">
        <v>1.3083000000000001E-3</v>
      </c>
      <c r="I295" s="523">
        <f t="shared" si="21"/>
        <v>3.84</v>
      </c>
      <c r="J295" s="448">
        <f t="shared" si="22"/>
        <v>10.24</v>
      </c>
      <c r="Q295" s="101">
        <f t="shared" si="19"/>
        <v>2017</v>
      </c>
    </row>
    <row r="296" spans="1:17">
      <c r="A296" s="332" t="s">
        <v>318</v>
      </c>
      <c r="B296" s="333" t="s">
        <v>1049</v>
      </c>
      <c r="C296" s="423" t="s">
        <v>330</v>
      </c>
      <c r="D296" s="332" t="s">
        <v>1050</v>
      </c>
      <c r="E296" s="333">
        <v>201612</v>
      </c>
      <c r="F296" s="334">
        <v>37.799999999999997</v>
      </c>
      <c r="G296" s="521">
        <f t="shared" si="20"/>
        <v>4.5</v>
      </c>
      <c r="H296" s="336">
        <v>1.3083000000000001E-3</v>
      </c>
      <c r="I296" s="523">
        <f t="shared" si="21"/>
        <v>0.22</v>
      </c>
      <c r="J296" s="448">
        <f t="shared" si="22"/>
        <v>0.59</v>
      </c>
      <c r="Q296" s="101">
        <f t="shared" si="19"/>
        <v>2017</v>
      </c>
    </row>
    <row r="297" spans="1:17" ht="15">
      <c r="A297" s="332" t="s">
        <v>318</v>
      </c>
      <c r="B297" s="333" t="s">
        <v>1049</v>
      </c>
      <c r="C297" s="424" t="s">
        <v>330</v>
      </c>
      <c r="D297" s="332" t="s">
        <v>1050</v>
      </c>
      <c r="E297" s="333">
        <v>201612</v>
      </c>
      <c r="F297" s="334">
        <v>1001.61</v>
      </c>
      <c r="G297" s="521">
        <f t="shared" si="20"/>
        <v>4.5</v>
      </c>
      <c r="H297" s="336">
        <v>1.3083000000000001E-3</v>
      </c>
      <c r="I297" s="523">
        <f t="shared" si="21"/>
        <v>5.9</v>
      </c>
      <c r="J297" s="448">
        <f t="shared" si="22"/>
        <v>15.72</v>
      </c>
      <c r="Q297" s="101">
        <f t="shared" si="19"/>
        <v>2017</v>
      </c>
    </row>
    <row r="298" spans="1:17" ht="15">
      <c r="A298" s="332" t="s">
        <v>318</v>
      </c>
      <c r="B298" s="333" t="s">
        <v>1077</v>
      </c>
      <c r="C298" s="424" t="s">
        <v>330</v>
      </c>
      <c r="D298" s="332" t="s">
        <v>1078</v>
      </c>
      <c r="E298" s="333">
        <v>201612</v>
      </c>
      <c r="F298" s="334">
        <v>152.69</v>
      </c>
      <c r="G298" s="521">
        <f t="shared" si="20"/>
        <v>4.5</v>
      </c>
      <c r="H298" s="336">
        <v>1.3083000000000001E-3</v>
      </c>
      <c r="I298" s="523">
        <f t="shared" si="21"/>
        <v>0.9</v>
      </c>
      <c r="J298" s="448">
        <f t="shared" si="22"/>
        <v>2.4</v>
      </c>
      <c r="Q298" s="101">
        <f t="shared" si="19"/>
        <v>2017</v>
      </c>
    </row>
    <row r="299" spans="1:17" ht="15">
      <c r="A299" s="332" t="s">
        <v>318</v>
      </c>
      <c r="B299" s="333" t="s">
        <v>1077</v>
      </c>
      <c r="C299" s="424" t="s">
        <v>330</v>
      </c>
      <c r="D299" s="332" t="s">
        <v>1078</v>
      </c>
      <c r="E299" s="333">
        <v>201612</v>
      </c>
      <c r="F299" s="334">
        <v>1721.22</v>
      </c>
      <c r="G299" s="521">
        <f t="shared" si="20"/>
        <v>4.5</v>
      </c>
      <c r="H299" s="336">
        <v>1.3083000000000001E-3</v>
      </c>
      <c r="I299" s="523">
        <f t="shared" si="21"/>
        <v>10.130000000000001</v>
      </c>
      <c r="J299" s="448">
        <f t="shared" si="22"/>
        <v>27.02</v>
      </c>
      <c r="Q299" s="101">
        <f t="shared" si="19"/>
        <v>2017</v>
      </c>
    </row>
    <row r="300" spans="1:17" ht="15">
      <c r="A300" s="332" t="s">
        <v>318</v>
      </c>
      <c r="B300" s="333" t="s">
        <v>1079</v>
      </c>
      <c r="C300" s="424" t="s">
        <v>330</v>
      </c>
      <c r="D300" s="332" t="s">
        <v>1080</v>
      </c>
      <c r="E300" s="333">
        <v>201612</v>
      </c>
      <c r="F300" s="334">
        <v>127.1</v>
      </c>
      <c r="G300" s="521">
        <f t="shared" si="20"/>
        <v>4.5</v>
      </c>
      <c r="H300" s="336">
        <v>1.3083000000000001E-3</v>
      </c>
      <c r="I300" s="523">
        <f t="shared" si="21"/>
        <v>0.75</v>
      </c>
      <c r="J300" s="448">
        <f t="shared" si="22"/>
        <v>2</v>
      </c>
      <c r="Q300" s="101">
        <f t="shared" si="19"/>
        <v>2017</v>
      </c>
    </row>
    <row r="301" spans="1:17" ht="15">
      <c r="A301" s="332" t="s">
        <v>318</v>
      </c>
      <c r="B301" s="333" t="s">
        <v>1079</v>
      </c>
      <c r="C301" s="424" t="s">
        <v>330</v>
      </c>
      <c r="D301" s="332" t="s">
        <v>1080</v>
      </c>
      <c r="E301" s="333">
        <v>201612</v>
      </c>
      <c r="F301" s="334">
        <v>1896.27</v>
      </c>
      <c r="G301" s="521">
        <f t="shared" si="20"/>
        <v>4.5</v>
      </c>
      <c r="H301" s="336">
        <v>1.3083000000000001E-3</v>
      </c>
      <c r="I301" s="523">
        <f t="shared" si="21"/>
        <v>11.16</v>
      </c>
      <c r="J301" s="448">
        <f t="shared" si="22"/>
        <v>29.77</v>
      </c>
      <c r="Q301" s="101">
        <f t="shared" si="19"/>
        <v>2017</v>
      </c>
    </row>
    <row r="302" spans="1:17" ht="15">
      <c r="A302" s="332" t="s">
        <v>318</v>
      </c>
      <c r="B302" s="333" t="s">
        <v>1118</v>
      </c>
      <c r="C302" s="424" t="s">
        <v>330</v>
      </c>
      <c r="D302" s="332" t="s">
        <v>1119</v>
      </c>
      <c r="E302" s="333">
        <v>201612</v>
      </c>
      <c r="F302" s="334">
        <v>1314.1</v>
      </c>
      <c r="G302" s="521">
        <f t="shared" si="20"/>
        <v>4.5</v>
      </c>
      <c r="H302" s="336">
        <v>1.3083000000000001E-3</v>
      </c>
      <c r="I302" s="523">
        <f t="shared" si="21"/>
        <v>7.74</v>
      </c>
      <c r="J302" s="448">
        <f t="shared" si="22"/>
        <v>20.63</v>
      </c>
      <c r="Q302" s="101">
        <f t="shared" si="19"/>
        <v>2017</v>
      </c>
    </row>
    <row r="303" spans="1:17">
      <c r="A303" s="332" t="s">
        <v>318</v>
      </c>
      <c r="B303" s="333" t="s">
        <v>1118</v>
      </c>
      <c r="C303" s="423" t="s">
        <v>330</v>
      </c>
      <c r="D303" s="332" t="s">
        <v>1119</v>
      </c>
      <c r="E303" s="333">
        <v>201612</v>
      </c>
      <c r="F303" s="334">
        <v>32365.71</v>
      </c>
      <c r="G303" s="521">
        <f t="shared" si="20"/>
        <v>4.5</v>
      </c>
      <c r="H303" s="336">
        <v>1.3083000000000001E-3</v>
      </c>
      <c r="I303" s="523">
        <f t="shared" si="21"/>
        <v>190.55</v>
      </c>
      <c r="J303" s="448">
        <f t="shared" si="22"/>
        <v>508.13</v>
      </c>
      <c r="Q303" s="101">
        <f t="shared" si="19"/>
        <v>2017</v>
      </c>
    </row>
    <row r="304" spans="1:17">
      <c r="A304" s="332" t="s">
        <v>318</v>
      </c>
      <c r="B304" s="333" t="s">
        <v>1120</v>
      </c>
      <c r="C304" s="423" t="s">
        <v>330</v>
      </c>
      <c r="D304" s="332" t="s">
        <v>1121</v>
      </c>
      <c r="E304" s="333">
        <v>201612</v>
      </c>
      <c r="F304" s="334">
        <v>10790.88</v>
      </c>
      <c r="G304" s="521">
        <f t="shared" si="20"/>
        <v>4.5</v>
      </c>
      <c r="H304" s="336">
        <v>1.3083000000000001E-3</v>
      </c>
      <c r="I304" s="523">
        <f t="shared" si="21"/>
        <v>63.53</v>
      </c>
      <c r="J304" s="448">
        <f t="shared" si="22"/>
        <v>169.41</v>
      </c>
      <c r="Q304" s="101">
        <f t="shared" si="19"/>
        <v>2017</v>
      </c>
    </row>
    <row r="305" spans="1:17" ht="15">
      <c r="A305" s="332" t="s">
        <v>318</v>
      </c>
      <c r="B305" s="333" t="s">
        <v>1120</v>
      </c>
      <c r="C305" s="424" t="s">
        <v>330</v>
      </c>
      <c r="D305" s="332" t="s">
        <v>1121</v>
      </c>
      <c r="E305" s="333">
        <v>201612</v>
      </c>
      <c r="F305" s="334">
        <v>44537.57</v>
      </c>
      <c r="G305" s="521">
        <f t="shared" si="20"/>
        <v>4.5</v>
      </c>
      <c r="H305" s="336">
        <v>1.3083000000000001E-3</v>
      </c>
      <c r="I305" s="523">
        <f t="shared" si="21"/>
        <v>262.20999999999998</v>
      </c>
      <c r="J305" s="448">
        <f t="shared" si="22"/>
        <v>699.22</v>
      </c>
      <c r="Q305" s="101">
        <f t="shared" si="19"/>
        <v>2017</v>
      </c>
    </row>
    <row r="306" spans="1:17" s="559" customFormat="1" ht="15">
      <c r="A306" s="808" t="s">
        <v>318</v>
      </c>
      <c r="B306" s="808" t="s">
        <v>320</v>
      </c>
      <c r="C306" s="805" t="s">
        <v>319</v>
      </c>
      <c r="D306" s="808" t="s">
        <v>321</v>
      </c>
      <c r="E306" s="809">
        <v>201701</v>
      </c>
      <c r="F306" s="810">
        <v>4137.13</v>
      </c>
      <c r="G306" s="521">
        <f t="shared" si="20"/>
        <v>3.5</v>
      </c>
      <c r="H306" s="806">
        <v>1.3083000000000001E-3</v>
      </c>
      <c r="I306" s="523">
        <f t="shared" ref="I306:I369" si="23">ROUND(F306*G306*H306,2)</f>
        <v>18.940000000000001</v>
      </c>
      <c r="J306" s="448">
        <f t="shared" ref="J306:J369" si="24">ROUND(F306*H306*12,2)</f>
        <v>64.95</v>
      </c>
      <c r="Q306" s="559">
        <f t="shared" si="19"/>
        <v>2017</v>
      </c>
    </row>
    <row r="307" spans="1:17" s="559" customFormat="1" ht="15">
      <c r="A307" s="808" t="s">
        <v>318</v>
      </c>
      <c r="B307" s="808" t="s">
        <v>323</v>
      </c>
      <c r="C307" s="805" t="s">
        <v>319</v>
      </c>
      <c r="D307" s="808" t="s">
        <v>324</v>
      </c>
      <c r="E307" s="809">
        <v>201701</v>
      </c>
      <c r="F307" s="810">
        <v>315.85000000000002</v>
      </c>
      <c r="G307" s="521">
        <f t="shared" si="20"/>
        <v>3.5</v>
      </c>
      <c r="H307" s="806">
        <v>1.3083000000000001E-3</v>
      </c>
      <c r="I307" s="523">
        <f t="shared" si="23"/>
        <v>1.45</v>
      </c>
      <c r="J307" s="448">
        <f t="shared" si="24"/>
        <v>4.96</v>
      </c>
      <c r="Q307" s="559">
        <f t="shared" si="19"/>
        <v>2017</v>
      </c>
    </row>
    <row r="308" spans="1:17" s="559" customFormat="1" ht="15">
      <c r="A308" s="808" t="s">
        <v>322</v>
      </c>
      <c r="B308" s="808" t="s">
        <v>325</v>
      </c>
      <c r="C308" s="805" t="s">
        <v>319</v>
      </c>
      <c r="D308" s="808" t="s">
        <v>326</v>
      </c>
      <c r="E308" s="809">
        <v>201701</v>
      </c>
      <c r="F308" s="810">
        <v>1053.44</v>
      </c>
      <c r="G308" s="521">
        <f t="shared" si="20"/>
        <v>3.5</v>
      </c>
      <c r="H308" s="807">
        <v>1.1999999999999999E-3</v>
      </c>
      <c r="I308" s="523">
        <f t="shared" si="23"/>
        <v>4.42</v>
      </c>
      <c r="J308" s="448">
        <f t="shared" si="24"/>
        <v>15.17</v>
      </c>
      <c r="Q308" s="559">
        <f t="shared" si="19"/>
        <v>2017</v>
      </c>
    </row>
    <row r="309" spans="1:17" s="559" customFormat="1" ht="15">
      <c r="A309" s="808" t="s">
        <v>318</v>
      </c>
      <c r="B309" s="808" t="s">
        <v>327</v>
      </c>
      <c r="C309" s="805" t="s">
        <v>319</v>
      </c>
      <c r="D309" s="808" t="s">
        <v>328</v>
      </c>
      <c r="E309" s="809">
        <v>201701</v>
      </c>
      <c r="F309" s="810">
        <v>30867.37</v>
      </c>
      <c r="G309" s="521">
        <f t="shared" si="20"/>
        <v>3.5</v>
      </c>
      <c r="H309" s="806">
        <v>1.3083000000000001E-3</v>
      </c>
      <c r="I309" s="523">
        <f t="shared" si="23"/>
        <v>141.34</v>
      </c>
      <c r="J309" s="448">
        <f t="shared" si="24"/>
        <v>484.61</v>
      </c>
      <c r="Q309" s="559">
        <f t="shared" si="19"/>
        <v>2017</v>
      </c>
    </row>
    <row r="310" spans="1:17" s="559" customFormat="1" ht="15">
      <c r="A310" s="808" t="s">
        <v>318</v>
      </c>
      <c r="B310" s="808" t="s">
        <v>941</v>
      </c>
      <c r="C310" s="805" t="s">
        <v>330</v>
      </c>
      <c r="D310" s="808" t="s">
        <v>942</v>
      </c>
      <c r="E310" s="809">
        <v>201701</v>
      </c>
      <c r="F310" s="810">
        <v>-9.17</v>
      </c>
      <c r="G310" s="521">
        <f t="shared" si="20"/>
        <v>3.5</v>
      </c>
      <c r="H310" s="806">
        <v>1.3083000000000001E-3</v>
      </c>
      <c r="I310" s="523">
        <f t="shared" si="23"/>
        <v>-0.04</v>
      </c>
      <c r="J310" s="448">
        <f t="shared" si="24"/>
        <v>-0.14000000000000001</v>
      </c>
      <c r="Q310" s="559">
        <f t="shared" si="19"/>
        <v>2017</v>
      </c>
    </row>
    <row r="311" spans="1:17" s="559" customFormat="1" ht="15">
      <c r="A311" s="808" t="s">
        <v>318</v>
      </c>
      <c r="B311" s="808" t="s">
        <v>941</v>
      </c>
      <c r="C311" s="805" t="s">
        <v>330</v>
      </c>
      <c r="D311" s="808" t="s">
        <v>942</v>
      </c>
      <c r="E311" s="809">
        <v>201701</v>
      </c>
      <c r="F311" s="810">
        <v>-0.63</v>
      </c>
      <c r="G311" s="521">
        <f t="shared" si="20"/>
        <v>3.5</v>
      </c>
      <c r="H311" s="806">
        <v>1.3083000000000001E-3</v>
      </c>
      <c r="I311" s="523">
        <f t="shared" si="23"/>
        <v>0</v>
      </c>
      <c r="J311" s="448">
        <f t="shared" si="24"/>
        <v>-0.01</v>
      </c>
      <c r="Q311" s="559">
        <f t="shared" si="19"/>
        <v>2017</v>
      </c>
    </row>
    <row r="312" spans="1:17" s="559" customFormat="1" ht="15">
      <c r="A312" s="808" t="s">
        <v>318</v>
      </c>
      <c r="B312" s="808" t="s">
        <v>856</v>
      </c>
      <c r="C312" s="805" t="s">
        <v>330</v>
      </c>
      <c r="D312" s="808" t="s">
        <v>857</v>
      </c>
      <c r="E312" s="809">
        <v>201701</v>
      </c>
      <c r="F312" s="810">
        <v>-4257.01</v>
      </c>
      <c r="G312" s="521">
        <f t="shared" si="20"/>
        <v>3.5</v>
      </c>
      <c r="H312" s="806">
        <v>1.3083000000000001E-3</v>
      </c>
      <c r="I312" s="523">
        <f t="shared" si="23"/>
        <v>-19.489999999999998</v>
      </c>
      <c r="J312" s="448">
        <f t="shared" si="24"/>
        <v>-66.83</v>
      </c>
      <c r="Q312" s="559">
        <f t="shared" si="19"/>
        <v>2017</v>
      </c>
    </row>
    <row r="313" spans="1:17" s="559" customFormat="1" ht="15">
      <c r="A313" s="808" t="s">
        <v>318</v>
      </c>
      <c r="B313" s="808" t="s">
        <v>856</v>
      </c>
      <c r="C313" s="805" t="s">
        <v>330</v>
      </c>
      <c r="D313" s="808" t="s">
        <v>857</v>
      </c>
      <c r="E313" s="809">
        <v>201701</v>
      </c>
      <c r="F313" s="810">
        <v>-236.97</v>
      </c>
      <c r="G313" s="521">
        <f t="shared" si="20"/>
        <v>3.5</v>
      </c>
      <c r="H313" s="806">
        <v>1.3083000000000001E-3</v>
      </c>
      <c r="I313" s="523">
        <f t="shared" si="23"/>
        <v>-1.0900000000000001</v>
      </c>
      <c r="J313" s="448">
        <f t="shared" si="24"/>
        <v>-3.72</v>
      </c>
      <c r="Q313" s="559">
        <f t="shared" ref="Q313:Q376" si="25">IF(E313&lt;=$Q$1,$S$5,$S$6)</f>
        <v>2017</v>
      </c>
    </row>
    <row r="314" spans="1:17" s="559" customFormat="1" ht="15">
      <c r="A314" s="808" t="s">
        <v>318</v>
      </c>
      <c r="B314" s="808" t="s">
        <v>800</v>
      </c>
      <c r="C314" s="805" t="s">
        <v>330</v>
      </c>
      <c r="D314" s="808" t="s">
        <v>830</v>
      </c>
      <c r="E314" s="809">
        <v>201701</v>
      </c>
      <c r="F314" s="810">
        <v>-212.3</v>
      </c>
      <c r="G314" s="521">
        <f t="shared" si="20"/>
        <v>3.5</v>
      </c>
      <c r="H314" s="806">
        <v>1.3083000000000001E-3</v>
      </c>
      <c r="I314" s="523">
        <f t="shared" si="23"/>
        <v>-0.97</v>
      </c>
      <c r="J314" s="448">
        <f t="shared" si="24"/>
        <v>-3.33</v>
      </c>
      <c r="Q314" s="559">
        <f t="shared" si="25"/>
        <v>2017</v>
      </c>
    </row>
    <row r="315" spans="1:17" s="559" customFormat="1" ht="15">
      <c r="A315" s="808" t="s">
        <v>318</v>
      </c>
      <c r="B315" s="808" t="s">
        <v>800</v>
      </c>
      <c r="C315" s="805" t="s">
        <v>330</v>
      </c>
      <c r="D315" s="808" t="s">
        <v>830</v>
      </c>
      <c r="E315" s="809">
        <v>201701</v>
      </c>
      <c r="F315" s="810">
        <v>-15.59</v>
      </c>
      <c r="G315" s="521">
        <f t="shared" si="20"/>
        <v>3.5</v>
      </c>
      <c r="H315" s="806">
        <v>1.3083000000000001E-3</v>
      </c>
      <c r="I315" s="523">
        <f t="shared" si="23"/>
        <v>-7.0000000000000007E-2</v>
      </c>
      <c r="J315" s="448">
        <f t="shared" si="24"/>
        <v>-0.24</v>
      </c>
      <c r="Q315" s="559">
        <f t="shared" si="25"/>
        <v>2017</v>
      </c>
    </row>
    <row r="316" spans="1:17" s="559" customFormat="1" ht="15">
      <c r="A316" s="808" t="s">
        <v>318</v>
      </c>
      <c r="B316" s="808" t="s">
        <v>629</v>
      </c>
      <c r="C316" s="805" t="s">
        <v>330</v>
      </c>
      <c r="D316" s="808" t="s">
        <v>630</v>
      </c>
      <c r="E316" s="809">
        <v>201701</v>
      </c>
      <c r="F316" s="810">
        <v>0.38</v>
      </c>
      <c r="G316" s="521">
        <f t="shared" si="20"/>
        <v>3.5</v>
      </c>
      <c r="H316" s="806">
        <v>1.3083000000000001E-3</v>
      </c>
      <c r="I316" s="523">
        <f t="shared" si="23"/>
        <v>0</v>
      </c>
      <c r="J316" s="448">
        <f t="shared" si="24"/>
        <v>0.01</v>
      </c>
      <c r="Q316" s="559">
        <f t="shared" si="25"/>
        <v>2017</v>
      </c>
    </row>
    <row r="317" spans="1:17" s="559" customFormat="1" ht="15">
      <c r="A317" s="808" t="s">
        <v>318</v>
      </c>
      <c r="B317" s="808" t="s">
        <v>629</v>
      </c>
      <c r="C317" s="805" t="s">
        <v>330</v>
      </c>
      <c r="D317" s="808" t="s">
        <v>630</v>
      </c>
      <c r="E317" s="809">
        <v>201701</v>
      </c>
      <c r="F317" s="810">
        <v>23.01</v>
      </c>
      <c r="G317" s="521">
        <f t="shared" si="20"/>
        <v>3.5</v>
      </c>
      <c r="H317" s="806">
        <v>1.3083000000000001E-3</v>
      </c>
      <c r="I317" s="523">
        <f t="shared" si="23"/>
        <v>0.11</v>
      </c>
      <c r="J317" s="448">
        <f t="shared" si="24"/>
        <v>0.36</v>
      </c>
      <c r="Q317" s="559">
        <f t="shared" si="25"/>
        <v>2017</v>
      </c>
    </row>
    <row r="318" spans="1:17" s="559" customFormat="1" ht="15">
      <c r="A318" s="808" t="s">
        <v>318</v>
      </c>
      <c r="B318" s="808" t="s">
        <v>838</v>
      </c>
      <c r="C318" s="805" t="s">
        <v>330</v>
      </c>
      <c r="D318" s="808" t="s">
        <v>1015</v>
      </c>
      <c r="E318" s="809">
        <v>201701</v>
      </c>
      <c r="F318" s="810">
        <v>0.05</v>
      </c>
      <c r="G318" s="521">
        <f t="shared" si="20"/>
        <v>3.5</v>
      </c>
      <c r="H318" s="806">
        <v>1.3083000000000001E-3</v>
      </c>
      <c r="I318" s="523">
        <f t="shared" si="23"/>
        <v>0</v>
      </c>
      <c r="J318" s="448">
        <f t="shared" si="24"/>
        <v>0</v>
      </c>
      <c r="Q318" s="559">
        <f t="shared" si="25"/>
        <v>2017</v>
      </c>
    </row>
    <row r="319" spans="1:17" s="559" customFormat="1" ht="15">
      <c r="A319" s="808" t="s">
        <v>318</v>
      </c>
      <c r="B319" s="808" t="s">
        <v>838</v>
      </c>
      <c r="C319" s="805" t="s">
        <v>330</v>
      </c>
      <c r="D319" s="808" t="s">
        <v>1015</v>
      </c>
      <c r="E319" s="809">
        <v>201701</v>
      </c>
      <c r="F319" s="810">
        <v>0.12</v>
      </c>
      <c r="G319" s="521">
        <f t="shared" si="20"/>
        <v>3.5</v>
      </c>
      <c r="H319" s="806">
        <v>1.3083000000000001E-3</v>
      </c>
      <c r="I319" s="523">
        <f t="shared" si="23"/>
        <v>0</v>
      </c>
      <c r="J319" s="448">
        <f t="shared" si="24"/>
        <v>0</v>
      </c>
      <c r="Q319" s="559">
        <f t="shared" si="25"/>
        <v>2017</v>
      </c>
    </row>
    <row r="320" spans="1:17" s="559" customFormat="1" ht="15">
      <c r="A320" s="808" t="s">
        <v>318</v>
      </c>
      <c r="B320" s="808" t="s">
        <v>661</v>
      </c>
      <c r="C320" s="805" t="s">
        <v>330</v>
      </c>
      <c r="D320" s="808" t="s">
        <v>662</v>
      </c>
      <c r="E320" s="809">
        <v>201701</v>
      </c>
      <c r="F320" s="810">
        <v>0.05</v>
      </c>
      <c r="G320" s="521">
        <f t="shared" si="20"/>
        <v>3.5</v>
      </c>
      <c r="H320" s="806">
        <v>1.3083000000000001E-3</v>
      </c>
      <c r="I320" s="523">
        <f t="shared" si="23"/>
        <v>0</v>
      </c>
      <c r="J320" s="448">
        <f t="shared" si="24"/>
        <v>0</v>
      </c>
      <c r="Q320" s="559">
        <f t="shared" si="25"/>
        <v>2017</v>
      </c>
    </row>
    <row r="321" spans="1:17" s="559" customFormat="1" ht="15">
      <c r="A321" s="808" t="s">
        <v>318</v>
      </c>
      <c r="B321" s="808" t="s">
        <v>661</v>
      </c>
      <c r="C321" s="805" t="s">
        <v>330</v>
      </c>
      <c r="D321" s="808" t="s">
        <v>662</v>
      </c>
      <c r="E321" s="809">
        <v>201701</v>
      </c>
      <c r="F321" s="810">
        <v>0.96</v>
      </c>
      <c r="G321" s="521">
        <f t="shared" si="20"/>
        <v>3.5</v>
      </c>
      <c r="H321" s="806">
        <v>1.3083000000000001E-3</v>
      </c>
      <c r="I321" s="523">
        <f t="shared" si="23"/>
        <v>0</v>
      </c>
      <c r="J321" s="448">
        <f t="shared" si="24"/>
        <v>0.02</v>
      </c>
      <c r="Q321" s="559">
        <f t="shared" si="25"/>
        <v>2017</v>
      </c>
    </row>
    <row r="322" spans="1:17" s="559" customFormat="1" ht="15">
      <c r="A322" s="808" t="s">
        <v>318</v>
      </c>
      <c r="B322" s="808" t="s">
        <v>801</v>
      </c>
      <c r="C322" s="805" t="s">
        <v>330</v>
      </c>
      <c r="D322" s="808" t="s">
        <v>802</v>
      </c>
      <c r="E322" s="809">
        <v>201701</v>
      </c>
      <c r="F322" s="810">
        <v>0.03</v>
      </c>
      <c r="G322" s="521">
        <f t="shared" si="20"/>
        <v>3.5</v>
      </c>
      <c r="H322" s="806">
        <v>1.3083000000000001E-3</v>
      </c>
      <c r="I322" s="523">
        <f t="shared" si="23"/>
        <v>0</v>
      </c>
      <c r="J322" s="448">
        <f t="shared" si="24"/>
        <v>0</v>
      </c>
      <c r="Q322" s="559">
        <f t="shared" si="25"/>
        <v>2017</v>
      </c>
    </row>
    <row r="323" spans="1:17" s="559" customFormat="1" ht="15">
      <c r="A323" s="808" t="s">
        <v>318</v>
      </c>
      <c r="B323" s="808" t="s">
        <v>801</v>
      </c>
      <c r="C323" s="805" t="s">
        <v>330</v>
      </c>
      <c r="D323" s="808" t="s">
        <v>802</v>
      </c>
      <c r="E323" s="809">
        <v>201701</v>
      </c>
      <c r="F323" s="810">
        <v>0.65</v>
      </c>
      <c r="G323" s="521">
        <f t="shared" si="20"/>
        <v>3.5</v>
      </c>
      <c r="H323" s="806">
        <v>1.3083000000000001E-3</v>
      </c>
      <c r="I323" s="523">
        <f t="shared" si="23"/>
        <v>0</v>
      </c>
      <c r="J323" s="448">
        <f t="shared" si="24"/>
        <v>0.01</v>
      </c>
      <c r="Q323" s="559">
        <f t="shared" si="25"/>
        <v>2017</v>
      </c>
    </row>
    <row r="324" spans="1:17" s="559" customFormat="1" ht="15">
      <c r="A324" s="808" t="s">
        <v>318</v>
      </c>
      <c r="B324" s="808" t="s">
        <v>803</v>
      </c>
      <c r="C324" s="805" t="s">
        <v>330</v>
      </c>
      <c r="D324" s="808" t="s">
        <v>804</v>
      </c>
      <c r="E324" s="809">
        <v>201701</v>
      </c>
      <c r="F324" s="810">
        <v>0.23</v>
      </c>
      <c r="G324" s="521">
        <f t="shared" si="20"/>
        <v>3.5</v>
      </c>
      <c r="H324" s="806">
        <v>1.3083000000000001E-3</v>
      </c>
      <c r="I324" s="523">
        <f t="shared" si="23"/>
        <v>0</v>
      </c>
      <c r="J324" s="448">
        <f t="shared" si="24"/>
        <v>0</v>
      </c>
      <c r="Q324" s="559">
        <f t="shared" si="25"/>
        <v>2017</v>
      </c>
    </row>
    <row r="325" spans="1:17" s="559" customFormat="1" ht="15">
      <c r="A325" s="808" t="s">
        <v>318</v>
      </c>
      <c r="B325" s="808" t="s">
        <v>803</v>
      </c>
      <c r="C325" s="805" t="s">
        <v>330</v>
      </c>
      <c r="D325" s="808" t="s">
        <v>804</v>
      </c>
      <c r="E325" s="809">
        <v>201701</v>
      </c>
      <c r="F325" s="810">
        <v>2.81</v>
      </c>
      <c r="G325" s="521">
        <f t="shared" si="20"/>
        <v>3.5</v>
      </c>
      <c r="H325" s="806">
        <v>1.3083000000000001E-3</v>
      </c>
      <c r="I325" s="523">
        <f t="shared" si="23"/>
        <v>0.01</v>
      </c>
      <c r="J325" s="448">
        <f t="shared" si="24"/>
        <v>0.04</v>
      </c>
      <c r="Q325" s="559">
        <f t="shared" si="25"/>
        <v>2017</v>
      </c>
    </row>
    <row r="326" spans="1:17" s="559" customFormat="1" ht="15">
      <c r="A326" s="808" t="s">
        <v>318</v>
      </c>
      <c r="B326" s="808" t="s">
        <v>805</v>
      </c>
      <c r="C326" s="805" t="s">
        <v>330</v>
      </c>
      <c r="D326" s="808" t="s">
        <v>806</v>
      </c>
      <c r="E326" s="809">
        <v>201701</v>
      </c>
      <c r="F326" s="810">
        <v>-0.08</v>
      </c>
      <c r="G326" s="521">
        <f t="shared" si="20"/>
        <v>3.5</v>
      </c>
      <c r="H326" s="806">
        <v>1.3083000000000001E-3</v>
      </c>
      <c r="I326" s="523">
        <f t="shared" si="23"/>
        <v>0</v>
      </c>
      <c r="J326" s="448">
        <f t="shared" si="24"/>
        <v>0</v>
      </c>
      <c r="Q326" s="559">
        <f t="shared" si="25"/>
        <v>2017</v>
      </c>
    </row>
    <row r="327" spans="1:17" s="559" customFormat="1" ht="15">
      <c r="A327" s="808" t="s">
        <v>318</v>
      </c>
      <c r="B327" s="808" t="s">
        <v>805</v>
      </c>
      <c r="C327" s="805" t="s">
        <v>330</v>
      </c>
      <c r="D327" s="808" t="s">
        <v>806</v>
      </c>
      <c r="E327" s="809">
        <v>201701</v>
      </c>
      <c r="F327" s="810">
        <v>-0.01</v>
      </c>
      <c r="G327" s="521">
        <f t="shared" si="20"/>
        <v>3.5</v>
      </c>
      <c r="H327" s="806">
        <v>1.3083000000000001E-3</v>
      </c>
      <c r="I327" s="523">
        <f t="shared" si="23"/>
        <v>0</v>
      </c>
      <c r="J327" s="448">
        <f t="shared" si="24"/>
        <v>0</v>
      </c>
      <c r="Q327" s="559">
        <f t="shared" si="25"/>
        <v>2017</v>
      </c>
    </row>
    <row r="328" spans="1:17" s="559" customFormat="1" ht="15">
      <c r="A328" s="808" t="s">
        <v>318</v>
      </c>
      <c r="B328" s="808" t="s">
        <v>1067</v>
      </c>
      <c r="C328" s="805" t="s">
        <v>330</v>
      </c>
      <c r="D328" s="808" t="s">
        <v>1068</v>
      </c>
      <c r="E328" s="809">
        <v>201701</v>
      </c>
      <c r="F328" s="810">
        <v>11.07</v>
      </c>
      <c r="G328" s="521">
        <f t="shared" si="20"/>
        <v>3.5</v>
      </c>
      <c r="H328" s="806">
        <v>1.3083000000000001E-3</v>
      </c>
      <c r="I328" s="523">
        <f t="shared" si="23"/>
        <v>0.05</v>
      </c>
      <c r="J328" s="448">
        <f t="shared" si="24"/>
        <v>0.17</v>
      </c>
      <c r="Q328" s="559">
        <f t="shared" si="25"/>
        <v>2017</v>
      </c>
    </row>
    <row r="329" spans="1:17" s="559" customFormat="1" ht="15">
      <c r="A329" s="808" t="s">
        <v>318</v>
      </c>
      <c r="B329" s="808" t="s">
        <v>1067</v>
      </c>
      <c r="C329" s="805" t="s">
        <v>330</v>
      </c>
      <c r="D329" s="808" t="s">
        <v>1068</v>
      </c>
      <c r="E329" s="809">
        <v>201701</v>
      </c>
      <c r="F329" s="810">
        <v>512.19000000000005</v>
      </c>
      <c r="G329" s="521">
        <f t="shared" si="20"/>
        <v>3.5</v>
      </c>
      <c r="H329" s="806">
        <v>1.3083000000000001E-3</v>
      </c>
      <c r="I329" s="523">
        <f t="shared" si="23"/>
        <v>2.35</v>
      </c>
      <c r="J329" s="448">
        <f t="shared" si="24"/>
        <v>8.0399999999999991</v>
      </c>
      <c r="Q329" s="559">
        <f t="shared" si="25"/>
        <v>2017</v>
      </c>
    </row>
    <row r="330" spans="1:17" s="559" customFormat="1" ht="15">
      <c r="A330" s="808" t="s">
        <v>318</v>
      </c>
      <c r="B330" s="808" t="s">
        <v>858</v>
      </c>
      <c r="C330" s="805" t="s">
        <v>329</v>
      </c>
      <c r="D330" s="808" t="s">
        <v>859</v>
      </c>
      <c r="E330" s="809">
        <v>201701</v>
      </c>
      <c r="F330" s="810">
        <v>0.12</v>
      </c>
      <c r="G330" s="521">
        <f t="shared" si="20"/>
        <v>3.5</v>
      </c>
      <c r="H330" s="806">
        <v>1.3083000000000001E-3</v>
      </c>
      <c r="I330" s="523">
        <f t="shared" si="23"/>
        <v>0</v>
      </c>
      <c r="J330" s="448">
        <f t="shared" si="24"/>
        <v>0</v>
      </c>
      <c r="Q330" s="559">
        <f t="shared" si="25"/>
        <v>2017</v>
      </c>
    </row>
    <row r="331" spans="1:17" s="559" customFormat="1" ht="15">
      <c r="A331" s="808" t="s">
        <v>318</v>
      </c>
      <c r="B331" s="808" t="s">
        <v>858</v>
      </c>
      <c r="C331" s="805" t="s">
        <v>329</v>
      </c>
      <c r="D331" s="808" t="s">
        <v>859</v>
      </c>
      <c r="E331" s="809">
        <v>201701</v>
      </c>
      <c r="F331" s="810">
        <v>0.31</v>
      </c>
      <c r="G331" s="521">
        <f t="shared" si="20"/>
        <v>3.5</v>
      </c>
      <c r="H331" s="806">
        <v>1.3083000000000001E-3</v>
      </c>
      <c r="I331" s="523">
        <f t="shared" si="23"/>
        <v>0</v>
      </c>
      <c r="J331" s="448">
        <f t="shared" si="24"/>
        <v>0</v>
      </c>
      <c r="Q331" s="559">
        <f t="shared" si="25"/>
        <v>2017</v>
      </c>
    </row>
    <row r="332" spans="1:17" s="559" customFormat="1" ht="15">
      <c r="A332" s="808" t="s">
        <v>318</v>
      </c>
      <c r="B332" s="808" t="s">
        <v>808</v>
      </c>
      <c r="C332" s="805" t="s">
        <v>329</v>
      </c>
      <c r="D332" s="808" t="s">
        <v>809</v>
      </c>
      <c r="E332" s="809">
        <v>201701</v>
      </c>
      <c r="F332" s="810">
        <v>7.0000000000000007E-2</v>
      </c>
      <c r="G332" s="521">
        <f t="shared" si="20"/>
        <v>3.5</v>
      </c>
      <c r="H332" s="806">
        <v>1.3083000000000001E-3</v>
      </c>
      <c r="I332" s="523">
        <f t="shared" si="23"/>
        <v>0</v>
      </c>
      <c r="J332" s="448">
        <f t="shared" si="24"/>
        <v>0</v>
      </c>
      <c r="Q332" s="559">
        <f t="shared" si="25"/>
        <v>2017</v>
      </c>
    </row>
    <row r="333" spans="1:17" s="559" customFormat="1" ht="15">
      <c r="A333" s="808" t="s">
        <v>318</v>
      </c>
      <c r="B333" s="808" t="s">
        <v>808</v>
      </c>
      <c r="C333" s="805" t="s">
        <v>329</v>
      </c>
      <c r="D333" s="808" t="s">
        <v>809</v>
      </c>
      <c r="E333" s="809">
        <v>201701</v>
      </c>
      <c r="F333" s="810">
        <v>0.18</v>
      </c>
      <c r="G333" s="521">
        <f t="shared" si="20"/>
        <v>3.5</v>
      </c>
      <c r="H333" s="806">
        <v>1.3083000000000001E-3</v>
      </c>
      <c r="I333" s="523">
        <f t="shared" si="23"/>
        <v>0</v>
      </c>
      <c r="J333" s="448">
        <f t="shared" si="24"/>
        <v>0</v>
      </c>
      <c r="Q333" s="559">
        <f t="shared" si="25"/>
        <v>2017</v>
      </c>
    </row>
    <row r="334" spans="1:17" s="559" customFormat="1" ht="15">
      <c r="A334" s="808" t="s">
        <v>322</v>
      </c>
      <c r="B334" s="808" t="s">
        <v>667</v>
      </c>
      <c r="C334" s="805" t="s">
        <v>329</v>
      </c>
      <c r="D334" s="808" t="s">
        <v>668</v>
      </c>
      <c r="E334" s="809">
        <v>201701</v>
      </c>
      <c r="F334" s="810">
        <v>0.02</v>
      </c>
      <c r="G334" s="521">
        <f t="shared" si="20"/>
        <v>3.5</v>
      </c>
      <c r="H334" s="807">
        <v>1.1999999999999999E-3</v>
      </c>
      <c r="I334" s="523">
        <f t="shared" si="23"/>
        <v>0</v>
      </c>
      <c r="J334" s="448">
        <f t="shared" si="24"/>
        <v>0</v>
      </c>
      <c r="Q334" s="559">
        <f t="shared" si="25"/>
        <v>2017</v>
      </c>
    </row>
    <row r="335" spans="1:17" s="559" customFormat="1" ht="15">
      <c r="A335" s="808" t="s">
        <v>318</v>
      </c>
      <c r="B335" s="808" t="s">
        <v>667</v>
      </c>
      <c r="C335" s="805" t="s">
        <v>329</v>
      </c>
      <c r="D335" s="808" t="s">
        <v>668</v>
      </c>
      <c r="E335" s="809">
        <v>201701</v>
      </c>
      <c r="F335" s="810">
        <v>0.05</v>
      </c>
      <c r="G335" s="521">
        <f t="shared" si="20"/>
        <v>3.5</v>
      </c>
      <c r="H335" s="806">
        <v>1.3083000000000001E-3</v>
      </c>
      <c r="I335" s="523">
        <f t="shared" si="23"/>
        <v>0</v>
      </c>
      <c r="J335" s="448">
        <f t="shared" si="24"/>
        <v>0</v>
      </c>
      <c r="Q335" s="559">
        <f t="shared" si="25"/>
        <v>2017</v>
      </c>
    </row>
    <row r="336" spans="1:17" s="559" customFormat="1" ht="15">
      <c r="A336" s="808" t="s">
        <v>318</v>
      </c>
      <c r="B336" s="808" t="s">
        <v>667</v>
      </c>
      <c r="C336" s="805" t="s">
        <v>329</v>
      </c>
      <c r="D336" s="808" t="s">
        <v>668</v>
      </c>
      <c r="E336" s="809">
        <v>201701</v>
      </c>
      <c r="F336" s="810">
        <v>0.18</v>
      </c>
      <c r="G336" s="521">
        <f t="shared" si="20"/>
        <v>3.5</v>
      </c>
      <c r="H336" s="806">
        <v>1.3083000000000001E-3</v>
      </c>
      <c r="I336" s="523">
        <f t="shared" si="23"/>
        <v>0</v>
      </c>
      <c r="J336" s="448">
        <f t="shared" si="24"/>
        <v>0</v>
      </c>
      <c r="Q336" s="559">
        <f t="shared" si="25"/>
        <v>2017</v>
      </c>
    </row>
    <row r="337" spans="1:17" s="559" customFormat="1" ht="15">
      <c r="A337" s="808" t="s">
        <v>318</v>
      </c>
      <c r="B337" s="808" t="s">
        <v>1033</v>
      </c>
      <c r="C337" s="805" t="s">
        <v>330</v>
      </c>
      <c r="D337" s="808" t="s">
        <v>1034</v>
      </c>
      <c r="E337" s="809">
        <v>201701</v>
      </c>
      <c r="F337" s="810">
        <v>30.06</v>
      </c>
      <c r="G337" s="521">
        <f t="shared" si="20"/>
        <v>3.5</v>
      </c>
      <c r="H337" s="806">
        <v>1.3083000000000001E-3</v>
      </c>
      <c r="I337" s="523">
        <f t="shared" si="23"/>
        <v>0.14000000000000001</v>
      </c>
      <c r="J337" s="448">
        <f t="shared" si="24"/>
        <v>0.47</v>
      </c>
      <c r="Q337" s="559">
        <f t="shared" si="25"/>
        <v>2017</v>
      </c>
    </row>
    <row r="338" spans="1:17" s="559" customFormat="1" ht="15">
      <c r="A338" s="808" t="s">
        <v>318</v>
      </c>
      <c r="B338" s="808" t="s">
        <v>1033</v>
      </c>
      <c r="C338" s="805" t="s">
        <v>330</v>
      </c>
      <c r="D338" s="808" t="s">
        <v>1034</v>
      </c>
      <c r="E338" s="809">
        <v>201701</v>
      </c>
      <c r="F338" s="810">
        <v>548.07000000000005</v>
      </c>
      <c r="G338" s="521">
        <f t="shared" si="20"/>
        <v>3.5</v>
      </c>
      <c r="H338" s="806">
        <v>1.3083000000000001E-3</v>
      </c>
      <c r="I338" s="523">
        <f t="shared" si="23"/>
        <v>2.5099999999999998</v>
      </c>
      <c r="J338" s="448">
        <f t="shared" si="24"/>
        <v>8.6</v>
      </c>
      <c r="Q338" s="559">
        <f t="shared" si="25"/>
        <v>2017</v>
      </c>
    </row>
    <row r="339" spans="1:17" s="559" customFormat="1" ht="15">
      <c r="A339" s="808" t="s">
        <v>318</v>
      </c>
      <c r="B339" s="808" t="s">
        <v>1132</v>
      </c>
      <c r="C339" s="805" t="s">
        <v>330</v>
      </c>
      <c r="D339" s="808" t="s">
        <v>1133</v>
      </c>
      <c r="E339" s="809">
        <v>201701</v>
      </c>
      <c r="F339" s="810">
        <v>-968.24</v>
      </c>
      <c r="G339" s="521">
        <f t="shared" si="20"/>
        <v>3.5</v>
      </c>
      <c r="H339" s="806">
        <v>1.3083000000000001E-3</v>
      </c>
      <c r="I339" s="523">
        <f t="shared" si="23"/>
        <v>-4.43</v>
      </c>
      <c r="J339" s="448">
        <f t="shared" si="24"/>
        <v>-15.2</v>
      </c>
      <c r="Q339" s="559">
        <f t="shared" si="25"/>
        <v>2017</v>
      </c>
    </row>
    <row r="340" spans="1:17" s="559" customFormat="1" ht="15">
      <c r="A340" s="808" t="s">
        <v>318</v>
      </c>
      <c r="B340" s="808" t="s">
        <v>1132</v>
      </c>
      <c r="C340" s="805" t="s">
        <v>330</v>
      </c>
      <c r="D340" s="808" t="s">
        <v>1133</v>
      </c>
      <c r="E340" s="809">
        <v>201701</v>
      </c>
      <c r="F340" s="810">
        <v>844.32</v>
      </c>
      <c r="G340" s="521">
        <f t="shared" si="20"/>
        <v>3.5</v>
      </c>
      <c r="H340" s="806">
        <v>1.3083000000000001E-3</v>
      </c>
      <c r="I340" s="523">
        <f t="shared" si="23"/>
        <v>3.87</v>
      </c>
      <c r="J340" s="448">
        <f t="shared" si="24"/>
        <v>13.26</v>
      </c>
      <c r="Q340" s="559">
        <f t="shared" si="25"/>
        <v>2017</v>
      </c>
    </row>
    <row r="341" spans="1:17" s="559" customFormat="1" ht="15">
      <c r="A341" s="808" t="s">
        <v>318</v>
      </c>
      <c r="B341" s="808" t="s">
        <v>832</v>
      </c>
      <c r="C341" s="805" t="s">
        <v>330</v>
      </c>
      <c r="D341" s="808" t="s">
        <v>833</v>
      </c>
      <c r="E341" s="809">
        <v>201701</v>
      </c>
      <c r="F341" s="810">
        <v>2288.98</v>
      </c>
      <c r="G341" s="521">
        <f t="shared" si="20"/>
        <v>3.5</v>
      </c>
      <c r="H341" s="806">
        <v>1.3083000000000001E-3</v>
      </c>
      <c r="I341" s="523">
        <f t="shared" si="23"/>
        <v>10.48</v>
      </c>
      <c r="J341" s="448">
        <f t="shared" si="24"/>
        <v>35.94</v>
      </c>
      <c r="Q341" s="559">
        <f t="shared" si="25"/>
        <v>2017</v>
      </c>
    </row>
    <row r="342" spans="1:17" s="559" customFormat="1" ht="15">
      <c r="A342" s="808" t="s">
        <v>318</v>
      </c>
      <c r="B342" s="808" t="s">
        <v>832</v>
      </c>
      <c r="C342" s="805" t="s">
        <v>330</v>
      </c>
      <c r="D342" s="808" t="s">
        <v>833</v>
      </c>
      <c r="E342" s="809">
        <v>201701</v>
      </c>
      <c r="F342" s="810">
        <v>9284.2000000000007</v>
      </c>
      <c r="G342" s="521">
        <f t="shared" si="20"/>
        <v>3.5</v>
      </c>
      <c r="H342" s="806">
        <v>1.3083000000000001E-3</v>
      </c>
      <c r="I342" s="523">
        <f t="shared" si="23"/>
        <v>42.51</v>
      </c>
      <c r="J342" s="448">
        <f t="shared" si="24"/>
        <v>145.76</v>
      </c>
      <c r="Q342" s="559">
        <f t="shared" si="25"/>
        <v>2017</v>
      </c>
    </row>
    <row r="343" spans="1:17" s="559" customFormat="1" ht="15">
      <c r="A343" s="808" t="s">
        <v>318</v>
      </c>
      <c r="B343" s="808" t="s">
        <v>947</v>
      </c>
      <c r="C343" s="805" t="s">
        <v>330</v>
      </c>
      <c r="D343" s="808" t="s">
        <v>948</v>
      </c>
      <c r="E343" s="809">
        <v>201701</v>
      </c>
      <c r="F343" s="810">
        <v>-62417.3</v>
      </c>
      <c r="G343" s="521">
        <f t="shared" si="20"/>
        <v>3.5</v>
      </c>
      <c r="H343" s="806">
        <v>1.3083000000000001E-3</v>
      </c>
      <c r="I343" s="523">
        <f t="shared" si="23"/>
        <v>-285.81</v>
      </c>
      <c r="J343" s="448">
        <f t="shared" si="24"/>
        <v>-979.93</v>
      </c>
      <c r="Q343" s="559">
        <f t="shared" si="25"/>
        <v>2017</v>
      </c>
    </row>
    <row r="344" spans="1:17" s="559" customFormat="1" ht="15">
      <c r="A344" s="808" t="s">
        <v>318</v>
      </c>
      <c r="B344" s="808" t="s">
        <v>947</v>
      </c>
      <c r="C344" s="805" t="s">
        <v>330</v>
      </c>
      <c r="D344" s="808" t="s">
        <v>948</v>
      </c>
      <c r="E344" s="809">
        <v>201701</v>
      </c>
      <c r="F344" s="810">
        <v>-9963.02</v>
      </c>
      <c r="G344" s="521">
        <f t="shared" si="20"/>
        <v>3.5</v>
      </c>
      <c r="H344" s="806">
        <v>1.3083000000000001E-3</v>
      </c>
      <c r="I344" s="523">
        <f t="shared" si="23"/>
        <v>-45.62</v>
      </c>
      <c r="J344" s="448">
        <f t="shared" si="24"/>
        <v>-156.41999999999999</v>
      </c>
      <c r="Q344" s="559">
        <f t="shared" si="25"/>
        <v>2017</v>
      </c>
    </row>
    <row r="345" spans="1:17" s="559" customFormat="1" ht="15">
      <c r="A345" s="808" t="s">
        <v>318</v>
      </c>
      <c r="B345" s="808" t="s">
        <v>949</v>
      </c>
      <c r="C345" s="805" t="s">
        <v>330</v>
      </c>
      <c r="D345" s="808" t="s">
        <v>950</v>
      </c>
      <c r="E345" s="809">
        <v>201701</v>
      </c>
      <c r="F345" s="810">
        <v>423.72</v>
      </c>
      <c r="G345" s="521">
        <f t="shared" si="20"/>
        <v>3.5</v>
      </c>
      <c r="H345" s="806">
        <v>1.3083000000000001E-3</v>
      </c>
      <c r="I345" s="523">
        <f t="shared" si="23"/>
        <v>1.94</v>
      </c>
      <c r="J345" s="448">
        <f t="shared" si="24"/>
        <v>6.65</v>
      </c>
      <c r="Q345" s="559">
        <f t="shared" si="25"/>
        <v>2017</v>
      </c>
    </row>
    <row r="346" spans="1:17" s="559" customFormat="1" ht="15">
      <c r="A346" s="808" t="s">
        <v>318</v>
      </c>
      <c r="B346" s="808" t="s">
        <v>949</v>
      </c>
      <c r="C346" s="805" t="s">
        <v>330</v>
      </c>
      <c r="D346" s="808" t="s">
        <v>950</v>
      </c>
      <c r="E346" s="809">
        <v>201701</v>
      </c>
      <c r="F346" s="810">
        <v>8699.2999999999993</v>
      </c>
      <c r="G346" s="521">
        <f t="shared" si="20"/>
        <v>3.5</v>
      </c>
      <c r="H346" s="806">
        <v>1.3083000000000001E-3</v>
      </c>
      <c r="I346" s="523">
        <f t="shared" si="23"/>
        <v>39.83</v>
      </c>
      <c r="J346" s="448">
        <f t="shared" si="24"/>
        <v>136.58000000000001</v>
      </c>
      <c r="Q346" s="559">
        <f t="shared" si="25"/>
        <v>2017</v>
      </c>
    </row>
    <row r="347" spans="1:17" s="559" customFormat="1" ht="15">
      <c r="A347" s="808" t="s">
        <v>318</v>
      </c>
      <c r="B347" s="808" t="s">
        <v>951</v>
      </c>
      <c r="C347" s="805" t="s">
        <v>330</v>
      </c>
      <c r="D347" s="808" t="s">
        <v>952</v>
      </c>
      <c r="E347" s="809">
        <v>201701</v>
      </c>
      <c r="F347" s="810">
        <v>-55764.47</v>
      </c>
      <c r="G347" s="521">
        <f t="shared" si="20"/>
        <v>3.5</v>
      </c>
      <c r="H347" s="806">
        <v>1.3083000000000001E-3</v>
      </c>
      <c r="I347" s="523">
        <f t="shared" si="23"/>
        <v>-255.35</v>
      </c>
      <c r="J347" s="448">
        <f t="shared" si="24"/>
        <v>-875.48</v>
      </c>
      <c r="Q347" s="559">
        <f t="shared" si="25"/>
        <v>2017</v>
      </c>
    </row>
    <row r="348" spans="1:17" s="559" customFormat="1" ht="15">
      <c r="A348" s="808" t="s">
        <v>318</v>
      </c>
      <c r="B348" s="808" t="s">
        <v>951</v>
      </c>
      <c r="C348" s="805" t="s">
        <v>330</v>
      </c>
      <c r="D348" s="808" t="s">
        <v>952</v>
      </c>
      <c r="E348" s="809">
        <v>201701</v>
      </c>
      <c r="F348" s="810">
        <v>-2929.44</v>
      </c>
      <c r="G348" s="521">
        <f t="shared" si="20"/>
        <v>3.5</v>
      </c>
      <c r="H348" s="806">
        <v>1.3083000000000001E-3</v>
      </c>
      <c r="I348" s="523">
        <f t="shared" si="23"/>
        <v>-13.41</v>
      </c>
      <c r="J348" s="448">
        <f t="shared" si="24"/>
        <v>-45.99</v>
      </c>
      <c r="Q348" s="559">
        <f t="shared" si="25"/>
        <v>2017</v>
      </c>
    </row>
    <row r="349" spans="1:17" s="559" customFormat="1" ht="15">
      <c r="A349" s="808" t="s">
        <v>318</v>
      </c>
      <c r="B349" s="808" t="s">
        <v>955</v>
      </c>
      <c r="C349" s="805" t="s">
        <v>330</v>
      </c>
      <c r="D349" s="808" t="s">
        <v>956</v>
      </c>
      <c r="E349" s="809">
        <v>201701</v>
      </c>
      <c r="F349" s="810">
        <v>-568.54</v>
      </c>
      <c r="G349" s="521">
        <f t="shared" si="20"/>
        <v>3.5</v>
      </c>
      <c r="H349" s="806">
        <v>1.3083000000000001E-3</v>
      </c>
      <c r="I349" s="523">
        <f t="shared" si="23"/>
        <v>-2.6</v>
      </c>
      <c r="J349" s="448">
        <f t="shared" si="24"/>
        <v>-8.93</v>
      </c>
      <c r="Q349" s="559">
        <f t="shared" si="25"/>
        <v>2017</v>
      </c>
    </row>
    <row r="350" spans="1:17" s="559" customFormat="1" ht="15">
      <c r="A350" s="808" t="s">
        <v>318</v>
      </c>
      <c r="B350" s="808" t="s">
        <v>955</v>
      </c>
      <c r="C350" s="805" t="s">
        <v>330</v>
      </c>
      <c r="D350" s="808" t="s">
        <v>956</v>
      </c>
      <c r="E350" s="809">
        <v>201701</v>
      </c>
      <c r="F350" s="810">
        <v>7955.74</v>
      </c>
      <c r="G350" s="521">
        <f t="shared" si="20"/>
        <v>3.5</v>
      </c>
      <c r="H350" s="806">
        <v>1.3083000000000001E-3</v>
      </c>
      <c r="I350" s="523">
        <f t="shared" si="23"/>
        <v>36.43</v>
      </c>
      <c r="J350" s="448">
        <f t="shared" si="24"/>
        <v>124.9</v>
      </c>
      <c r="Q350" s="559">
        <f t="shared" si="25"/>
        <v>2017</v>
      </c>
    </row>
    <row r="351" spans="1:17" s="559" customFormat="1" ht="15">
      <c r="A351" s="808" t="s">
        <v>318</v>
      </c>
      <c r="B351" s="808" t="s">
        <v>672</v>
      </c>
      <c r="C351" s="805" t="s">
        <v>330</v>
      </c>
      <c r="D351" s="808" t="s">
        <v>673</v>
      </c>
      <c r="E351" s="809">
        <v>201701</v>
      </c>
      <c r="F351" s="810">
        <v>0.35</v>
      </c>
      <c r="G351" s="521">
        <f t="shared" si="20"/>
        <v>3.5</v>
      </c>
      <c r="H351" s="806">
        <v>1.3083000000000001E-3</v>
      </c>
      <c r="I351" s="523">
        <f t="shared" si="23"/>
        <v>0</v>
      </c>
      <c r="J351" s="448">
        <f t="shared" si="24"/>
        <v>0.01</v>
      </c>
      <c r="Q351" s="559">
        <f t="shared" si="25"/>
        <v>2017</v>
      </c>
    </row>
    <row r="352" spans="1:17" s="559" customFormat="1" ht="15">
      <c r="A352" s="808" t="s">
        <v>318</v>
      </c>
      <c r="B352" s="808" t="s">
        <v>840</v>
      </c>
      <c r="C352" s="805" t="s">
        <v>330</v>
      </c>
      <c r="D352" s="808" t="s">
        <v>841</v>
      </c>
      <c r="E352" s="809">
        <v>201701</v>
      </c>
      <c r="F352" s="810">
        <v>996.01</v>
      </c>
      <c r="G352" s="521">
        <f t="shared" si="20"/>
        <v>3.5</v>
      </c>
      <c r="H352" s="806">
        <v>1.3083000000000001E-3</v>
      </c>
      <c r="I352" s="523">
        <f t="shared" si="23"/>
        <v>4.5599999999999996</v>
      </c>
      <c r="J352" s="448">
        <f t="shared" si="24"/>
        <v>15.64</v>
      </c>
      <c r="Q352" s="559">
        <f t="shared" si="25"/>
        <v>2017</v>
      </c>
    </row>
    <row r="353" spans="1:17" s="559" customFormat="1" ht="15">
      <c r="A353" s="808" t="s">
        <v>318</v>
      </c>
      <c r="B353" s="808" t="s">
        <v>840</v>
      </c>
      <c r="C353" s="805" t="s">
        <v>330</v>
      </c>
      <c r="D353" s="808" t="s">
        <v>841</v>
      </c>
      <c r="E353" s="809">
        <v>201701</v>
      </c>
      <c r="F353" s="810">
        <v>10574.86</v>
      </c>
      <c r="G353" s="521">
        <f t="shared" si="20"/>
        <v>3.5</v>
      </c>
      <c r="H353" s="806">
        <v>1.3083000000000001E-3</v>
      </c>
      <c r="I353" s="523">
        <f t="shared" si="23"/>
        <v>48.42</v>
      </c>
      <c r="J353" s="448">
        <f t="shared" si="24"/>
        <v>166.02</v>
      </c>
      <c r="Q353" s="559">
        <f t="shared" si="25"/>
        <v>2017</v>
      </c>
    </row>
    <row r="354" spans="1:17" s="559" customFormat="1" ht="15">
      <c r="A354" s="808" t="s">
        <v>318</v>
      </c>
      <c r="B354" s="808" t="s">
        <v>961</v>
      </c>
      <c r="C354" s="805" t="s">
        <v>330</v>
      </c>
      <c r="D354" s="808" t="s">
        <v>962</v>
      </c>
      <c r="E354" s="809">
        <v>201701</v>
      </c>
      <c r="F354" s="810">
        <v>3733.01</v>
      </c>
      <c r="G354" s="521">
        <f t="shared" si="20"/>
        <v>3.5</v>
      </c>
      <c r="H354" s="806">
        <v>1.3083000000000001E-3</v>
      </c>
      <c r="I354" s="523">
        <f t="shared" si="23"/>
        <v>17.09</v>
      </c>
      <c r="J354" s="448">
        <f t="shared" si="24"/>
        <v>58.61</v>
      </c>
      <c r="Q354" s="559">
        <f t="shared" si="25"/>
        <v>2017</v>
      </c>
    </row>
    <row r="355" spans="1:17" s="559" customFormat="1" ht="15">
      <c r="A355" s="808" t="s">
        <v>318</v>
      </c>
      <c r="B355" s="808" t="s">
        <v>961</v>
      </c>
      <c r="C355" s="805" t="s">
        <v>330</v>
      </c>
      <c r="D355" s="808" t="s">
        <v>962</v>
      </c>
      <c r="E355" s="809">
        <v>201701</v>
      </c>
      <c r="F355" s="810">
        <v>60038.35</v>
      </c>
      <c r="G355" s="521">
        <f t="shared" si="20"/>
        <v>3.5</v>
      </c>
      <c r="H355" s="806">
        <v>1.3083000000000001E-3</v>
      </c>
      <c r="I355" s="523">
        <f t="shared" si="23"/>
        <v>274.92</v>
      </c>
      <c r="J355" s="448">
        <f t="shared" si="24"/>
        <v>942.58</v>
      </c>
      <c r="Q355" s="559">
        <f t="shared" si="25"/>
        <v>2017</v>
      </c>
    </row>
    <row r="356" spans="1:17" s="559" customFormat="1" ht="15">
      <c r="A356" s="808" t="s">
        <v>318</v>
      </c>
      <c r="B356" s="808" t="s">
        <v>963</v>
      </c>
      <c r="C356" s="805" t="s">
        <v>330</v>
      </c>
      <c r="D356" s="808" t="s">
        <v>964</v>
      </c>
      <c r="E356" s="809">
        <v>201701</v>
      </c>
      <c r="F356" s="810">
        <v>7.08</v>
      </c>
      <c r="G356" s="521">
        <f t="shared" si="20"/>
        <v>3.5</v>
      </c>
      <c r="H356" s="806">
        <v>1.3083000000000001E-3</v>
      </c>
      <c r="I356" s="523">
        <f t="shared" si="23"/>
        <v>0.03</v>
      </c>
      <c r="J356" s="448">
        <f t="shared" si="24"/>
        <v>0.11</v>
      </c>
      <c r="Q356" s="559">
        <f t="shared" si="25"/>
        <v>2017</v>
      </c>
    </row>
    <row r="357" spans="1:17" s="559" customFormat="1" ht="15">
      <c r="A357" s="808" t="s">
        <v>318</v>
      </c>
      <c r="B357" s="808" t="s">
        <v>963</v>
      </c>
      <c r="C357" s="805" t="s">
        <v>330</v>
      </c>
      <c r="D357" s="808" t="s">
        <v>964</v>
      </c>
      <c r="E357" s="809">
        <v>201701</v>
      </c>
      <c r="F357" s="810">
        <v>90.82</v>
      </c>
      <c r="G357" s="521">
        <f t="shared" si="20"/>
        <v>3.5</v>
      </c>
      <c r="H357" s="806">
        <v>1.3083000000000001E-3</v>
      </c>
      <c r="I357" s="523">
        <f t="shared" si="23"/>
        <v>0.42</v>
      </c>
      <c r="J357" s="448">
        <f t="shared" si="24"/>
        <v>1.43</v>
      </c>
      <c r="Q357" s="559">
        <f t="shared" si="25"/>
        <v>2017</v>
      </c>
    </row>
    <row r="358" spans="1:17" s="559" customFormat="1" ht="15">
      <c r="A358" s="808" t="s">
        <v>318</v>
      </c>
      <c r="B358" s="808" t="s">
        <v>842</v>
      </c>
      <c r="C358" s="805" t="s">
        <v>330</v>
      </c>
      <c r="D358" s="808" t="s">
        <v>843</v>
      </c>
      <c r="E358" s="809">
        <v>201701</v>
      </c>
      <c r="F358" s="810">
        <v>78.53</v>
      </c>
      <c r="G358" s="521">
        <f t="shared" si="20"/>
        <v>3.5</v>
      </c>
      <c r="H358" s="806">
        <v>1.3083000000000001E-3</v>
      </c>
      <c r="I358" s="523">
        <f t="shared" si="23"/>
        <v>0.36</v>
      </c>
      <c r="J358" s="448">
        <f t="shared" si="24"/>
        <v>1.23</v>
      </c>
      <c r="Q358" s="559">
        <f t="shared" si="25"/>
        <v>2017</v>
      </c>
    </row>
    <row r="359" spans="1:17" s="559" customFormat="1" ht="15">
      <c r="A359" s="808" t="s">
        <v>318</v>
      </c>
      <c r="B359" s="808" t="s">
        <v>842</v>
      </c>
      <c r="C359" s="805" t="s">
        <v>330</v>
      </c>
      <c r="D359" s="808" t="s">
        <v>843</v>
      </c>
      <c r="E359" s="809">
        <v>201701</v>
      </c>
      <c r="F359" s="810">
        <v>82.61</v>
      </c>
      <c r="G359" s="521">
        <f t="shared" si="20"/>
        <v>3.5</v>
      </c>
      <c r="H359" s="806">
        <v>1.3083000000000001E-3</v>
      </c>
      <c r="I359" s="523">
        <f t="shared" si="23"/>
        <v>0.38</v>
      </c>
      <c r="J359" s="448">
        <f t="shared" si="24"/>
        <v>1.3</v>
      </c>
      <c r="Q359" s="559">
        <f t="shared" si="25"/>
        <v>2017</v>
      </c>
    </row>
    <row r="360" spans="1:17" s="559" customFormat="1" ht="15">
      <c r="A360" s="808" t="s">
        <v>318</v>
      </c>
      <c r="B360" s="808" t="s">
        <v>844</v>
      </c>
      <c r="C360" s="805" t="s">
        <v>329</v>
      </c>
      <c r="D360" s="808" t="s">
        <v>845</v>
      </c>
      <c r="E360" s="809">
        <v>201701</v>
      </c>
      <c r="F360" s="810">
        <v>0.5</v>
      </c>
      <c r="G360" s="521">
        <f t="shared" si="20"/>
        <v>3.5</v>
      </c>
      <c r="H360" s="806">
        <v>1.3083000000000001E-3</v>
      </c>
      <c r="I360" s="523">
        <f t="shared" si="23"/>
        <v>0</v>
      </c>
      <c r="J360" s="448">
        <f t="shared" si="24"/>
        <v>0.01</v>
      </c>
      <c r="Q360" s="559">
        <f t="shared" si="25"/>
        <v>2017</v>
      </c>
    </row>
    <row r="361" spans="1:17" s="559" customFormat="1" ht="15">
      <c r="A361" s="808" t="s">
        <v>318</v>
      </c>
      <c r="B361" s="808" t="s">
        <v>1035</v>
      </c>
      <c r="C361" s="805" t="s">
        <v>329</v>
      </c>
      <c r="D361" s="808" t="s">
        <v>1036</v>
      </c>
      <c r="E361" s="809">
        <v>201701</v>
      </c>
      <c r="F361" s="810">
        <v>0.01</v>
      </c>
      <c r="G361" s="521">
        <f t="shared" si="20"/>
        <v>3.5</v>
      </c>
      <c r="H361" s="806">
        <v>1.3083000000000001E-3</v>
      </c>
      <c r="I361" s="523">
        <f t="shared" si="23"/>
        <v>0</v>
      </c>
      <c r="J361" s="448">
        <f t="shared" si="24"/>
        <v>0</v>
      </c>
      <c r="Q361" s="559">
        <f t="shared" si="25"/>
        <v>2017</v>
      </c>
    </row>
    <row r="362" spans="1:17" s="559" customFormat="1" ht="15">
      <c r="A362" s="808" t="s">
        <v>318</v>
      </c>
      <c r="B362" s="808" t="s">
        <v>1035</v>
      </c>
      <c r="C362" s="805" t="s">
        <v>329</v>
      </c>
      <c r="D362" s="808" t="s">
        <v>1036</v>
      </c>
      <c r="E362" s="809">
        <v>201701</v>
      </c>
      <c r="F362" s="810">
        <v>0.24</v>
      </c>
      <c r="G362" s="521">
        <f t="shared" si="20"/>
        <v>3.5</v>
      </c>
      <c r="H362" s="806">
        <v>1.3083000000000001E-3</v>
      </c>
      <c r="I362" s="523">
        <f t="shared" si="23"/>
        <v>0</v>
      </c>
      <c r="J362" s="448">
        <f t="shared" si="24"/>
        <v>0</v>
      </c>
      <c r="Q362" s="559">
        <f t="shared" si="25"/>
        <v>2017</v>
      </c>
    </row>
    <row r="363" spans="1:17" s="559" customFormat="1" ht="15">
      <c r="A363" s="808" t="s">
        <v>318</v>
      </c>
      <c r="B363" s="808" t="s">
        <v>862</v>
      </c>
      <c r="C363" s="805" t="s">
        <v>330</v>
      </c>
      <c r="D363" s="808" t="s">
        <v>863</v>
      </c>
      <c r="E363" s="809">
        <v>201701</v>
      </c>
      <c r="F363" s="810">
        <v>-7.0000000000000007E-2</v>
      </c>
      <c r="G363" s="521">
        <f t="shared" si="20"/>
        <v>3.5</v>
      </c>
      <c r="H363" s="806">
        <v>1.3083000000000001E-3</v>
      </c>
      <c r="I363" s="523">
        <f t="shared" si="23"/>
        <v>0</v>
      </c>
      <c r="J363" s="448">
        <f t="shared" si="24"/>
        <v>0</v>
      </c>
      <c r="Q363" s="559">
        <f t="shared" si="25"/>
        <v>2017</v>
      </c>
    </row>
    <row r="364" spans="1:17" s="559" customFormat="1" ht="15">
      <c r="A364" s="808" t="s">
        <v>318</v>
      </c>
      <c r="B364" s="808" t="s">
        <v>862</v>
      </c>
      <c r="C364" s="805" t="s">
        <v>330</v>
      </c>
      <c r="D364" s="808" t="s">
        <v>863</v>
      </c>
      <c r="E364" s="809">
        <v>201701</v>
      </c>
      <c r="F364" s="810">
        <v>7.0000000000000007E-2</v>
      </c>
      <c r="G364" s="521">
        <f t="shared" si="20"/>
        <v>3.5</v>
      </c>
      <c r="H364" s="806">
        <v>1.3083000000000001E-3</v>
      </c>
      <c r="I364" s="523">
        <f t="shared" si="23"/>
        <v>0</v>
      </c>
      <c r="J364" s="448">
        <f t="shared" si="24"/>
        <v>0</v>
      </c>
      <c r="Q364" s="559">
        <f t="shared" si="25"/>
        <v>2017</v>
      </c>
    </row>
    <row r="365" spans="1:17" s="559" customFormat="1" ht="15">
      <c r="A365" s="808" t="s">
        <v>318</v>
      </c>
      <c r="B365" s="808" t="s">
        <v>967</v>
      </c>
      <c r="C365" s="805" t="s">
        <v>330</v>
      </c>
      <c r="D365" s="808" t="s">
        <v>968</v>
      </c>
      <c r="E365" s="809">
        <v>201701</v>
      </c>
      <c r="F365" s="810">
        <v>-8.84</v>
      </c>
      <c r="G365" s="521">
        <f t="shared" si="20"/>
        <v>3.5</v>
      </c>
      <c r="H365" s="806">
        <v>1.3083000000000001E-3</v>
      </c>
      <c r="I365" s="523">
        <f t="shared" si="23"/>
        <v>-0.04</v>
      </c>
      <c r="J365" s="448">
        <f t="shared" si="24"/>
        <v>-0.14000000000000001</v>
      </c>
      <c r="Q365" s="559">
        <f t="shared" si="25"/>
        <v>2017</v>
      </c>
    </row>
    <row r="366" spans="1:17" s="559" customFormat="1" ht="15">
      <c r="A366" s="808" t="s">
        <v>318</v>
      </c>
      <c r="B366" s="808" t="s">
        <v>967</v>
      </c>
      <c r="C366" s="805" t="s">
        <v>330</v>
      </c>
      <c r="D366" s="808" t="s">
        <v>968</v>
      </c>
      <c r="E366" s="809">
        <v>201701</v>
      </c>
      <c r="F366" s="810">
        <v>-0.35</v>
      </c>
      <c r="G366" s="521">
        <f t="shared" si="20"/>
        <v>3.5</v>
      </c>
      <c r="H366" s="806">
        <v>1.3083000000000001E-3</v>
      </c>
      <c r="I366" s="523">
        <f t="shared" si="23"/>
        <v>0</v>
      </c>
      <c r="J366" s="448">
        <f t="shared" si="24"/>
        <v>-0.01</v>
      </c>
      <c r="Q366" s="559">
        <f t="shared" si="25"/>
        <v>2017</v>
      </c>
    </row>
    <row r="367" spans="1:17" s="559" customFormat="1" ht="15">
      <c r="A367" s="808" t="s">
        <v>318</v>
      </c>
      <c r="B367" s="808" t="s">
        <v>682</v>
      </c>
      <c r="C367" s="805" t="s">
        <v>330</v>
      </c>
      <c r="D367" s="808" t="s">
        <v>683</v>
      </c>
      <c r="E367" s="809">
        <v>201701</v>
      </c>
      <c r="F367" s="810">
        <v>248.24</v>
      </c>
      <c r="G367" s="521">
        <f t="shared" si="20"/>
        <v>3.5</v>
      </c>
      <c r="H367" s="806">
        <v>1.3083000000000001E-3</v>
      </c>
      <c r="I367" s="523">
        <f t="shared" si="23"/>
        <v>1.1399999999999999</v>
      </c>
      <c r="J367" s="448">
        <f t="shared" si="24"/>
        <v>3.9</v>
      </c>
      <c r="Q367" s="559">
        <f t="shared" si="25"/>
        <v>2017</v>
      </c>
    </row>
    <row r="368" spans="1:17" s="559" customFormat="1" ht="15">
      <c r="A368" s="808" t="s">
        <v>318</v>
      </c>
      <c r="B368" s="808" t="s">
        <v>682</v>
      </c>
      <c r="C368" s="805" t="s">
        <v>330</v>
      </c>
      <c r="D368" s="808" t="s">
        <v>683</v>
      </c>
      <c r="E368" s="809">
        <v>201701</v>
      </c>
      <c r="F368" s="810">
        <v>5951.16</v>
      </c>
      <c r="G368" s="521">
        <f t="shared" si="20"/>
        <v>3.5</v>
      </c>
      <c r="H368" s="806">
        <v>1.3083000000000001E-3</v>
      </c>
      <c r="I368" s="523">
        <f t="shared" si="23"/>
        <v>27.25</v>
      </c>
      <c r="J368" s="448">
        <f t="shared" si="24"/>
        <v>93.43</v>
      </c>
      <c r="Q368" s="559">
        <f t="shared" si="25"/>
        <v>2017</v>
      </c>
    </row>
    <row r="369" spans="1:17" s="559" customFormat="1" ht="15">
      <c r="A369" s="808" t="s">
        <v>322</v>
      </c>
      <c r="B369" s="808" t="s">
        <v>1106</v>
      </c>
      <c r="C369" s="805" t="s">
        <v>330</v>
      </c>
      <c r="D369" s="808" t="s">
        <v>1107</v>
      </c>
      <c r="E369" s="809">
        <v>201701</v>
      </c>
      <c r="F369" s="810">
        <v>21.84</v>
      </c>
      <c r="G369" s="521">
        <f t="shared" si="20"/>
        <v>3.5</v>
      </c>
      <c r="H369" s="807">
        <v>1.1999999999999999E-3</v>
      </c>
      <c r="I369" s="523">
        <f t="shared" si="23"/>
        <v>0.09</v>
      </c>
      <c r="J369" s="448">
        <f t="shared" si="24"/>
        <v>0.31</v>
      </c>
      <c r="Q369" s="559">
        <f t="shared" si="25"/>
        <v>2017</v>
      </c>
    </row>
    <row r="370" spans="1:17" s="559" customFormat="1" ht="15">
      <c r="A370" s="808" t="s">
        <v>318</v>
      </c>
      <c r="B370" s="808" t="s">
        <v>1106</v>
      </c>
      <c r="C370" s="805" t="s">
        <v>330</v>
      </c>
      <c r="D370" s="808" t="s">
        <v>1107</v>
      </c>
      <c r="E370" s="809">
        <v>201701</v>
      </c>
      <c r="F370" s="810">
        <v>550.77</v>
      </c>
      <c r="G370" s="521">
        <f t="shared" si="20"/>
        <v>3.5</v>
      </c>
      <c r="H370" s="806">
        <v>1.3083000000000001E-3</v>
      </c>
      <c r="I370" s="523">
        <f t="shared" ref="I370:I433" si="26">ROUND(F370*G370*H370,2)</f>
        <v>2.52</v>
      </c>
      <c r="J370" s="448">
        <f t="shared" ref="J370:J433" si="27">ROUND(F370*H370*12,2)</f>
        <v>8.65</v>
      </c>
      <c r="Q370" s="559">
        <f t="shared" si="25"/>
        <v>2017</v>
      </c>
    </row>
    <row r="371" spans="1:17" s="559" customFormat="1" ht="15">
      <c r="A371" s="808" t="s">
        <v>318</v>
      </c>
      <c r="B371" s="808" t="s">
        <v>1106</v>
      </c>
      <c r="C371" s="805" t="s">
        <v>330</v>
      </c>
      <c r="D371" s="808" t="s">
        <v>1107</v>
      </c>
      <c r="E371" s="809">
        <v>201701</v>
      </c>
      <c r="F371" s="810">
        <v>6842.8</v>
      </c>
      <c r="G371" s="521">
        <f t="shared" si="20"/>
        <v>3.5</v>
      </c>
      <c r="H371" s="806">
        <v>1.3083000000000001E-3</v>
      </c>
      <c r="I371" s="523">
        <f t="shared" si="26"/>
        <v>31.33</v>
      </c>
      <c r="J371" s="448">
        <f t="shared" si="27"/>
        <v>107.43</v>
      </c>
      <c r="Q371" s="559">
        <f t="shared" si="25"/>
        <v>2017</v>
      </c>
    </row>
    <row r="372" spans="1:17" s="559" customFormat="1" ht="15">
      <c r="A372" s="808" t="s">
        <v>318</v>
      </c>
      <c r="B372" s="808" t="s">
        <v>848</v>
      </c>
      <c r="C372" s="805" t="s">
        <v>329</v>
      </c>
      <c r="D372" s="808" t="s">
        <v>849</v>
      </c>
      <c r="E372" s="809">
        <v>201701</v>
      </c>
      <c r="F372" s="810">
        <v>-14.85</v>
      </c>
      <c r="G372" s="521">
        <f t="shared" si="20"/>
        <v>3.5</v>
      </c>
      <c r="H372" s="806">
        <v>1.3083000000000001E-3</v>
      </c>
      <c r="I372" s="523">
        <f t="shared" si="26"/>
        <v>-7.0000000000000007E-2</v>
      </c>
      <c r="J372" s="448">
        <f t="shared" si="27"/>
        <v>-0.23</v>
      </c>
      <c r="Q372" s="559">
        <f t="shared" si="25"/>
        <v>2017</v>
      </c>
    </row>
    <row r="373" spans="1:17" s="559" customFormat="1" ht="15">
      <c r="A373" s="808" t="s">
        <v>318</v>
      </c>
      <c r="B373" s="808" t="s">
        <v>848</v>
      </c>
      <c r="C373" s="805" t="s">
        <v>329</v>
      </c>
      <c r="D373" s="808" t="s">
        <v>849</v>
      </c>
      <c r="E373" s="809">
        <v>201701</v>
      </c>
      <c r="F373" s="810">
        <v>-4.62</v>
      </c>
      <c r="G373" s="521">
        <f t="shared" si="20"/>
        <v>3.5</v>
      </c>
      <c r="H373" s="806">
        <v>1.3083000000000001E-3</v>
      </c>
      <c r="I373" s="523">
        <f t="shared" si="26"/>
        <v>-0.02</v>
      </c>
      <c r="J373" s="448">
        <f t="shared" si="27"/>
        <v>-7.0000000000000007E-2</v>
      </c>
      <c r="Q373" s="559">
        <f t="shared" si="25"/>
        <v>2017</v>
      </c>
    </row>
    <row r="374" spans="1:17" s="559" customFormat="1" ht="15">
      <c r="A374" s="808" t="s">
        <v>318</v>
      </c>
      <c r="B374" s="808" t="s">
        <v>971</v>
      </c>
      <c r="C374" s="805" t="s">
        <v>329</v>
      </c>
      <c r="D374" s="808" t="s">
        <v>972</v>
      </c>
      <c r="E374" s="809">
        <v>201701</v>
      </c>
      <c r="F374" s="810">
        <v>29.03</v>
      </c>
      <c r="G374" s="521">
        <f t="shared" si="20"/>
        <v>3.5</v>
      </c>
      <c r="H374" s="806">
        <v>1.3083000000000001E-3</v>
      </c>
      <c r="I374" s="523">
        <f t="shared" si="26"/>
        <v>0.13</v>
      </c>
      <c r="J374" s="448">
        <f t="shared" si="27"/>
        <v>0.46</v>
      </c>
      <c r="Q374" s="559">
        <f t="shared" si="25"/>
        <v>2017</v>
      </c>
    </row>
    <row r="375" spans="1:17" s="559" customFormat="1" ht="15">
      <c r="A375" s="808" t="s">
        <v>318</v>
      </c>
      <c r="B375" s="808" t="s">
        <v>971</v>
      </c>
      <c r="C375" s="805" t="s">
        <v>329</v>
      </c>
      <c r="D375" s="808" t="s">
        <v>972</v>
      </c>
      <c r="E375" s="809">
        <v>201701</v>
      </c>
      <c r="F375" s="810">
        <v>318.05</v>
      </c>
      <c r="G375" s="521">
        <f t="shared" si="20"/>
        <v>3.5</v>
      </c>
      <c r="H375" s="806">
        <v>1.3083000000000001E-3</v>
      </c>
      <c r="I375" s="523">
        <f t="shared" si="26"/>
        <v>1.46</v>
      </c>
      <c r="J375" s="448">
        <f t="shared" si="27"/>
        <v>4.99</v>
      </c>
      <c r="Q375" s="559">
        <f t="shared" si="25"/>
        <v>2017</v>
      </c>
    </row>
    <row r="376" spans="1:17" s="559" customFormat="1" ht="15">
      <c r="A376" s="808" t="s">
        <v>322</v>
      </c>
      <c r="B376" s="808" t="s">
        <v>822</v>
      </c>
      <c r="C376" s="805" t="s">
        <v>330</v>
      </c>
      <c r="D376" s="808" t="s">
        <v>823</v>
      </c>
      <c r="E376" s="809">
        <v>201701</v>
      </c>
      <c r="F376" s="810">
        <v>0.02</v>
      </c>
      <c r="G376" s="521">
        <f t="shared" si="20"/>
        <v>3.5</v>
      </c>
      <c r="H376" s="807">
        <v>1.1999999999999999E-3</v>
      </c>
      <c r="I376" s="523">
        <f t="shared" si="26"/>
        <v>0</v>
      </c>
      <c r="J376" s="448">
        <f t="shared" si="27"/>
        <v>0</v>
      </c>
      <c r="Q376" s="559">
        <f t="shared" si="25"/>
        <v>2017</v>
      </c>
    </row>
    <row r="377" spans="1:17" s="559" customFormat="1" ht="15">
      <c r="A377" s="808" t="s">
        <v>318</v>
      </c>
      <c r="B377" s="808" t="s">
        <v>822</v>
      </c>
      <c r="C377" s="805" t="s">
        <v>330</v>
      </c>
      <c r="D377" s="808" t="s">
        <v>823</v>
      </c>
      <c r="E377" s="809">
        <v>201701</v>
      </c>
      <c r="F377" s="810">
        <v>0.12</v>
      </c>
      <c r="G377" s="521">
        <f t="shared" si="20"/>
        <v>3.5</v>
      </c>
      <c r="H377" s="806">
        <v>1.3083000000000001E-3</v>
      </c>
      <c r="I377" s="523">
        <f t="shared" si="26"/>
        <v>0</v>
      </c>
      <c r="J377" s="448">
        <f t="shared" si="27"/>
        <v>0</v>
      </c>
      <c r="Q377" s="559">
        <f t="shared" ref="Q377:Q440" si="28">IF(E377&lt;=$Q$1,$S$5,$S$6)</f>
        <v>2017</v>
      </c>
    </row>
    <row r="378" spans="1:17" s="559" customFormat="1" ht="15">
      <c r="A378" s="808" t="s">
        <v>318</v>
      </c>
      <c r="B378" s="808" t="s">
        <v>822</v>
      </c>
      <c r="C378" s="805" t="s">
        <v>330</v>
      </c>
      <c r="D378" s="808" t="s">
        <v>823</v>
      </c>
      <c r="E378" s="809">
        <v>201701</v>
      </c>
      <c r="F378" s="810">
        <v>1.1100000000000001</v>
      </c>
      <c r="G378" s="521">
        <f t="shared" si="20"/>
        <v>3.5</v>
      </c>
      <c r="H378" s="806">
        <v>1.3083000000000001E-3</v>
      </c>
      <c r="I378" s="523">
        <f t="shared" si="26"/>
        <v>0.01</v>
      </c>
      <c r="J378" s="448">
        <f t="shared" si="27"/>
        <v>0.02</v>
      </c>
      <c r="Q378" s="559">
        <f t="shared" si="28"/>
        <v>2017</v>
      </c>
    </row>
    <row r="379" spans="1:17" s="559" customFormat="1" ht="15">
      <c r="A379" s="808" t="s">
        <v>318</v>
      </c>
      <c r="B379" s="808" t="s">
        <v>973</v>
      </c>
      <c r="C379" s="805" t="s">
        <v>330</v>
      </c>
      <c r="D379" s="808" t="s">
        <v>974</v>
      </c>
      <c r="E379" s="809">
        <v>201701</v>
      </c>
      <c r="F379" s="810">
        <v>7.55</v>
      </c>
      <c r="G379" s="521">
        <f t="shared" si="20"/>
        <v>3.5</v>
      </c>
      <c r="H379" s="806">
        <v>1.3083000000000001E-3</v>
      </c>
      <c r="I379" s="523">
        <f t="shared" si="26"/>
        <v>0.03</v>
      </c>
      <c r="J379" s="448">
        <f t="shared" si="27"/>
        <v>0.12</v>
      </c>
      <c r="Q379" s="559">
        <f t="shared" si="28"/>
        <v>2017</v>
      </c>
    </row>
    <row r="380" spans="1:17" s="559" customFormat="1" ht="15">
      <c r="A380" s="808" t="s">
        <v>318</v>
      </c>
      <c r="B380" s="808" t="s">
        <v>973</v>
      </c>
      <c r="C380" s="805" t="s">
        <v>330</v>
      </c>
      <c r="D380" s="808" t="s">
        <v>974</v>
      </c>
      <c r="E380" s="809">
        <v>201701</v>
      </c>
      <c r="F380" s="810">
        <v>193.78</v>
      </c>
      <c r="G380" s="521">
        <f t="shared" si="20"/>
        <v>3.5</v>
      </c>
      <c r="H380" s="806">
        <v>1.3083000000000001E-3</v>
      </c>
      <c r="I380" s="523">
        <f t="shared" si="26"/>
        <v>0.89</v>
      </c>
      <c r="J380" s="448">
        <f t="shared" si="27"/>
        <v>3.04</v>
      </c>
      <c r="Q380" s="559">
        <f t="shared" si="28"/>
        <v>2017</v>
      </c>
    </row>
    <row r="381" spans="1:17" s="559" customFormat="1" ht="15">
      <c r="A381" s="808" t="s">
        <v>318</v>
      </c>
      <c r="B381" s="808" t="s">
        <v>868</v>
      </c>
      <c r="C381" s="805" t="s">
        <v>330</v>
      </c>
      <c r="D381" s="808" t="s">
        <v>869</v>
      </c>
      <c r="E381" s="809">
        <v>201701</v>
      </c>
      <c r="F381" s="810">
        <v>-0.16</v>
      </c>
      <c r="G381" s="521">
        <f t="shared" si="20"/>
        <v>3.5</v>
      </c>
      <c r="H381" s="806">
        <v>1.3083000000000001E-3</v>
      </c>
      <c r="I381" s="523">
        <f t="shared" si="26"/>
        <v>0</v>
      </c>
      <c r="J381" s="448">
        <f t="shared" si="27"/>
        <v>0</v>
      </c>
      <c r="Q381" s="559">
        <f t="shared" si="28"/>
        <v>2017</v>
      </c>
    </row>
    <row r="382" spans="1:17" s="559" customFormat="1" ht="15">
      <c r="A382" s="808" t="s">
        <v>318</v>
      </c>
      <c r="B382" s="808" t="s">
        <v>868</v>
      </c>
      <c r="C382" s="805" t="s">
        <v>330</v>
      </c>
      <c r="D382" s="808" t="s">
        <v>869</v>
      </c>
      <c r="E382" s="809">
        <v>201701</v>
      </c>
      <c r="F382" s="810">
        <v>-0.04</v>
      </c>
      <c r="G382" s="521">
        <f t="shared" si="20"/>
        <v>3.5</v>
      </c>
      <c r="H382" s="806">
        <v>1.3083000000000001E-3</v>
      </c>
      <c r="I382" s="523">
        <f t="shared" si="26"/>
        <v>0</v>
      </c>
      <c r="J382" s="448">
        <f t="shared" si="27"/>
        <v>0</v>
      </c>
      <c r="Q382" s="559">
        <f t="shared" si="28"/>
        <v>2017</v>
      </c>
    </row>
    <row r="383" spans="1:17" s="559" customFormat="1" ht="15">
      <c r="A383" s="808" t="s">
        <v>318</v>
      </c>
      <c r="B383" s="808" t="s">
        <v>1108</v>
      </c>
      <c r="C383" s="805" t="s">
        <v>330</v>
      </c>
      <c r="D383" s="808" t="s">
        <v>1109</v>
      </c>
      <c r="E383" s="809">
        <v>201701</v>
      </c>
      <c r="F383" s="810">
        <v>226.28</v>
      </c>
      <c r="G383" s="521">
        <f t="shared" si="20"/>
        <v>3.5</v>
      </c>
      <c r="H383" s="806">
        <v>1.3083000000000001E-3</v>
      </c>
      <c r="I383" s="523">
        <f t="shared" si="26"/>
        <v>1.04</v>
      </c>
      <c r="J383" s="448">
        <f t="shared" si="27"/>
        <v>3.55</v>
      </c>
      <c r="Q383" s="559">
        <f t="shared" si="28"/>
        <v>2017</v>
      </c>
    </row>
    <row r="384" spans="1:17" s="559" customFormat="1" ht="15">
      <c r="A384" s="808" t="s">
        <v>318</v>
      </c>
      <c r="B384" s="808" t="s">
        <v>1108</v>
      </c>
      <c r="C384" s="805" t="s">
        <v>330</v>
      </c>
      <c r="D384" s="808" t="s">
        <v>1109</v>
      </c>
      <c r="E384" s="809">
        <v>201701</v>
      </c>
      <c r="F384" s="810">
        <v>7684.01</v>
      </c>
      <c r="G384" s="521">
        <f t="shared" si="20"/>
        <v>3.5</v>
      </c>
      <c r="H384" s="806">
        <v>1.3083000000000001E-3</v>
      </c>
      <c r="I384" s="523">
        <f t="shared" si="26"/>
        <v>35.19</v>
      </c>
      <c r="J384" s="448">
        <f t="shared" si="27"/>
        <v>120.64</v>
      </c>
      <c r="Q384" s="559">
        <f t="shared" si="28"/>
        <v>2017</v>
      </c>
    </row>
    <row r="385" spans="1:17" s="559" customFormat="1" ht="15">
      <c r="A385" s="808" t="s">
        <v>318</v>
      </c>
      <c r="B385" s="808" t="s">
        <v>1134</v>
      </c>
      <c r="C385" s="805" t="s">
        <v>329</v>
      </c>
      <c r="D385" s="808" t="s">
        <v>1135</v>
      </c>
      <c r="E385" s="809">
        <v>201701</v>
      </c>
      <c r="F385" s="810">
        <v>44120.42</v>
      </c>
      <c r="G385" s="521">
        <f t="shared" si="20"/>
        <v>3.5</v>
      </c>
      <c r="H385" s="806">
        <v>1.3083000000000001E-3</v>
      </c>
      <c r="I385" s="523">
        <f t="shared" si="26"/>
        <v>202.03</v>
      </c>
      <c r="J385" s="448">
        <f t="shared" si="27"/>
        <v>692.67</v>
      </c>
      <c r="Q385" s="559">
        <f t="shared" si="28"/>
        <v>2017</v>
      </c>
    </row>
    <row r="386" spans="1:17" s="559" customFormat="1" ht="15">
      <c r="A386" s="808" t="s">
        <v>318</v>
      </c>
      <c r="B386" s="808" t="s">
        <v>1134</v>
      </c>
      <c r="C386" s="805" t="s">
        <v>329</v>
      </c>
      <c r="D386" s="808" t="s">
        <v>1135</v>
      </c>
      <c r="E386" s="809">
        <v>201701</v>
      </c>
      <c r="F386" s="810">
        <v>529293.52</v>
      </c>
      <c r="G386" s="521">
        <f t="shared" si="20"/>
        <v>3.5</v>
      </c>
      <c r="H386" s="806">
        <v>1.3083000000000001E-3</v>
      </c>
      <c r="I386" s="523">
        <f t="shared" si="26"/>
        <v>2423.66</v>
      </c>
      <c r="J386" s="448">
        <f t="shared" si="27"/>
        <v>8309.7000000000007</v>
      </c>
      <c r="Q386" s="559">
        <f t="shared" si="28"/>
        <v>2017</v>
      </c>
    </row>
    <row r="387" spans="1:17" s="559" customFormat="1" ht="15">
      <c r="A387" s="808" t="s">
        <v>318</v>
      </c>
      <c r="B387" s="808" t="s">
        <v>1136</v>
      </c>
      <c r="C387" s="805" t="s">
        <v>329</v>
      </c>
      <c r="D387" s="808" t="s">
        <v>1137</v>
      </c>
      <c r="E387" s="809">
        <v>201701</v>
      </c>
      <c r="F387" s="810">
        <v>23305.72</v>
      </c>
      <c r="G387" s="521">
        <f t="shared" si="20"/>
        <v>3.5</v>
      </c>
      <c r="H387" s="806">
        <v>1.3083000000000001E-3</v>
      </c>
      <c r="I387" s="523">
        <f t="shared" si="26"/>
        <v>106.72</v>
      </c>
      <c r="J387" s="448">
        <f t="shared" si="27"/>
        <v>365.89</v>
      </c>
      <c r="Q387" s="559">
        <f t="shared" si="28"/>
        <v>2017</v>
      </c>
    </row>
    <row r="388" spans="1:17" s="559" customFormat="1" ht="15">
      <c r="A388" s="808" t="s">
        <v>318</v>
      </c>
      <c r="B388" s="808" t="s">
        <v>1136</v>
      </c>
      <c r="C388" s="805" t="s">
        <v>329</v>
      </c>
      <c r="D388" s="808" t="s">
        <v>1137</v>
      </c>
      <c r="E388" s="809">
        <v>201701</v>
      </c>
      <c r="F388" s="810">
        <v>635896.37</v>
      </c>
      <c r="G388" s="521">
        <f t="shared" si="20"/>
        <v>3.5</v>
      </c>
      <c r="H388" s="806">
        <v>1.3083000000000001E-3</v>
      </c>
      <c r="I388" s="523">
        <f t="shared" si="26"/>
        <v>2911.8</v>
      </c>
      <c r="J388" s="448">
        <f t="shared" si="27"/>
        <v>9983.32</v>
      </c>
      <c r="Q388" s="559">
        <f t="shared" si="28"/>
        <v>2017</v>
      </c>
    </row>
    <row r="389" spans="1:17" s="559" customFormat="1" ht="15">
      <c r="A389" s="808" t="s">
        <v>318</v>
      </c>
      <c r="B389" s="808" t="s">
        <v>1037</v>
      </c>
      <c r="C389" s="805" t="s">
        <v>329</v>
      </c>
      <c r="D389" s="808" t="s">
        <v>1038</v>
      </c>
      <c r="E389" s="809">
        <v>201701</v>
      </c>
      <c r="F389" s="810">
        <v>4.17</v>
      </c>
      <c r="G389" s="521">
        <f t="shared" si="20"/>
        <v>3.5</v>
      </c>
      <c r="H389" s="806">
        <v>1.3083000000000001E-3</v>
      </c>
      <c r="I389" s="523">
        <f t="shared" si="26"/>
        <v>0.02</v>
      </c>
      <c r="J389" s="448">
        <f t="shared" si="27"/>
        <v>7.0000000000000007E-2</v>
      </c>
      <c r="Q389" s="559">
        <f t="shared" si="28"/>
        <v>2017</v>
      </c>
    </row>
    <row r="390" spans="1:17" s="559" customFormat="1" ht="15">
      <c r="A390" s="808" t="s">
        <v>318</v>
      </c>
      <c r="B390" s="808" t="s">
        <v>1037</v>
      </c>
      <c r="C390" s="805" t="s">
        <v>329</v>
      </c>
      <c r="D390" s="808" t="s">
        <v>1038</v>
      </c>
      <c r="E390" s="809">
        <v>201701</v>
      </c>
      <c r="F390" s="810">
        <v>55.3</v>
      </c>
      <c r="G390" s="521">
        <f t="shared" si="20"/>
        <v>3.5</v>
      </c>
      <c r="H390" s="806">
        <v>1.3083000000000001E-3</v>
      </c>
      <c r="I390" s="523">
        <f t="shared" si="26"/>
        <v>0.25</v>
      </c>
      <c r="J390" s="448">
        <f t="shared" si="27"/>
        <v>0.87</v>
      </c>
      <c r="Q390" s="559">
        <f t="shared" si="28"/>
        <v>2017</v>
      </c>
    </row>
    <row r="391" spans="1:17" s="559" customFormat="1" ht="15">
      <c r="A391" s="808" t="s">
        <v>318</v>
      </c>
      <c r="B391" s="808" t="s">
        <v>850</v>
      </c>
      <c r="C391" s="805" t="s">
        <v>329</v>
      </c>
      <c r="D391" s="808" t="s">
        <v>851</v>
      </c>
      <c r="E391" s="809">
        <v>201701</v>
      </c>
      <c r="F391" s="810">
        <v>42.65</v>
      </c>
      <c r="G391" s="521">
        <f t="shared" si="20"/>
        <v>3.5</v>
      </c>
      <c r="H391" s="806">
        <v>1.3083000000000001E-3</v>
      </c>
      <c r="I391" s="523">
        <f t="shared" si="26"/>
        <v>0.2</v>
      </c>
      <c r="J391" s="448">
        <f t="shared" si="27"/>
        <v>0.67</v>
      </c>
      <c r="Q391" s="559">
        <f t="shared" si="28"/>
        <v>2017</v>
      </c>
    </row>
    <row r="392" spans="1:17" s="559" customFormat="1" ht="15">
      <c r="A392" s="808" t="s">
        <v>318</v>
      </c>
      <c r="B392" s="808" t="s">
        <v>850</v>
      </c>
      <c r="C392" s="805" t="s">
        <v>329</v>
      </c>
      <c r="D392" s="808" t="s">
        <v>851</v>
      </c>
      <c r="E392" s="809">
        <v>201701</v>
      </c>
      <c r="F392" s="810">
        <v>518.36</v>
      </c>
      <c r="G392" s="521">
        <f t="shared" si="20"/>
        <v>3.5</v>
      </c>
      <c r="H392" s="806">
        <v>1.3083000000000001E-3</v>
      </c>
      <c r="I392" s="523">
        <f t="shared" si="26"/>
        <v>2.37</v>
      </c>
      <c r="J392" s="448">
        <f t="shared" si="27"/>
        <v>8.14</v>
      </c>
      <c r="Q392" s="559">
        <f t="shared" si="28"/>
        <v>2017</v>
      </c>
    </row>
    <row r="393" spans="1:17" s="559" customFormat="1" ht="15">
      <c r="A393" s="808" t="s">
        <v>318</v>
      </c>
      <c r="B393" s="808" t="s">
        <v>1069</v>
      </c>
      <c r="C393" s="805" t="s">
        <v>330</v>
      </c>
      <c r="D393" s="808" t="s">
        <v>1105</v>
      </c>
      <c r="E393" s="809">
        <v>201701</v>
      </c>
      <c r="F393" s="810">
        <v>421.95</v>
      </c>
      <c r="G393" s="521">
        <f t="shared" si="20"/>
        <v>3.5</v>
      </c>
      <c r="H393" s="806">
        <v>1.3083000000000001E-3</v>
      </c>
      <c r="I393" s="523">
        <f t="shared" si="26"/>
        <v>1.93</v>
      </c>
      <c r="J393" s="448">
        <f t="shared" si="27"/>
        <v>6.62</v>
      </c>
      <c r="Q393" s="559">
        <f t="shared" si="28"/>
        <v>2017</v>
      </c>
    </row>
    <row r="394" spans="1:17" s="559" customFormat="1" ht="15">
      <c r="A394" s="808" t="s">
        <v>318</v>
      </c>
      <c r="B394" s="808" t="s">
        <v>1069</v>
      </c>
      <c r="C394" s="805" t="s">
        <v>330</v>
      </c>
      <c r="D394" s="808" t="s">
        <v>1105</v>
      </c>
      <c r="E394" s="809">
        <v>201701</v>
      </c>
      <c r="F394" s="810">
        <v>9321.64</v>
      </c>
      <c r="G394" s="521">
        <f t="shared" si="20"/>
        <v>3.5</v>
      </c>
      <c r="H394" s="806">
        <v>1.3083000000000001E-3</v>
      </c>
      <c r="I394" s="523">
        <f t="shared" si="26"/>
        <v>42.68</v>
      </c>
      <c r="J394" s="448">
        <f t="shared" si="27"/>
        <v>146.35</v>
      </c>
      <c r="Q394" s="559">
        <f t="shared" si="28"/>
        <v>2017</v>
      </c>
    </row>
    <row r="395" spans="1:17" s="559" customFormat="1" ht="15">
      <c r="A395" s="808" t="s">
        <v>318</v>
      </c>
      <c r="B395" s="808" t="s">
        <v>975</v>
      </c>
      <c r="C395" s="805" t="s">
        <v>330</v>
      </c>
      <c r="D395" s="808" t="s">
        <v>976</v>
      </c>
      <c r="E395" s="809">
        <v>201701</v>
      </c>
      <c r="F395" s="810">
        <v>0.75</v>
      </c>
      <c r="G395" s="521">
        <f t="shared" si="20"/>
        <v>3.5</v>
      </c>
      <c r="H395" s="806">
        <v>1.3083000000000001E-3</v>
      </c>
      <c r="I395" s="523">
        <f t="shared" si="26"/>
        <v>0</v>
      </c>
      <c r="J395" s="448">
        <f t="shared" si="27"/>
        <v>0.01</v>
      </c>
      <c r="Q395" s="559">
        <f t="shared" si="28"/>
        <v>2017</v>
      </c>
    </row>
    <row r="396" spans="1:17" s="559" customFormat="1" ht="15">
      <c r="A396" s="808" t="s">
        <v>318</v>
      </c>
      <c r="B396" s="808" t="s">
        <v>975</v>
      </c>
      <c r="C396" s="805" t="s">
        <v>330</v>
      </c>
      <c r="D396" s="808" t="s">
        <v>976</v>
      </c>
      <c r="E396" s="809">
        <v>201701</v>
      </c>
      <c r="F396" s="810">
        <v>50.89</v>
      </c>
      <c r="G396" s="521">
        <f t="shared" si="20"/>
        <v>3.5</v>
      </c>
      <c r="H396" s="806">
        <v>1.3083000000000001E-3</v>
      </c>
      <c r="I396" s="523">
        <f t="shared" si="26"/>
        <v>0.23</v>
      </c>
      <c r="J396" s="448">
        <f t="shared" si="27"/>
        <v>0.8</v>
      </c>
      <c r="Q396" s="559">
        <f t="shared" si="28"/>
        <v>2017</v>
      </c>
    </row>
    <row r="397" spans="1:17" s="559" customFormat="1" ht="15">
      <c r="A397" s="808" t="s">
        <v>318</v>
      </c>
      <c r="B397" s="808" t="s">
        <v>870</v>
      </c>
      <c r="C397" s="805" t="s">
        <v>330</v>
      </c>
      <c r="D397" s="808" t="s">
        <v>871</v>
      </c>
      <c r="E397" s="809">
        <v>201701</v>
      </c>
      <c r="F397" s="810">
        <v>-465.3</v>
      </c>
      <c r="G397" s="521">
        <f t="shared" si="20"/>
        <v>3.5</v>
      </c>
      <c r="H397" s="806">
        <v>1.3083000000000001E-3</v>
      </c>
      <c r="I397" s="523">
        <f t="shared" si="26"/>
        <v>-2.13</v>
      </c>
      <c r="J397" s="448">
        <f t="shared" si="27"/>
        <v>-7.31</v>
      </c>
      <c r="Q397" s="559">
        <f t="shared" si="28"/>
        <v>2017</v>
      </c>
    </row>
    <row r="398" spans="1:17" s="559" customFormat="1" ht="15">
      <c r="A398" s="808" t="s">
        <v>318</v>
      </c>
      <c r="B398" s="808" t="s">
        <v>870</v>
      </c>
      <c r="C398" s="805" t="s">
        <v>330</v>
      </c>
      <c r="D398" s="808" t="s">
        <v>871</v>
      </c>
      <c r="E398" s="809">
        <v>201701</v>
      </c>
      <c r="F398" s="810">
        <v>-441.59</v>
      </c>
      <c r="G398" s="521">
        <f t="shared" si="20"/>
        <v>3.5</v>
      </c>
      <c r="H398" s="806">
        <v>1.3083000000000001E-3</v>
      </c>
      <c r="I398" s="523">
        <f t="shared" si="26"/>
        <v>-2.02</v>
      </c>
      <c r="J398" s="448">
        <f t="shared" si="27"/>
        <v>-6.93</v>
      </c>
      <c r="Q398" s="559">
        <f t="shared" si="28"/>
        <v>2017</v>
      </c>
    </row>
    <row r="399" spans="1:17" s="559" customFormat="1" ht="15">
      <c r="A399" s="808" t="s">
        <v>318</v>
      </c>
      <c r="B399" s="808" t="s">
        <v>1039</v>
      </c>
      <c r="C399" s="805" t="s">
        <v>330</v>
      </c>
      <c r="D399" s="808" t="s">
        <v>1040</v>
      </c>
      <c r="E399" s="809">
        <v>201701</v>
      </c>
      <c r="F399" s="810">
        <v>186.78</v>
      </c>
      <c r="G399" s="521">
        <f t="shared" si="20"/>
        <v>3.5</v>
      </c>
      <c r="H399" s="806">
        <v>1.3083000000000001E-3</v>
      </c>
      <c r="I399" s="523">
        <f t="shared" si="26"/>
        <v>0.86</v>
      </c>
      <c r="J399" s="448">
        <f t="shared" si="27"/>
        <v>2.93</v>
      </c>
      <c r="Q399" s="559">
        <f t="shared" si="28"/>
        <v>2017</v>
      </c>
    </row>
    <row r="400" spans="1:17" s="559" customFormat="1" ht="15">
      <c r="A400" s="808" t="s">
        <v>318</v>
      </c>
      <c r="B400" s="808" t="s">
        <v>1039</v>
      </c>
      <c r="C400" s="805" t="s">
        <v>330</v>
      </c>
      <c r="D400" s="808" t="s">
        <v>1040</v>
      </c>
      <c r="E400" s="809">
        <v>201701</v>
      </c>
      <c r="F400" s="810">
        <v>3790.83</v>
      </c>
      <c r="G400" s="521">
        <f t="shared" si="20"/>
        <v>3.5</v>
      </c>
      <c r="H400" s="806">
        <v>1.3083000000000001E-3</v>
      </c>
      <c r="I400" s="523">
        <f t="shared" si="26"/>
        <v>17.36</v>
      </c>
      <c r="J400" s="448">
        <f t="shared" si="27"/>
        <v>59.51</v>
      </c>
      <c r="Q400" s="559">
        <f t="shared" si="28"/>
        <v>2017</v>
      </c>
    </row>
    <row r="401" spans="1:17" s="559" customFormat="1" ht="15">
      <c r="A401" s="808" t="s">
        <v>318</v>
      </c>
      <c r="B401" s="808" t="s">
        <v>872</v>
      </c>
      <c r="C401" s="805" t="s">
        <v>330</v>
      </c>
      <c r="D401" s="808" t="s">
        <v>873</v>
      </c>
      <c r="E401" s="809">
        <v>201701</v>
      </c>
      <c r="F401" s="810">
        <v>0.59</v>
      </c>
      <c r="G401" s="521">
        <f t="shared" si="20"/>
        <v>3.5</v>
      </c>
      <c r="H401" s="806">
        <v>1.3083000000000001E-3</v>
      </c>
      <c r="I401" s="523">
        <f t="shared" si="26"/>
        <v>0</v>
      </c>
      <c r="J401" s="448">
        <f t="shared" si="27"/>
        <v>0.01</v>
      </c>
      <c r="Q401" s="559">
        <f t="shared" si="28"/>
        <v>2017</v>
      </c>
    </row>
    <row r="402" spans="1:17" s="559" customFormat="1" ht="15">
      <c r="A402" s="808" t="s">
        <v>318</v>
      </c>
      <c r="B402" s="808" t="s">
        <v>872</v>
      </c>
      <c r="C402" s="805" t="s">
        <v>330</v>
      </c>
      <c r="D402" s="808" t="s">
        <v>873</v>
      </c>
      <c r="E402" s="809">
        <v>201701</v>
      </c>
      <c r="F402" s="810">
        <v>9.23</v>
      </c>
      <c r="G402" s="521">
        <f t="shared" si="20"/>
        <v>3.5</v>
      </c>
      <c r="H402" s="806">
        <v>1.3083000000000001E-3</v>
      </c>
      <c r="I402" s="523">
        <f t="shared" si="26"/>
        <v>0.04</v>
      </c>
      <c r="J402" s="448">
        <f t="shared" si="27"/>
        <v>0.14000000000000001</v>
      </c>
      <c r="Q402" s="559">
        <f t="shared" si="28"/>
        <v>2017</v>
      </c>
    </row>
    <row r="403" spans="1:17" s="559" customFormat="1" ht="15">
      <c r="A403" s="808" t="s">
        <v>318</v>
      </c>
      <c r="B403" s="808" t="s">
        <v>977</v>
      </c>
      <c r="C403" s="805" t="s">
        <v>330</v>
      </c>
      <c r="D403" s="808" t="s">
        <v>978</v>
      </c>
      <c r="E403" s="809">
        <v>201701</v>
      </c>
      <c r="F403" s="810">
        <v>44.79</v>
      </c>
      <c r="G403" s="521">
        <f t="shared" si="20"/>
        <v>3.5</v>
      </c>
      <c r="H403" s="806">
        <v>1.3083000000000001E-3</v>
      </c>
      <c r="I403" s="523">
        <f t="shared" si="26"/>
        <v>0.21</v>
      </c>
      <c r="J403" s="448">
        <f t="shared" si="27"/>
        <v>0.7</v>
      </c>
      <c r="Q403" s="559">
        <f t="shared" si="28"/>
        <v>2017</v>
      </c>
    </row>
    <row r="404" spans="1:17" s="559" customFormat="1" ht="15">
      <c r="A404" s="808" t="s">
        <v>318</v>
      </c>
      <c r="B404" s="808" t="s">
        <v>977</v>
      </c>
      <c r="C404" s="805" t="s">
        <v>330</v>
      </c>
      <c r="D404" s="808" t="s">
        <v>978</v>
      </c>
      <c r="E404" s="809">
        <v>201701</v>
      </c>
      <c r="F404" s="810">
        <v>705.9</v>
      </c>
      <c r="G404" s="521">
        <f t="shared" si="20"/>
        <v>3.5</v>
      </c>
      <c r="H404" s="806">
        <v>1.3083000000000001E-3</v>
      </c>
      <c r="I404" s="523">
        <f t="shared" si="26"/>
        <v>3.23</v>
      </c>
      <c r="J404" s="448">
        <f t="shared" si="27"/>
        <v>11.08</v>
      </c>
      <c r="Q404" s="559">
        <f t="shared" si="28"/>
        <v>2017</v>
      </c>
    </row>
    <row r="405" spans="1:17" s="559" customFormat="1" ht="15">
      <c r="A405" s="808" t="s">
        <v>318</v>
      </c>
      <c r="B405" s="808" t="s">
        <v>1041</v>
      </c>
      <c r="C405" s="805" t="s">
        <v>330</v>
      </c>
      <c r="D405" s="808" t="s">
        <v>1042</v>
      </c>
      <c r="E405" s="809">
        <v>201701</v>
      </c>
      <c r="F405" s="810">
        <v>-12.15</v>
      </c>
      <c r="G405" s="521">
        <f t="shared" si="20"/>
        <v>3.5</v>
      </c>
      <c r="H405" s="806">
        <v>1.3083000000000001E-3</v>
      </c>
      <c r="I405" s="523">
        <f t="shared" si="26"/>
        <v>-0.06</v>
      </c>
      <c r="J405" s="448">
        <f t="shared" si="27"/>
        <v>-0.19</v>
      </c>
      <c r="Q405" s="559">
        <f t="shared" si="28"/>
        <v>2017</v>
      </c>
    </row>
    <row r="406" spans="1:17" s="559" customFormat="1" ht="15">
      <c r="A406" s="808" t="s">
        <v>318</v>
      </c>
      <c r="B406" s="808" t="s">
        <v>1041</v>
      </c>
      <c r="C406" s="805" t="s">
        <v>330</v>
      </c>
      <c r="D406" s="808" t="s">
        <v>1042</v>
      </c>
      <c r="E406" s="809">
        <v>201701</v>
      </c>
      <c r="F406" s="810">
        <v>-0.91</v>
      </c>
      <c r="G406" s="521">
        <f t="shared" si="20"/>
        <v>3.5</v>
      </c>
      <c r="H406" s="806">
        <v>1.3083000000000001E-3</v>
      </c>
      <c r="I406" s="523">
        <f t="shared" si="26"/>
        <v>0</v>
      </c>
      <c r="J406" s="448">
        <f t="shared" si="27"/>
        <v>-0.01</v>
      </c>
      <c r="Q406" s="559">
        <f t="shared" si="28"/>
        <v>2017</v>
      </c>
    </row>
    <row r="407" spans="1:17" s="559" customFormat="1" ht="15">
      <c r="A407" s="808" t="s">
        <v>318</v>
      </c>
      <c r="B407" s="808" t="s">
        <v>979</v>
      </c>
      <c r="C407" s="805" t="s">
        <v>330</v>
      </c>
      <c r="D407" s="808" t="s">
        <v>980</v>
      </c>
      <c r="E407" s="809">
        <v>201701</v>
      </c>
      <c r="F407" s="810">
        <v>3</v>
      </c>
      <c r="G407" s="521">
        <f t="shared" si="20"/>
        <v>3.5</v>
      </c>
      <c r="H407" s="806">
        <v>1.3083000000000001E-3</v>
      </c>
      <c r="I407" s="523">
        <f t="shared" si="26"/>
        <v>0.01</v>
      </c>
      <c r="J407" s="448">
        <f t="shared" si="27"/>
        <v>0.05</v>
      </c>
      <c r="Q407" s="559">
        <f t="shared" si="28"/>
        <v>2017</v>
      </c>
    </row>
    <row r="408" spans="1:17" s="559" customFormat="1" ht="15">
      <c r="A408" s="808" t="s">
        <v>318</v>
      </c>
      <c r="B408" s="808" t="s">
        <v>979</v>
      </c>
      <c r="C408" s="805" t="s">
        <v>330</v>
      </c>
      <c r="D408" s="808" t="s">
        <v>980</v>
      </c>
      <c r="E408" s="809">
        <v>201701</v>
      </c>
      <c r="F408" s="810">
        <v>61.03</v>
      </c>
      <c r="G408" s="521">
        <f t="shared" si="20"/>
        <v>3.5</v>
      </c>
      <c r="H408" s="806">
        <v>1.3083000000000001E-3</v>
      </c>
      <c r="I408" s="523">
        <f t="shared" si="26"/>
        <v>0.28000000000000003</v>
      </c>
      <c r="J408" s="448">
        <f t="shared" si="27"/>
        <v>0.96</v>
      </c>
      <c r="Q408" s="559">
        <f t="shared" si="28"/>
        <v>2017</v>
      </c>
    </row>
    <row r="409" spans="1:17" s="559" customFormat="1" ht="15">
      <c r="A409" s="808" t="s">
        <v>318</v>
      </c>
      <c r="B409" s="808" t="s">
        <v>981</v>
      </c>
      <c r="C409" s="805" t="s">
        <v>330</v>
      </c>
      <c r="D409" s="808" t="s">
        <v>1014</v>
      </c>
      <c r="E409" s="809">
        <v>201701</v>
      </c>
      <c r="F409" s="810">
        <v>19.63</v>
      </c>
      <c r="G409" s="521">
        <f t="shared" si="20"/>
        <v>3.5</v>
      </c>
      <c r="H409" s="806">
        <v>1.3083000000000001E-3</v>
      </c>
      <c r="I409" s="523">
        <f t="shared" si="26"/>
        <v>0.09</v>
      </c>
      <c r="J409" s="448">
        <f t="shared" si="27"/>
        <v>0.31</v>
      </c>
      <c r="Q409" s="559">
        <f t="shared" si="28"/>
        <v>2017</v>
      </c>
    </row>
    <row r="410" spans="1:17" s="559" customFormat="1" ht="15">
      <c r="A410" s="808" t="s">
        <v>318</v>
      </c>
      <c r="B410" s="808" t="s">
        <v>981</v>
      </c>
      <c r="C410" s="805" t="s">
        <v>330</v>
      </c>
      <c r="D410" s="808" t="s">
        <v>1014</v>
      </c>
      <c r="E410" s="809">
        <v>201701</v>
      </c>
      <c r="F410" s="810">
        <v>107.72</v>
      </c>
      <c r="G410" s="521">
        <f t="shared" si="20"/>
        <v>3.5</v>
      </c>
      <c r="H410" s="806">
        <v>1.3083000000000001E-3</v>
      </c>
      <c r="I410" s="523">
        <f t="shared" si="26"/>
        <v>0.49</v>
      </c>
      <c r="J410" s="448">
        <f t="shared" si="27"/>
        <v>1.69</v>
      </c>
      <c r="Q410" s="559">
        <f t="shared" si="28"/>
        <v>2017</v>
      </c>
    </row>
    <row r="411" spans="1:17" s="559" customFormat="1" ht="15">
      <c r="A411" s="808" t="s">
        <v>318</v>
      </c>
      <c r="B411" s="808" t="s">
        <v>981</v>
      </c>
      <c r="C411" s="805" t="s">
        <v>330</v>
      </c>
      <c r="D411" s="808" t="s">
        <v>1014</v>
      </c>
      <c r="E411" s="809">
        <v>201701</v>
      </c>
      <c r="F411" s="810">
        <v>2126.84</v>
      </c>
      <c r="G411" s="521">
        <f t="shared" si="20"/>
        <v>3.5</v>
      </c>
      <c r="H411" s="806">
        <v>1.3083000000000001E-3</v>
      </c>
      <c r="I411" s="523">
        <f t="shared" si="26"/>
        <v>9.74</v>
      </c>
      <c r="J411" s="448">
        <f t="shared" si="27"/>
        <v>33.39</v>
      </c>
      <c r="Q411" s="559">
        <f t="shared" si="28"/>
        <v>2017</v>
      </c>
    </row>
    <row r="412" spans="1:17" s="559" customFormat="1" ht="15">
      <c r="A412" s="808" t="s">
        <v>318</v>
      </c>
      <c r="B412" s="808" t="s">
        <v>983</v>
      </c>
      <c r="C412" s="805" t="s">
        <v>330</v>
      </c>
      <c r="D412" s="808" t="s">
        <v>984</v>
      </c>
      <c r="E412" s="809">
        <v>201701</v>
      </c>
      <c r="F412" s="810">
        <v>1.57</v>
      </c>
      <c r="G412" s="521">
        <f t="shared" si="20"/>
        <v>3.5</v>
      </c>
      <c r="H412" s="806">
        <v>1.3083000000000001E-3</v>
      </c>
      <c r="I412" s="523">
        <f t="shared" si="26"/>
        <v>0.01</v>
      </c>
      <c r="J412" s="448">
        <f t="shared" si="27"/>
        <v>0.02</v>
      </c>
      <c r="Q412" s="559">
        <f t="shared" si="28"/>
        <v>2017</v>
      </c>
    </row>
    <row r="413" spans="1:17" s="559" customFormat="1" ht="15">
      <c r="A413" s="808" t="s">
        <v>318</v>
      </c>
      <c r="B413" s="808" t="s">
        <v>983</v>
      </c>
      <c r="C413" s="805" t="s">
        <v>330</v>
      </c>
      <c r="D413" s="808" t="s">
        <v>984</v>
      </c>
      <c r="E413" s="809">
        <v>201701</v>
      </c>
      <c r="F413" s="810">
        <v>44.21</v>
      </c>
      <c r="G413" s="521">
        <f t="shared" si="20"/>
        <v>3.5</v>
      </c>
      <c r="H413" s="806">
        <v>1.3083000000000001E-3</v>
      </c>
      <c r="I413" s="523">
        <f t="shared" si="26"/>
        <v>0.2</v>
      </c>
      <c r="J413" s="448">
        <f t="shared" si="27"/>
        <v>0.69</v>
      </c>
      <c r="Q413" s="559">
        <f t="shared" si="28"/>
        <v>2017</v>
      </c>
    </row>
    <row r="414" spans="1:17" s="559" customFormat="1" ht="15">
      <c r="A414" s="808" t="s">
        <v>318</v>
      </c>
      <c r="B414" s="808" t="s">
        <v>1043</v>
      </c>
      <c r="C414" s="805" t="s">
        <v>330</v>
      </c>
      <c r="D414" s="808" t="s">
        <v>1044</v>
      </c>
      <c r="E414" s="809">
        <v>201701</v>
      </c>
      <c r="F414" s="810">
        <v>-8.61</v>
      </c>
      <c r="G414" s="521">
        <f t="shared" si="20"/>
        <v>3.5</v>
      </c>
      <c r="H414" s="806">
        <v>1.3083000000000001E-3</v>
      </c>
      <c r="I414" s="523">
        <f t="shared" si="26"/>
        <v>-0.04</v>
      </c>
      <c r="J414" s="448">
        <f t="shared" si="27"/>
        <v>-0.14000000000000001</v>
      </c>
      <c r="Q414" s="559">
        <f t="shared" si="28"/>
        <v>2017</v>
      </c>
    </row>
    <row r="415" spans="1:17" s="559" customFormat="1" ht="15">
      <c r="A415" s="808" t="s">
        <v>318</v>
      </c>
      <c r="B415" s="808" t="s">
        <v>1043</v>
      </c>
      <c r="C415" s="805" t="s">
        <v>330</v>
      </c>
      <c r="D415" s="808" t="s">
        <v>1044</v>
      </c>
      <c r="E415" s="809">
        <v>201701</v>
      </c>
      <c r="F415" s="810">
        <v>-0.48</v>
      </c>
      <c r="G415" s="521">
        <f t="shared" si="20"/>
        <v>3.5</v>
      </c>
      <c r="H415" s="806">
        <v>1.3083000000000001E-3</v>
      </c>
      <c r="I415" s="523">
        <f t="shared" si="26"/>
        <v>0</v>
      </c>
      <c r="J415" s="448">
        <f t="shared" si="27"/>
        <v>-0.01</v>
      </c>
      <c r="Q415" s="559">
        <f t="shared" si="28"/>
        <v>2017</v>
      </c>
    </row>
    <row r="416" spans="1:17" s="559" customFormat="1" ht="15">
      <c r="A416" s="808" t="s">
        <v>318</v>
      </c>
      <c r="B416" s="808" t="s">
        <v>876</v>
      </c>
      <c r="C416" s="805" t="s">
        <v>330</v>
      </c>
      <c r="D416" s="808" t="s">
        <v>877</v>
      </c>
      <c r="E416" s="809">
        <v>201701</v>
      </c>
      <c r="F416" s="810">
        <v>-1.48</v>
      </c>
      <c r="G416" s="521">
        <f t="shared" si="20"/>
        <v>3.5</v>
      </c>
      <c r="H416" s="806">
        <v>1.3083000000000001E-3</v>
      </c>
      <c r="I416" s="523">
        <f t="shared" si="26"/>
        <v>-0.01</v>
      </c>
      <c r="J416" s="448">
        <f t="shared" si="27"/>
        <v>-0.02</v>
      </c>
      <c r="Q416" s="559">
        <f t="shared" si="28"/>
        <v>2017</v>
      </c>
    </row>
    <row r="417" spans="1:17" s="559" customFormat="1" ht="15">
      <c r="A417" s="808" t="s">
        <v>318</v>
      </c>
      <c r="B417" s="808" t="s">
        <v>876</v>
      </c>
      <c r="C417" s="805" t="s">
        <v>330</v>
      </c>
      <c r="D417" s="808" t="s">
        <v>877</v>
      </c>
      <c r="E417" s="809">
        <v>201701</v>
      </c>
      <c r="F417" s="810">
        <v>-0.08</v>
      </c>
      <c r="G417" s="521">
        <f t="shared" si="20"/>
        <v>3.5</v>
      </c>
      <c r="H417" s="806">
        <v>1.3083000000000001E-3</v>
      </c>
      <c r="I417" s="523">
        <f t="shared" si="26"/>
        <v>0</v>
      </c>
      <c r="J417" s="448">
        <f t="shared" si="27"/>
        <v>0</v>
      </c>
      <c r="Q417" s="559">
        <f t="shared" si="28"/>
        <v>2017</v>
      </c>
    </row>
    <row r="418" spans="1:17" s="559" customFormat="1" ht="15">
      <c r="A418" s="808" t="s">
        <v>318</v>
      </c>
      <c r="B418" s="808" t="s">
        <v>1045</v>
      </c>
      <c r="C418" s="805" t="s">
        <v>330</v>
      </c>
      <c r="D418" s="808" t="s">
        <v>1046</v>
      </c>
      <c r="E418" s="809">
        <v>201701</v>
      </c>
      <c r="F418" s="810">
        <v>-3.45</v>
      </c>
      <c r="G418" s="521">
        <f t="shared" si="20"/>
        <v>3.5</v>
      </c>
      <c r="H418" s="806">
        <v>1.3083000000000001E-3</v>
      </c>
      <c r="I418" s="523">
        <f t="shared" si="26"/>
        <v>-0.02</v>
      </c>
      <c r="J418" s="448">
        <f t="shared" si="27"/>
        <v>-0.05</v>
      </c>
      <c r="Q418" s="559">
        <f t="shared" si="28"/>
        <v>2017</v>
      </c>
    </row>
    <row r="419" spans="1:17" s="559" customFormat="1" ht="15">
      <c r="A419" s="808" t="s">
        <v>318</v>
      </c>
      <c r="B419" s="808" t="s">
        <v>1045</v>
      </c>
      <c r="C419" s="805" t="s">
        <v>330</v>
      </c>
      <c r="D419" s="808" t="s">
        <v>1046</v>
      </c>
      <c r="E419" s="809">
        <v>201701</v>
      </c>
      <c r="F419" s="810">
        <v>-0.2</v>
      </c>
      <c r="G419" s="521">
        <f t="shared" si="20"/>
        <v>3.5</v>
      </c>
      <c r="H419" s="806">
        <v>1.3083000000000001E-3</v>
      </c>
      <c r="I419" s="523">
        <f t="shared" si="26"/>
        <v>0</v>
      </c>
      <c r="J419" s="448">
        <f t="shared" si="27"/>
        <v>0</v>
      </c>
      <c r="Q419" s="559">
        <f t="shared" si="28"/>
        <v>2017</v>
      </c>
    </row>
    <row r="420" spans="1:17" s="559" customFormat="1" ht="15">
      <c r="A420" s="808" t="s">
        <v>318</v>
      </c>
      <c r="B420" s="808" t="s">
        <v>878</v>
      </c>
      <c r="C420" s="805" t="s">
        <v>330</v>
      </c>
      <c r="D420" s="808" t="s">
        <v>879</v>
      </c>
      <c r="E420" s="809">
        <v>201701</v>
      </c>
      <c r="F420" s="810">
        <v>3448.93</v>
      </c>
      <c r="G420" s="521">
        <f t="shared" si="20"/>
        <v>3.5</v>
      </c>
      <c r="H420" s="806">
        <v>1.3083000000000001E-3</v>
      </c>
      <c r="I420" s="523">
        <f t="shared" si="26"/>
        <v>15.79</v>
      </c>
      <c r="J420" s="448">
        <f t="shared" si="27"/>
        <v>54.15</v>
      </c>
      <c r="Q420" s="559">
        <f t="shared" si="28"/>
        <v>2017</v>
      </c>
    </row>
    <row r="421" spans="1:17" s="559" customFormat="1" ht="15">
      <c r="A421" s="808" t="s">
        <v>318</v>
      </c>
      <c r="B421" s="808" t="s">
        <v>878</v>
      </c>
      <c r="C421" s="805" t="s">
        <v>330</v>
      </c>
      <c r="D421" s="808" t="s">
        <v>879</v>
      </c>
      <c r="E421" s="809">
        <v>201701</v>
      </c>
      <c r="F421" s="810">
        <v>24277.27</v>
      </c>
      <c r="G421" s="521">
        <f t="shared" si="20"/>
        <v>3.5</v>
      </c>
      <c r="H421" s="806">
        <v>1.3083000000000001E-3</v>
      </c>
      <c r="I421" s="523">
        <f t="shared" si="26"/>
        <v>111.17</v>
      </c>
      <c r="J421" s="448">
        <f t="shared" si="27"/>
        <v>381.14</v>
      </c>
      <c r="Q421" s="559">
        <f t="shared" si="28"/>
        <v>2017</v>
      </c>
    </row>
    <row r="422" spans="1:17" s="559" customFormat="1" ht="15">
      <c r="A422" s="808" t="s">
        <v>318</v>
      </c>
      <c r="B422" s="808" t="s">
        <v>987</v>
      </c>
      <c r="C422" s="805" t="s">
        <v>330</v>
      </c>
      <c r="D422" s="808" t="s">
        <v>988</v>
      </c>
      <c r="E422" s="809">
        <v>201701</v>
      </c>
      <c r="F422" s="810">
        <v>2398.86</v>
      </c>
      <c r="G422" s="521">
        <f t="shared" si="20"/>
        <v>3.5</v>
      </c>
      <c r="H422" s="806">
        <v>1.3083000000000001E-3</v>
      </c>
      <c r="I422" s="523">
        <f t="shared" si="26"/>
        <v>10.98</v>
      </c>
      <c r="J422" s="448">
        <f t="shared" si="27"/>
        <v>37.659999999999997</v>
      </c>
      <c r="Q422" s="559">
        <f t="shared" si="28"/>
        <v>2017</v>
      </c>
    </row>
    <row r="423" spans="1:17" s="559" customFormat="1" ht="15">
      <c r="A423" s="808" t="s">
        <v>318</v>
      </c>
      <c r="B423" s="808" t="s">
        <v>987</v>
      </c>
      <c r="C423" s="805" t="s">
        <v>330</v>
      </c>
      <c r="D423" s="808" t="s">
        <v>988</v>
      </c>
      <c r="E423" s="809">
        <v>201701</v>
      </c>
      <c r="F423" s="810">
        <v>2611.61</v>
      </c>
      <c r="G423" s="521">
        <f t="shared" si="20"/>
        <v>3.5</v>
      </c>
      <c r="H423" s="806">
        <v>1.3083000000000001E-3</v>
      </c>
      <c r="I423" s="523">
        <f t="shared" si="26"/>
        <v>11.96</v>
      </c>
      <c r="J423" s="448">
        <f t="shared" si="27"/>
        <v>41</v>
      </c>
      <c r="Q423" s="559">
        <f t="shared" si="28"/>
        <v>2017</v>
      </c>
    </row>
    <row r="424" spans="1:17" s="559" customFormat="1" ht="15">
      <c r="A424" s="808" t="s">
        <v>318</v>
      </c>
      <c r="B424" s="808" t="s">
        <v>989</v>
      </c>
      <c r="C424" s="805" t="s">
        <v>330</v>
      </c>
      <c r="D424" s="808" t="s">
        <v>990</v>
      </c>
      <c r="E424" s="809">
        <v>201701</v>
      </c>
      <c r="F424" s="810">
        <v>0.05</v>
      </c>
      <c r="G424" s="521">
        <f t="shared" si="20"/>
        <v>3.5</v>
      </c>
      <c r="H424" s="806">
        <v>1.3083000000000001E-3</v>
      </c>
      <c r="I424" s="523">
        <f t="shared" si="26"/>
        <v>0</v>
      </c>
      <c r="J424" s="448">
        <f t="shared" si="27"/>
        <v>0</v>
      </c>
      <c r="Q424" s="559">
        <f t="shared" si="28"/>
        <v>2017</v>
      </c>
    </row>
    <row r="425" spans="1:17" s="559" customFormat="1" ht="15">
      <c r="A425" s="808" t="s">
        <v>318</v>
      </c>
      <c r="B425" s="808" t="s">
        <v>989</v>
      </c>
      <c r="C425" s="805" t="s">
        <v>330</v>
      </c>
      <c r="D425" s="808" t="s">
        <v>990</v>
      </c>
      <c r="E425" s="809">
        <v>201701</v>
      </c>
      <c r="F425" s="810">
        <v>1.37</v>
      </c>
      <c r="G425" s="521">
        <f t="shared" si="20"/>
        <v>3.5</v>
      </c>
      <c r="H425" s="806">
        <v>1.3083000000000001E-3</v>
      </c>
      <c r="I425" s="523">
        <f t="shared" si="26"/>
        <v>0.01</v>
      </c>
      <c r="J425" s="448">
        <f t="shared" si="27"/>
        <v>0.02</v>
      </c>
      <c r="Q425" s="559">
        <f t="shared" si="28"/>
        <v>2017</v>
      </c>
    </row>
    <row r="426" spans="1:17" s="559" customFormat="1" ht="15">
      <c r="A426" s="808" t="s">
        <v>318</v>
      </c>
      <c r="B426" s="808" t="s">
        <v>880</v>
      </c>
      <c r="C426" s="805" t="s">
        <v>330</v>
      </c>
      <c r="D426" s="808" t="s">
        <v>881</v>
      </c>
      <c r="E426" s="809">
        <v>201701</v>
      </c>
      <c r="F426" s="810">
        <v>-10.9</v>
      </c>
      <c r="G426" s="521">
        <f t="shared" si="20"/>
        <v>3.5</v>
      </c>
      <c r="H426" s="806">
        <v>1.3083000000000001E-3</v>
      </c>
      <c r="I426" s="523">
        <f t="shared" si="26"/>
        <v>-0.05</v>
      </c>
      <c r="J426" s="448">
        <f t="shared" si="27"/>
        <v>-0.17</v>
      </c>
      <c r="Q426" s="559">
        <f t="shared" si="28"/>
        <v>2017</v>
      </c>
    </row>
    <row r="427" spans="1:17" s="559" customFormat="1" ht="15">
      <c r="A427" s="808" t="s">
        <v>318</v>
      </c>
      <c r="B427" s="808" t="s">
        <v>880</v>
      </c>
      <c r="C427" s="805" t="s">
        <v>330</v>
      </c>
      <c r="D427" s="808" t="s">
        <v>881</v>
      </c>
      <c r="E427" s="809">
        <v>201701</v>
      </c>
      <c r="F427" s="810">
        <v>-0.39</v>
      </c>
      <c r="G427" s="521">
        <f t="shared" si="20"/>
        <v>3.5</v>
      </c>
      <c r="H427" s="806">
        <v>1.3083000000000001E-3</v>
      </c>
      <c r="I427" s="523">
        <f t="shared" si="26"/>
        <v>0</v>
      </c>
      <c r="J427" s="448">
        <f t="shared" si="27"/>
        <v>-0.01</v>
      </c>
      <c r="Q427" s="559">
        <f t="shared" si="28"/>
        <v>2017</v>
      </c>
    </row>
    <row r="428" spans="1:17" s="559" customFormat="1" ht="15">
      <c r="A428" s="808" t="s">
        <v>318</v>
      </c>
      <c r="B428" s="808" t="s">
        <v>993</v>
      </c>
      <c r="C428" s="805" t="s">
        <v>330</v>
      </c>
      <c r="D428" s="808" t="s">
        <v>994</v>
      </c>
      <c r="E428" s="809">
        <v>201701</v>
      </c>
      <c r="F428" s="810">
        <v>0.94</v>
      </c>
      <c r="G428" s="521">
        <f t="shared" si="20"/>
        <v>3.5</v>
      </c>
      <c r="H428" s="806">
        <v>1.3083000000000001E-3</v>
      </c>
      <c r="I428" s="523">
        <f t="shared" si="26"/>
        <v>0</v>
      </c>
      <c r="J428" s="448">
        <f t="shared" si="27"/>
        <v>0.01</v>
      </c>
      <c r="Q428" s="559">
        <f t="shared" si="28"/>
        <v>2017</v>
      </c>
    </row>
    <row r="429" spans="1:17" s="559" customFormat="1" ht="15">
      <c r="A429" s="808" t="s">
        <v>318</v>
      </c>
      <c r="B429" s="808" t="s">
        <v>993</v>
      </c>
      <c r="C429" s="805" t="s">
        <v>330</v>
      </c>
      <c r="D429" s="808" t="s">
        <v>994</v>
      </c>
      <c r="E429" s="809">
        <v>201701</v>
      </c>
      <c r="F429" s="810">
        <v>18.45</v>
      </c>
      <c r="G429" s="521">
        <f t="shared" si="20"/>
        <v>3.5</v>
      </c>
      <c r="H429" s="806">
        <v>1.3083000000000001E-3</v>
      </c>
      <c r="I429" s="523">
        <f t="shared" si="26"/>
        <v>0.08</v>
      </c>
      <c r="J429" s="448">
        <f t="shared" si="27"/>
        <v>0.28999999999999998</v>
      </c>
      <c r="Q429" s="559">
        <f t="shared" si="28"/>
        <v>2017</v>
      </c>
    </row>
    <row r="430" spans="1:17" s="559" customFormat="1" ht="15">
      <c r="A430" s="808" t="s">
        <v>318</v>
      </c>
      <c r="B430" s="808" t="s">
        <v>996</v>
      </c>
      <c r="C430" s="805" t="s">
        <v>330</v>
      </c>
      <c r="D430" s="808" t="s">
        <v>997</v>
      </c>
      <c r="E430" s="809">
        <v>201701</v>
      </c>
      <c r="F430" s="810">
        <v>12.95</v>
      </c>
      <c r="G430" s="521">
        <f t="shared" si="20"/>
        <v>3.5</v>
      </c>
      <c r="H430" s="806">
        <v>1.3083000000000001E-3</v>
      </c>
      <c r="I430" s="523">
        <f t="shared" si="26"/>
        <v>0.06</v>
      </c>
      <c r="J430" s="448">
        <f t="shared" si="27"/>
        <v>0.2</v>
      </c>
      <c r="Q430" s="559">
        <f t="shared" si="28"/>
        <v>2017</v>
      </c>
    </row>
    <row r="431" spans="1:17" s="559" customFormat="1" ht="15">
      <c r="A431" s="808" t="s">
        <v>318</v>
      </c>
      <c r="B431" s="808" t="s">
        <v>996</v>
      </c>
      <c r="C431" s="805" t="s">
        <v>330</v>
      </c>
      <c r="D431" s="808" t="s">
        <v>997</v>
      </c>
      <c r="E431" s="809">
        <v>201701</v>
      </c>
      <c r="F431" s="810">
        <v>359.05</v>
      </c>
      <c r="G431" s="521">
        <f t="shared" si="20"/>
        <v>3.5</v>
      </c>
      <c r="H431" s="806">
        <v>1.3083000000000001E-3</v>
      </c>
      <c r="I431" s="523">
        <f t="shared" si="26"/>
        <v>1.64</v>
      </c>
      <c r="J431" s="448">
        <f t="shared" si="27"/>
        <v>5.64</v>
      </c>
      <c r="Q431" s="559">
        <f t="shared" si="28"/>
        <v>2017</v>
      </c>
    </row>
    <row r="432" spans="1:17" s="559" customFormat="1" ht="15">
      <c r="A432" s="808" t="s">
        <v>318</v>
      </c>
      <c r="B432" s="808" t="s">
        <v>1110</v>
      </c>
      <c r="C432" s="805" t="s">
        <v>330</v>
      </c>
      <c r="D432" s="808" t="s">
        <v>1111</v>
      </c>
      <c r="E432" s="809">
        <v>201701</v>
      </c>
      <c r="F432" s="810">
        <v>107.97</v>
      </c>
      <c r="G432" s="521">
        <f t="shared" si="20"/>
        <v>3.5</v>
      </c>
      <c r="H432" s="806">
        <v>1.3083000000000001E-3</v>
      </c>
      <c r="I432" s="523">
        <f t="shared" si="26"/>
        <v>0.49</v>
      </c>
      <c r="J432" s="448">
        <f t="shared" si="27"/>
        <v>1.7</v>
      </c>
      <c r="Q432" s="559">
        <f t="shared" si="28"/>
        <v>2017</v>
      </c>
    </row>
    <row r="433" spans="1:17" s="559" customFormat="1" ht="15">
      <c r="A433" s="808" t="s">
        <v>318</v>
      </c>
      <c r="B433" s="808" t="s">
        <v>1110</v>
      </c>
      <c r="C433" s="805" t="s">
        <v>330</v>
      </c>
      <c r="D433" s="808" t="s">
        <v>1111</v>
      </c>
      <c r="E433" s="809">
        <v>201701</v>
      </c>
      <c r="F433" s="810">
        <v>1731.58</v>
      </c>
      <c r="G433" s="521">
        <f t="shared" si="20"/>
        <v>3.5</v>
      </c>
      <c r="H433" s="806">
        <v>1.3083000000000001E-3</v>
      </c>
      <c r="I433" s="523">
        <f t="shared" si="26"/>
        <v>7.93</v>
      </c>
      <c r="J433" s="448">
        <f t="shared" si="27"/>
        <v>27.19</v>
      </c>
      <c r="Q433" s="559">
        <f t="shared" si="28"/>
        <v>2017</v>
      </c>
    </row>
    <row r="434" spans="1:17" s="559" customFormat="1" ht="15">
      <c r="A434" s="808" t="s">
        <v>318</v>
      </c>
      <c r="B434" s="808" t="s">
        <v>1047</v>
      </c>
      <c r="C434" s="805" t="s">
        <v>329</v>
      </c>
      <c r="D434" s="808" t="s">
        <v>1048</v>
      </c>
      <c r="E434" s="809">
        <v>201701</v>
      </c>
      <c r="F434" s="810">
        <v>238.4</v>
      </c>
      <c r="G434" s="521">
        <f t="shared" si="20"/>
        <v>3.5</v>
      </c>
      <c r="H434" s="806">
        <v>1.3083000000000001E-3</v>
      </c>
      <c r="I434" s="523">
        <f t="shared" ref="I434:I459" si="29">ROUND(F434*G434*H434,2)</f>
        <v>1.0900000000000001</v>
      </c>
      <c r="J434" s="448">
        <f t="shared" ref="J434:J459" si="30">ROUND(F434*H434*12,2)</f>
        <v>3.74</v>
      </c>
      <c r="Q434" s="559">
        <f t="shared" si="28"/>
        <v>2017</v>
      </c>
    </row>
    <row r="435" spans="1:17" s="559" customFormat="1" ht="15">
      <c r="A435" s="808" t="s">
        <v>318</v>
      </c>
      <c r="B435" s="808" t="s">
        <v>1047</v>
      </c>
      <c r="C435" s="805" t="s">
        <v>329</v>
      </c>
      <c r="D435" s="808" t="s">
        <v>1048</v>
      </c>
      <c r="E435" s="809">
        <v>201701</v>
      </c>
      <c r="F435" s="810">
        <v>754.66</v>
      </c>
      <c r="G435" s="521">
        <f t="shared" si="20"/>
        <v>3.5</v>
      </c>
      <c r="H435" s="806">
        <v>1.3083000000000001E-3</v>
      </c>
      <c r="I435" s="523">
        <f t="shared" si="29"/>
        <v>3.46</v>
      </c>
      <c r="J435" s="448">
        <f t="shared" si="30"/>
        <v>11.85</v>
      </c>
      <c r="Q435" s="559">
        <f t="shared" si="28"/>
        <v>2017</v>
      </c>
    </row>
    <row r="436" spans="1:17" s="559" customFormat="1" ht="15">
      <c r="A436" s="808" t="s">
        <v>318</v>
      </c>
      <c r="B436" s="808" t="s">
        <v>1112</v>
      </c>
      <c r="C436" s="805" t="s">
        <v>330</v>
      </c>
      <c r="D436" s="808" t="s">
        <v>1113</v>
      </c>
      <c r="E436" s="809">
        <v>201701</v>
      </c>
      <c r="F436" s="810">
        <v>26.46</v>
      </c>
      <c r="G436" s="521">
        <f t="shared" si="20"/>
        <v>3.5</v>
      </c>
      <c r="H436" s="806">
        <v>1.3083000000000001E-3</v>
      </c>
      <c r="I436" s="523">
        <f t="shared" si="29"/>
        <v>0.12</v>
      </c>
      <c r="J436" s="448">
        <f t="shared" si="30"/>
        <v>0.42</v>
      </c>
      <c r="Q436" s="559">
        <f t="shared" si="28"/>
        <v>2017</v>
      </c>
    </row>
    <row r="437" spans="1:17" s="559" customFormat="1" ht="15">
      <c r="A437" s="808" t="s">
        <v>318</v>
      </c>
      <c r="B437" s="808" t="s">
        <v>1112</v>
      </c>
      <c r="C437" s="805" t="s">
        <v>330</v>
      </c>
      <c r="D437" s="808" t="s">
        <v>1113</v>
      </c>
      <c r="E437" s="809">
        <v>201701</v>
      </c>
      <c r="F437" s="810">
        <v>364.26</v>
      </c>
      <c r="G437" s="521">
        <f t="shared" si="20"/>
        <v>3.5</v>
      </c>
      <c r="H437" s="806">
        <v>1.3083000000000001E-3</v>
      </c>
      <c r="I437" s="523">
        <f t="shared" si="29"/>
        <v>1.67</v>
      </c>
      <c r="J437" s="448">
        <f t="shared" si="30"/>
        <v>5.72</v>
      </c>
      <c r="Q437" s="559">
        <f t="shared" si="28"/>
        <v>2017</v>
      </c>
    </row>
    <row r="438" spans="1:17" s="559" customFormat="1" ht="15">
      <c r="A438" s="808" t="s">
        <v>318</v>
      </c>
      <c r="B438" s="808" t="s">
        <v>1114</v>
      </c>
      <c r="C438" s="805" t="s">
        <v>330</v>
      </c>
      <c r="D438" s="808" t="s">
        <v>1115</v>
      </c>
      <c r="E438" s="809">
        <v>201701</v>
      </c>
      <c r="F438" s="810">
        <v>8.08</v>
      </c>
      <c r="G438" s="521">
        <f t="shared" si="20"/>
        <v>3.5</v>
      </c>
      <c r="H438" s="806">
        <v>1.3083000000000001E-3</v>
      </c>
      <c r="I438" s="523">
        <f t="shared" si="29"/>
        <v>0.04</v>
      </c>
      <c r="J438" s="448">
        <f t="shared" si="30"/>
        <v>0.13</v>
      </c>
      <c r="Q438" s="559">
        <f t="shared" si="28"/>
        <v>2017</v>
      </c>
    </row>
    <row r="439" spans="1:17" s="559" customFormat="1" ht="15">
      <c r="A439" s="808" t="s">
        <v>318</v>
      </c>
      <c r="B439" s="808" t="s">
        <v>1114</v>
      </c>
      <c r="C439" s="805" t="s">
        <v>330</v>
      </c>
      <c r="D439" s="808" t="s">
        <v>1115</v>
      </c>
      <c r="E439" s="809">
        <v>201701</v>
      </c>
      <c r="F439" s="810">
        <v>119.69</v>
      </c>
      <c r="G439" s="521">
        <f t="shared" si="20"/>
        <v>3.5</v>
      </c>
      <c r="H439" s="806">
        <v>1.3083000000000001E-3</v>
      </c>
      <c r="I439" s="523">
        <f t="shared" si="29"/>
        <v>0.55000000000000004</v>
      </c>
      <c r="J439" s="448">
        <f t="shared" si="30"/>
        <v>1.88</v>
      </c>
      <c r="Q439" s="559">
        <f t="shared" si="28"/>
        <v>2017</v>
      </c>
    </row>
    <row r="440" spans="1:17" s="559" customFormat="1" ht="15">
      <c r="A440" s="808" t="s">
        <v>318</v>
      </c>
      <c r="B440" s="808" t="s">
        <v>1116</v>
      </c>
      <c r="C440" s="805" t="s">
        <v>330</v>
      </c>
      <c r="D440" s="808" t="s">
        <v>1117</v>
      </c>
      <c r="E440" s="809">
        <v>201701</v>
      </c>
      <c r="F440" s="810">
        <v>569.61</v>
      </c>
      <c r="G440" s="521">
        <f t="shared" si="20"/>
        <v>3.5</v>
      </c>
      <c r="H440" s="806">
        <v>1.3083000000000001E-3</v>
      </c>
      <c r="I440" s="523">
        <f t="shared" si="29"/>
        <v>2.61</v>
      </c>
      <c r="J440" s="448">
        <f t="shared" si="30"/>
        <v>8.94</v>
      </c>
      <c r="Q440" s="559">
        <f t="shared" si="28"/>
        <v>2017</v>
      </c>
    </row>
    <row r="441" spans="1:17" s="559" customFormat="1" ht="15">
      <c r="A441" s="808" t="s">
        <v>318</v>
      </c>
      <c r="B441" s="808" t="s">
        <v>1116</v>
      </c>
      <c r="C441" s="805" t="s">
        <v>330</v>
      </c>
      <c r="D441" s="808" t="s">
        <v>1117</v>
      </c>
      <c r="E441" s="809">
        <v>201701</v>
      </c>
      <c r="F441" s="810">
        <v>7364.02</v>
      </c>
      <c r="G441" s="521">
        <f t="shared" si="20"/>
        <v>3.5</v>
      </c>
      <c r="H441" s="806">
        <v>1.3083000000000001E-3</v>
      </c>
      <c r="I441" s="523">
        <f t="shared" si="29"/>
        <v>33.72</v>
      </c>
      <c r="J441" s="448">
        <f t="shared" si="30"/>
        <v>115.61</v>
      </c>
      <c r="Q441" s="559">
        <f t="shared" ref="Q441:Q459" si="31">IF(E441&lt;=$Q$1,$S$5,$S$6)</f>
        <v>2017</v>
      </c>
    </row>
    <row r="442" spans="1:17" s="559" customFormat="1" ht="15">
      <c r="A442" s="808" t="s">
        <v>318</v>
      </c>
      <c r="B442" s="808" t="s">
        <v>1071</v>
      </c>
      <c r="C442" s="805" t="s">
        <v>330</v>
      </c>
      <c r="D442" s="808" t="s">
        <v>1072</v>
      </c>
      <c r="E442" s="809">
        <v>201701</v>
      </c>
      <c r="F442" s="810">
        <v>228.22</v>
      </c>
      <c r="G442" s="521">
        <f t="shared" si="20"/>
        <v>3.5</v>
      </c>
      <c r="H442" s="806">
        <v>1.3083000000000001E-3</v>
      </c>
      <c r="I442" s="523">
        <f t="shared" si="29"/>
        <v>1.05</v>
      </c>
      <c r="J442" s="448">
        <f t="shared" si="30"/>
        <v>3.58</v>
      </c>
      <c r="Q442" s="559">
        <f t="shared" si="31"/>
        <v>2017</v>
      </c>
    </row>
    <row r="443" spans="1:17" s="559" customFormat="1" ht="15">
      <c r="A443" s="808" t="s">
        <v>318</v>
      </c>
      <c r="B443" s="808" t="s">
        <v>1138</v>
      </c>
      <c r="C443" s="805" t="s">
        <v>414</v>
      </c>
      <c r="D443" s="808" t="s">
        <v>1139</v>
      </c>
      <c r="E443" s="809">
        <v>201701</v>
      </c>
      <c r="F443" s="810">
        <v>80277.259999999995</v>
      </c>
      <c r="G443" s="521">
        <f t="shared" si="20"/>
        <v>3.5</v>
      </c>
      <c r="H443" s="806">
        <v>1.3083000000000001E-3</v>
      </c>
      <c r="I443" s="523">
        <f t="shared" si="29"/>
        <v>367.59</v>
      </c>
      <c r="J443" s="448">
        <f t="shared" si="30"/>
        <v>1260.32</v>
      </c>
      <c r="Q443" s="559">
        <f t="shared" si="31"/>
        <v>2017</v>
      </c>
    </row>
    <row r="444" spans="1:17" s="559" customFormat="1" ht="15">
      <c r="A444" s="808" t="s">
        <v>318</v>
      </c>
      <c r="B444" s="808" t="s">
        <v>889</v>
      </c>
      <c r="C444" s="805" t="s">
        <v>414</v>
      </c>
      <c r="D444" s="808" t="s">
        <v>890</v>
      </c>
      <c r="E444" s="809">
        <v>201701</v>
      </c>
      <c r="F444" s="810">
        <v>0.01</v>
      </c>
      <c r="G444" s="521">
        <f t="shared" si="20"/>
        <v>3.5</v>
      </c>
      <c r="H444" s="806">
        <v>1.3083000000000001E-3</v>
      </c>
      <c r="I444" s="523">
        <f t="shared" si="29"/>
        <v>0</v>
      </c>
      <c r="J444" s="448">
        <f t="shared" si="30"/>
        <v>0</v>
      </c>
      <c r="Q444" s="559">
        <f t="shared" si="31"/>
        <v>2017</v>
      </c>
    </row>
    <row r="445" spans="1:17" s="559" customFormat="1" ht="15">
      <c r="A445" s="808" t="s">
        <v>318</v>
      </c>
      <c r="B445" s="808" t="s">
        <v>889</v>
      </c>
      <c r="C445" s="805" t="s">
        <v>414</v>
      </c>
      <c r="D445" s="808" t="s">
        <v>890</v>
      </c>
      <c r="E445" s="809">
        <v>201701</v>
      </c>
      <c r="F445" s="810">
        <v>0.52</v>
      </c>
      <c r="G445" s="521">
        <f t="shared" si="20"/>
        <v>3.5</v>
      </c>
      <c r="H445" s="806">
        <v>1.3083000000000001E-3</v>
      </c>
      <c r="I445" s="523">
        <f t="shared" si="29"/>
        <v>0</v>
      </c>
      <c r="J445" s="448">
        <f t="shared" si="30"/>
        <v>0.01</v>
      </c>
      <c r="Q445" s="559">
        <f t="shared" si="31"/>
        <v>2017</v>
      </c>
    </row>
    <row r="446" spans="1:17" s="559" customFormat="1" ht="15">
      <c r="A446" s="808" t="s">
        <v>318</v>
      </c>
      <c r="B446" s="808" t="s">
        <v>1006</v>
      </c>
      <c r="C446" s="805" t="s">
        <v>414</v>
      </c>
      <c r="D446" s="808" t="s">
        <v>1007</v>
      </c>
      <c r="E446" s="809">
        <v>201701</v>
      </c>
      <c r="F446" s="810">
        <v>-1.39</v>
      </c>
      <c r="G446" s="521">
        <f t="shared" si="20"/>
        <v>3.5</v>
      </c>
      <c r="H446" s="806">
        <v>1.3083000000000001E-3</v>
      </c>
      <c r="I446" s="523">
        <f t="shared" si="29"/>
        <v>-0.01</v>
      </c>
      <c r="J446" s="448">
        <f t="shared" si="30"/>
        <v>-0.02</v>
      </c>
      <c r="Q446" s="559">
        <f t="shared" si="31"/>
        <v>2017</v>
      </c>
    </row>
    <row r="447" spans="1:17" s="559" customFormat="1" ht="15">
      <c r="A447" s="808" t="s">
        <v>318</v>
      </c>
      <c r="B447" s="808" t="s">
        <v>1006</v>
      </c>
      <c r="C447" s="805" t="s">
        <v>414</v>
      </c>
      <c r="D447" s="808" t="s">
        <v>1007</v>
      </c>
      <c r="E447" s="809">
        <v>201701</v>
      </c>
      <c r="F447" s="810">
        <v>-0.01</v>
      </c>
      <c r="G447" s="521">
        <f t="shared" si="20"/>
        <v>3.5</v>
      </c>
      <c r="H447" s="806">
        <v>1.3083000000000001E-3</v>
      </c>
      <c r="I447" s="523">
        <f t="shared" si="29"/>
        <v>0</v>
      </c>
      <c r="J447" s="448">
        <f t="shared" si="30"/>
        <v>0</v>
      </c>
      <c r="Q447" s="559">
        <f t="shared" si="31"/>
        <v>2017</v>
      </c>
    </row>
    <row r="448" spans="1:17" s="559" customFormat="1" ht="15">
      <c r="A448" s="808" t="s">
        <v>318</v>
      </c>
      <c r="B448" s="808" t="s">
        <v>1049</v>
      </c>
      <c r="C448" s="805" t="s">
        <v>330</v>
      </c>
      <c r="D448" s="808" t="s">
        <v>1050</v>
      </c>
      <c r="E448" s="809">
        <v>201701</v>
      </c>
      <c r="F448" s="810">
        <v>21.32</v>
      </c>
      <c r="G448" s="521">
        <f t="shared" si="20"/>
        <v>3.5</v>
      </c>
      <c r="H448" s="806">
        <v>1.3083000000000001E-3</v>
      </c>
      <c r="I448" s="523">
        <f t="shared" si="29"/>
        <v>0.1</v>
      </c>
      <c r="J448" s="448">
        <f t="shared" si="30"/>
        <v>0.33</v>
      </c>
      <c r="Q448" s="559">
        <f t="shared" si="31"/>
        <v>2017</v>
      </c>
    </row>
    <row r="449" spans="1:17" s="559" customFormat="1" ht="15">
      <c r="A449" s="808" t="s">
        <v>318</v>
      </c>
      <c r="B449" s="808" t="s">
        <v>1049</v>
      </c>
      <c r="C449" s="805" t="s">
        <v>330</v>
      </c>
      <c r="D449" s="808" t="s">
        <v>1050</v>
      </c>
      <c r="E449" s="809">
        <v>201701</v>
      </c>
      <c r="F449" s="810">
        <v>565.02</v>
      </c>
      <c r="G449" s="521">
        <f t="shared" si="20"/>
        <v>3.5</v>
      </c>
      <c r="H449" s="806">
        <v>1.3083000000000001E-3</v>
      </c>
      <c r="I449" s="523">
        <f t="shared" si="29"/>
        <v>2.59</v>
      </c>
      <c r="J449" s="448">
        <f t="shared" si="30"/>
        <v>8.8699999999999992</v>
      </c>
      <c r="Q449" s="559">
        <f t="shared" si="31"/>
        <v>2017</v>
      </c>
    </row>
    <row r="450" spans="1:17" s="559" customFormat="1" ht="15">
      <c r="A450" s="808" t="s">
        <v>318</v>
      </c>
      <c r="B450" s="808" t="s">
        <v>1077</v>
      </c>
      <c r="C450" s="805" t="s">
        <v>330</v>
      </c>
      <c r="D450" s="808" t="s">
        <v>1078</v>
      </c>
      <c r="E450" s="809">
        <v>201701</v>
      </c>
      <c r="F450" s="810">
        <v>184.89</v>
      </c>
      <c r="G450" s="521">
        <f t="shared" si="20"/>
        <v>3.5</v>
      </c>
      <c r="H450" s="806">
        <v>1.3083000000000001E-3</v>
      </c>
      <c r="I450" s="523">
        <f t="shared" si="29"/>
        <v>0.85</v>
      </c>
      <c r="J450" s="448">
        <f t="shared" si="30"/>
        <v>2.9</v>
      </c>
      <c r="Q450" s="559">
        <f t="shared" si="31"/>
        <v>2017</v>
      </c>
    </row>
    <row r="451" spans="1:17" s="559" customFormat="1" ht="15">
      <c r="A451" s="808" t="s">
        <v>318</v>
      </c>
      <c r="B451" s="808" t="s">
        <v>1077</v>
      </c>
      <c r="C451" s="805" t="s">
        <v>330</v>
      </c>
      <c r="D451" s="808" t="s">
        <v>1078</v>
      </c>
      <c r="E451" s="809">
        <v>201701</v>
      </c>
      <c r="F451" s="810">
        <v>2084.2800000000002</v>
      </c>
      <c r="G451" s="521">
        <f t="shared" si="20"/>
        <v>3.5</v>
      </c>
      <c r="H451" s="806">
        <v>1.3083000000000001E-3</v>
      </c>
      <c r="I451" s="523">
        <f t="shared" si="29"/>
        <v>9.5399999999999991</v>
      </c>
      <c r="J451" s="448">
        <f t="shared" si="30"/>
        <v>32.72</v>
      </c>
      <c r="Q451" s="559">
        <f t="shared" si="31"/>
        <v>2017</v>
      </c>
    </row>
    <row r="452" spans="1:17" s="559" customFormat="1" ht="15">
      <c r="A452" s="808" t="s">
        <v>318</v>
      </c>
      <c r="B452" s="808" t="s">
        <v>1079</v>
      </c>
      <c r="C452" s="805" t="s">
        <v>330</v>
      </c>
      <c r="D452" s="808" t="s">
        <v>1080</v>
      </c>
      <c r="E452" s="809">
        <v>201701</v>
      </c>
      <c r="F452" s="810">
        <v>143.78</v>
      </c>
      <c r="G452" s="521">
        <f t="shared" si="20"/>
        <v>3.5</v>
      </c>
      <c r="H452" s="806">
        <v>1.3083000000000001E-3</v>
      </c>
      <c r="I452" s="523">
        <f t="shared" si="29"/>
        <v>0.66</v>
      </c>
      <c r="J452" s="448">
        <f t="shared" si="30"/>
        <v>2.2599999999999998</v>
      </c>
      <c r="Q452" s="559">
        <f t="shared" si="31"/>
        <v>2017</v>
      </c>
    </row>
    <row r="453" spans="1:17" s="559" customFormat="1" ht="15">
      <c r="A453" s="808" t="s">
        <v>318</v>
      </c>
      <c r="B453" s="808" t="s">
        <v>1079</v>
      </c>
      <c r="C453" s="805" t="s">
        <v>330</v>
      </c>
      <c r="D453" s="808" t="s">
        <v>1080</v>
      </c>
      <c r="E453" s="809">
        <v>201701</v>
      </c>
      <c r="F453" s="810">
        <v>2145.02</v>
      </c>
      <c r="G453" s="521">
        <f t="shared" si="20"/>
        <v>3.5</v>
      </c>
      <c r="H453" s="806">
        <v>1.3083000000000001E-3</v>
      </c>
      <c r="I453" s="523">
        <f t="shared" si="29"/>
        <v>9.82</v>
      </c>
      <c r="J453" s="448">
        <f t="shared" si="30"/>
        <v>33.68</v>
      </c>
      <c r="Q453" s="559">
        <f t="shared" si="31"/>
        <v>2017</v>
      </c>
    </row>
    <row r="454" spans="1:17" s="559" customFormat="1" ht="15">
      <c r="A454" s="808" t="s">
        <v>318</v>
      </c>
      <c r="B454" s="808" t="s">
        <v>1118</v>
      </c>
      <c r="C454" s="805" t="s">
        <v>330</v>
      </c>
      <c r="D454" s="808" t="s">
        <v>1119</v>
      </c>
      <c r="E454" s="809">
        <v>201701</v>
      </c>
      <c r="F454" s="810">
        <v>207.5</v>
      </c>
      <c r="G454" s="521">
        <f t="shared" si="20"/>
        <v>3.5</v>
      </c>
      <c r="H454" s="806">
        <v>1.3083000000000001E-3</v>
      </c>
      <c r="I454" s="523">
        <f t="shared" si="29"/>
        <v>0.95</v>
      </c>
      <c r="J454" s="448">
        <f t="shared" si="30"/>
        <v>3.26</v>
      </c>
      <c r="Q454" s="559">
        <f t="shared" si="31"/>
        <v>2017</v>
      </c>
    </row>
    <row r="455" spans="1:17" s="559" customFormat="1" ht="15">
      <c r="A455" s="808" t="s">
        <v>318</v>
      </c>
      <c r="B455" s="808" t="s">
        <v>1118</v>
      </c>
      <c r="C455" s="805" t="s">
        <v>330</v>
      </c>
      <c r="D455" s="808" t="s">
        <v>1119</v>
      </c>
      <c r="E455" s="809">
        <v>201701</v>
      </c>
      <c r="F455" s="810">
        <v>5111.09</v>
      </c>
      <c r="G455" s="521">
        <f t="shared" si="20"/>
        <v>3.5</v>
      </c>
      <c r="H455" s="806">
        <v>1.3083000000000001E-3</v>
      </c>
      <c r="I455" s="523">
        <f t="shared" si="29"/>
        <v>23.4</v>
      </c>
      <c r="J455" s="448">
        <f t="shared" si="30"/>
        <v>80.239999999999995</v>
      </c>
      <c r="Q455" s="559">
        <f t="shared" si="31"/>
        <v>2017</v>
      </c>
    </row>
    <row r="456" spans="1:17" s="559" customFormat="1" ht="15">
      <c r="A456" s="808" t="s">
        <v>318</v>
      </c>
      <c r="B456" s="808" t="s">
        <v>1140</v>
      </c>
      <c r="C456" s="805" t="s">
        <v>330</v>
      </c>
      <c r="D456" s="808" t="s">
        <v>1141</v>
      </c>
      <c r="E456" s="809">
        <v>201701</v>
      </c>
      <c r="F456" s="810">
        <v>16808.349999999999</v>
      </c>
      <c r="G456" s="521">
        <f t="shared" si="20"/>
        <v>3.5</v>
      </c>
      <c r="H456" s="806">
        <v>1.3083000000000001E-3</v>
      </c>
      <c r="I456" s="523">
        <f t="shared" si="29"/>
        <v>76.97</v>
      </c>
      <c r="J456" s="448">
        <f t="shared" si="30"/>
        <v>263.88</v>
      </c>
      <c r="Q456" s="559">
        <f t="shared" si="31"/>
        <v>2017</v>
      </c>
    </row>
    <row r="457" spans="1:17" s="559" customFormat="1" ht="15">
      <c r="A457" s="808" t="s">
        <v>318</v>
      </c>
      <c r="B457" s="808" t="s">
        <v>1140</v>
      </c>
      <c r="C457" s="805" t="s">
        <v>330</v>
      </c>
      <c r="D457" s="808" t="s">
        <v>1141</v>
      </c>
      <c r="E457" s="809">
        <v>201701</v>
      </c>
      <c r="F457" s="810">
        <v>159506.89000000001</v>
      </c>
      <c r="G457" s="521">
        <f t="shared" si="20"/>
        <v>3.5</v>
      </c>
      <c r="H457" s="806">
        <v>1.3083000000000001E-3</v>
      </c>
      <c r="I457" s="523">
        <f t="shared" si="29"/>
        <v>730.39</v>
      </c>
      <c r="J457" s="448">
        <f t="shared" si="30"/>
        <v>2504.19</v>
      </c>
      <c r="Q457" s="559">
        <f t="shared" si="31"/>
        <v>2017</v>
      </c>
    </row>
    <row r="458" spans="1:17" s="559" customFormat="1" ht="15">
      <c r="A458" s="808" t="s">
        <v>318</v>
      </c>
      <c r="B458" s="808" t="s">
        <v>1120</v>
      </c>
      <c r="C458" s="805" t="s">
        <v>330</v>
      </c>
      <c r="D458" s="808" t="s">
        <v>1121</v>
      </c>
      <c r="E458" s="809">
        <v>201701</v>
      </c>
      <c r="F458" s="810">
        <v>-10207.42</v>
      </c>
      <c r="G458" s="521">
        <f t="shared" si="20"/>
        <v>3.5</v>
      </c>
      <c r="H458" s="806">
        <v>1.3083000000000001E-3</v>
      </c>
      <c r="I458" s="523">
        <f t="shared" si="29"/>
        <v>-46.74</v>
      </c>
      <c r="J458" s="448">
        <f t="shared" si="30"/>
        <v>-160.25</v>
      </c>
      <c r="Q458" s="559">
        <f t="shared" si="31"/>
        <v>2017</v>
      </c>
    </row>
    <row r="459" spans="1:17" s="559" customFormat="1" ht="15">
      <c r="A459" s="808" t="s">
        <v>318</v>
      </c>
      <c r="B459" s="808" t="s">
        <v>1120</v>
      </c>
      <c r="C459" s="805" t="s">
        <v>330</v>
      </c>
      <c r="D459" s="808" t="s">
        <v>1121</v>
      </c>
      <c r="E459" s="809">
        <v>201701</v>
      </c>
      <c r="F459" s="810">
        <v>-2473.12</v>
      </c>
      <c r="G459" s="521">
        <f t="shared" si="20"/>
        <v>3.5</v>
      </c>
      <c r="H459" s="806">
        <v>1.3083000000000001E-3</v>
      </c>
      <c r="I459" s="523">
        <f t="shared" si="29"/>
        <v>-11.32</v>
      </c>
      <c r="J459" s="448">
        <f t="shared" si="30"/>
        <v>-38.83</v>
      </c>
      <c r="Q459" s="559">
        <f t="shared" si="31"/>
        <v>2017</v>
      </c>
    </row>
    <row r="460" spans="1:17" s="559" customFormat="1" ht="15">
      <c r="A460" s="481"/>
      <c r="B460" s="428"/>
      <c r="C460" s="587"/>
      <c r="D460" s="747"/>
      <c r="E460" s="485"/>
      <c r="F460" s="748"/>
      <c r="G460" s="521"/>
      <c r="H460" s="451"/>
      <c r="I460" s="523"/>
      <c r="J460" s="448"/>
    </row>
    <row r="461" spans="1:17" ht="12" customHeight="1">
      <c r="A461" s="492"/>
      <c r="B461" s="460"/>
      <c r="C461" s="495"/>
      <c r="D461" s="492" t="str">
        <f>+A1</f>
        <v>MAIN REPLACEMENTS - ADDITIONS</v>
      </c>
      <c r="E461" s="460">
        <v>201701</v>
      </c>
      <c r="F461" s="493">
        <v>0</v>
      </c>
      <c r="G461" s="492">
        <f t="shared" si="20"/>
        <v>3.5</v>
      </c>
      <c r="H461" s="494">
        <v>1.3083000000000001E-3</v>
      </c>
      <c r="I461" s="493">
        <f t="shared" ref="I461:I462" si="32">ROUND(F461*G461*H461,2)</f>
        <v>0</v>
      </c>
      <c r="J461" s="454">
        <f t="shared" ref="J461:J462" si="33">ROUND(F461*H461*12,2)</f>
        <v>0</v>
      </c>
      <c r="Q461" s="559">
        <f t="shared" ref="Q461:Q462" si="34">IF(E461&lt;=$Q$1,$S$5,$S$6)</f>
        <v>2017</v>
      </c>
    </row>
    <row r="462" spans="1:17">
      <c r="A462" s="492"/>
      <c r="B462" s="460"/>
      <c r="C462" s="495"/>
      <c r="D462" s="492" t="str">
        <f>+D461</f>
        <v>MAIN REPLACEMENTS - ADDITIONS</v>
      </c>
      <c r="E462" s="460">
        <v>201702</v>
      </c>
      <c r="F462" s="493">
        <v>2000000</v>
      </c>
      <c r="G462" s="492">
        <f t="shared" si="20"/>
        <v>2.5</v>
      </c>
      <c r="H462" s="494">
        <v>1.3083000000000001E-3</v>
      </c>
      <c r="I462" s="493">
        <f t="shared" si="32"/>
        <v>6541.5</v>
      </c>
      <c r="J462" s="454">
        <f t="shared" si="33"/>
        <v>31399.200000000001</v>
      </c>
      <c r="Q462" s="101">
        <f t="shared" si="34"/>
        <v>2017</v>
      </c>
    </row>
    <row r="463" spans="1:17">
      <c r="A463" s="103"/>
      <c r="B463" s="267"/>
      <c r="C463" s="267"/>
      <c r="D463" s="121"/>
      <c r="E463" s="164"/>
      <c r="F463" s="165"/>
      <c r="G463" s="166"/>
      <c r="H463" s="132"/>
      <c r="I463" s="103"/>
      <c r="J463" s="103"/>
    </row>
    <row r="464" spans="1:17" ht="13.5" thickBot="1">
      <c r="A464" s="103"/>
      <c r="B464" s="267"/>
      <c r="C464" s="267"/>
      <c r="D464" s="267"/>
      <c r="E464" s="164"/>
      <c r="F464" s="167">
        <f>SUM(F5:F463)</f>
        <v>4687242.9799999995</v>
      </c>
      <c r="G464" s="166"/>
      <c r="H464" s="121"/>
      <c r="I464" s="167">
        <f>SUM(I5:I463)</f>
        <v>20532.590000000004</v>
      </c>
      <c r="J464" s="167">
        <f>SUM(J5:J463)</f>
        <v>73590.370000000024</v>
      </c>
    </row>
    <row r="465" spans="1:17" ht="13.5" thickTop="1">
      <c r="A465" s="103"/>
      <c r="B465" s="267"/>
      <c r="C465" s="267"/>
      <c r="D465" s="267"/>
      <c r="E465" s="164"/>
      <c r="F465" s="115"/>
      <c r="G465" s="166"/>
      <c r="H465" s="121"/>
      <c r="I465" s="103"/>
      <c r="J465" s="103"/>
    </row>
    <row r="466" spans="1:17">
      <c r="A466" s="67" t="s">
        <v>103</v>
      </c>
    </row>
    <row r="468" spans="1:17">
      <c r="A468" s="81" t="s">
        <v>86</v>
      </c>
      <c r="B468" s="81" t="s">
        <v>87</v>
      </c>
      <c r="C468" s="81" t="s">
        <v>88</v>
      </c>
      <c r="D468" s="81"/>
      <c r="E468" s="146" t="s">
        <v>89</v>
      </c>
      <c r="F468" s="81" t="s">
        <v>90</v>
      </c>
      <c r="G468" s="147"/>
      <c r="H468" s="81" t="s">
        <v>91</v>
      </c>
      <c r="I468" s="81" t="s">
        <v>92</v>
      </c>
      <c r="J468" s="81" t="s">
        <v>93</v>
      </c>
    </row>
    <row r="469" spans="1:17">
      <c r="A469" s="86" t="s">
        <v>94</v>
      </c>
      <c r="B469" s="86" t="s">
        <v>95</v>
      </c>
      <c r="C469" s="86" t="s">
        <v>96</v>
      </c>
      <c r="D469" s="87" t="s">
        <v>97</v>
      </c>
      <c r="E469" s="148" t="s">
        <v>98</v>
      </c>
      <c r="F469" s="86" t="s">
        <v>99</v>
      </c>
      <c r="G469" s="149" t="s">
        <v>100</v>
      </c>
      <c r="H469" s="86" t="s">
        <v>101</v>
      </c>
      <c r="I469" s="86" t="s">
        <v>93</v>
      </c>
      <c r="J469" s="86" t="s">
        <v>102</v>
      </c>
    </row>
    <row r="470" spans="1:17">
      <c r="A470" s="332" t="s">
        <v>318</v>
      </c>
      <c r="B470" s="333" t="s">
        <v>941</v>
      </c>
      <c r="C470" s="423" t="s">
        <v>330</v>
      </c>
      <c r="D470" s="332" t="s">
        <v>942</v>
      </c>
      <c r="E470" s="333">
        <v>201611</v>
      </c>
      <c r="F470" s="334">
        <v>1570.33</v>
      </c>
      <c r="G470" s="521">
        <f t="shared" ref="G470:G531" si="35">VLOOKUP(E470,$N$6:$O$49,2,FALSE)</f>
        <v>5.5</v>
      </c>
      <c r="H470" s="381">
        <v>1.3083000000000001E-3</v>
      </c>
      <c r="I470" s="334">
        <f t="shared" ref="I470:I531" si="36">ROUND(F470*G470*H470,2)</f>
        <v>11.3</v>
      </c>
      <c r="J470" s="334">
        <f t="shared" ref="J470:J531" si="37">ROUND(F470*H470*12,2)</f>
        <v>24.65</v>
      </c>
      <c r="Q470" s="101">
        <f t="shared" ref="Q470:Q531" si="38">IF(E470&lt;=$Q$1,$S$5,$S$6)</f>
        <v>2017</v>
      </c>
    </row>
    <row r="471" spans="1:17">
      <c r="A471" s="332" t="s">
        <v>318</v>
      </c>
      <c r="B471" s="333" t="s">
        <v>856</v>
      </c>
      <c r="C471" s="423" t="s">
        <v>330</v>
      </c>
      <c r="D471" s="332" t="s">
        <v>857</v>
      </c>
      <c r="E471" s="333">
        <v>201611</v>
      </c>
      <c r="F471" s="334">
        <v>-0.1</v>
      </c>
      <c r="G471" s="521">
        <f t="shared" si="35"/>
        <v>5.5</v>
      </c>
      <c r="H471" s="381">
        <v>1.3083000000000001E-3</v>
      </c>
      <c r="I471" s="523">
        <f t="shared" si="36"/>
        <v>0</v>
      </c>
      <c r="J471" s="523">
        <f t="shared" si="37"/>
        <v>0</v>
      </c>
      <c r="Q471" s="101">
        <f t="shared" si="38"/>
        <v>2017</v>
      </c>
    </row>
    <row r="472" spans="1:17">
      <c r="A472" s="332" t="s">
        <v>318</v>
      </c>
      <c r="B472" s="333" t="s">
        <v>629</v>
      </c>
      <c r="C472" s="423" t="s">
        <v>330</v>
      </c>
      <c r="D472" s="332" t="s">
        <v>630</v>
      </c>
      <c r="E472" s="333">
        <v>201611</v>
      </c>
      <c r="F472" s="334">
        <v>1.02</v>
      </c>
      <c r="G472" s="521">
        <f t="shared" si="35"/>
        <v>5.5</v>
      </c>
      <c r="H472" s="381">
        <v>1.3083000000000001E-3</v>
      </c>
      <c r="I472" s="523">
        <f t="shared" si="36"/>
        <v>0.01</v>
      </c>
      <c r="J472" s="523">
        <f t="shared" si="37"/>
        <v>0.02</v>
      </c>
      <c r="Q472" s="101">
        <f t="shared" si="38"/>
        <v>2017</v>
      </c>
    </row>
    <row r="473" spans="1:17">
      <c r="A473" s="521" t="s">
        <v>318</v>
      </c>
      <c r="B473" s="522" t="s">
        <v>805</v>
      </c>
      <c r="C473" s="423" t="s">
        <v>330</v>
      </c>
      <c r="D473" s="521" t="s">
        <v>806</v>
      </c>
      <c r="E473" s="522">
        <v>201611</v>
      </c>
      <c r="F473" s="523">
        <v>-4.12</v>
      </c>
      <c r="G473" s="521">
        <f t="shared" si="35"/>
        <v>5.5</v>
      </c>
      <c r="H473" s="486">
        <v>1.3083000000000001E-3</v>
      </c>
      <c r="I473" s="523">
        <f t="shared" si="36"/>
        <v>-0.03</v>
      </c>
      <c r="J473" s="523">
        <f t="shared" si="37"/>
        <v>-0.06</v>
      </c>
      <c r="Q473" s="101">
        <f t="shared" si="38"/>
        <v>2017</v>
      </c>
    </row>
    <row r="474" spans="1:17">
      <c r="A474" s="521" t="s">
        <v>318</v>
      </c>
      <c r="B474" s="522" t="s">
        <v>1033</v>
      </c>
      <c r="C474" s="423" t="s">
        <v>330</v>
      </c>
      <c r="D474" s="521" t="s">
        <v>1034</v>
      </c>
      <c r="E474" s="522">
        <v>201611</v>
      </c>
      <c r="F474" s="523">
        <v>-8.1</v>
      </c>
      <c r="G474" s="521">
        <f t="shared" si="35"/>
        <v>5.5</v>
      </c>
      <c r="H474" s="486">
        <v>1.3083000000000001E-3</v>
      </c>
      <c r="I474" s="523">
        <f t="shared" si="36"/>
        <v>-0.06</v>
      </c>
      <c r="J474" s="523">
        <f t="shared" si="37"/>
        <v>-0.13</v>
      </c>
      <c r="Q474" s="101">
        <f t="shared" si="38"/>
        <v>2017</v>
      </c>
    </row>
    <row r="475" spans="1:17">
      <c r="A475" s="332" t="s">
        <v>318</v>
      </c>
      <c r="B475" s="333" t="s">
        <v>832</v>
      </c>
      <c r="C475" s="423" t="s">
        <v>330</v>
      </c>
      <c r="D475" s="332" t="s">
        <v>833</v>
      </c>
      <c r="E475" s="333">
        <v>201611</v>
      </c>
      <c r="F475" s="334">
        <v>79.83</v>
      </c>
      <c r="G475" s="521">
        <f t="shared" si="35"/>
        <v>5.5</v>
      </c>
      <c r="H475" s="381">
        <v>1.3083000000000001E-3</v>
      </c>
      <c r="I475" s="523">
        <f t="shared" si="36"/>
        <v>0.56999999999999995</v>
      </c>
      <c r="J475" s="523">
        <f t="shared" si="37"/>
        <v>1.25</v>
      </c>
      <c r="Q475" s="101">
        <f t="shared" si="38"/>
        <v>2017</v>
      </c>
    </row>
    <row r="476" spans="1:17">
      <c r="A476" s="332" t="s">
        <v>318</v>
      </c>
      <c r="B476" s="333" t="s">
        <v>951</v>
      </c>
      <c r="C476" s="423" t="s">
        <v>330</v>
      </c>
      <c r="D476" s="332" t="s">
        <v>952</v>
      </c>
      <c r="E476" s="333">
        <v>201611</v>
      </c>
      <c r="F476" s="334">
        <v>-265.14999999999998</v>
      </c>
      <c r="G476" s="521">
        <f t="shared" si="35"/>
        <v>5.5</v>
      </c>
      <c r="H476" s="336">
        <v>1.3083000000000001E-3</v>
      </c>
      <c r="I476" s="523">
        <f t="shared" si="36"/>
        <v>-1.91</v>
      </c>
      <c r="J476" s="523">
        <f t="shared" si="37"/>
        <v>-4.16</v>
      </c>
      <c r="Q476" s="101">
        <f t="shared" si="38"/>
        <v>2017</v>
      </c>
    </row>
    <row r="477" spans="1:17">
      <c r="A477" s="332" t="s">
        <v>318</v>
      </c>
      <c r="B477" s="333" t="s">
        <v>955</v>
      </c>
      <c r="C477" s="423" t="s">
        <v>330</v>
      </c>
      <c r="D477" s="332" t="s">
        <v>956</v>
      </c>
      <c r="E477" s="333">
        <v>201611</v>
      </c>
      <c r="F477" s="334">
        <v>441.2</v>
      </c>
      <c r="G477" s="521">
        <f t="shared" si="35"/>
        <v>5.5</v>
      </c>
      <c r="H477" s="336">
        <v>1.3083000000000001E-3</v>
      </c>
      <c r="I477" s="523">
        <f t="shared" si="36"/>
        <v>3.17</v>
      </c>
      <c r="J477" s="523">
        <f t="shared" si="37"/>
        <v>6.93</v>
      </c>
      <c r="Q477" s="101">
        <f t="shared" si="38"/>
        <v>2017</v>
      </c>
    </row>
    <row r="478" spans="1:17">
      <c r="A478" s="332" t="s">
        <v>318</v>
      </c>
      <c r="B478" s="333" t="s">
        <v>963</v>
      </c>
      <c r="C478" s="423" t="s">
        <v>330</v>
      </c>
      <c r="D478" s="332" t="s">
        <v>964</v>
      </c>
      <c r="E478" s="333">
        <v>201611</v>
      </c>
      <c r="F478" s="334">
        <v>31.38</v>
      </c>
      <c r="G478" s="521">
        <f t="shared" si="35"/>
        <v>5.5</v>
      </c>
      <c r="H478" s="336">
        <v>1.3083000000000001E-3</v>
      </c>
      <c r="I478" s="523">
        <f t="shared" si="36"/>
        <v>0.23</v>
      </c>
      <c r="J478" s="523">
        <f t="shared" si="37"/>
        <v>0.49</v>
      </c>
      <c r="Q478" s="101">
        <f t="shared" si="38"/>
        <v>2017</v>
      </c>
    </row>
    <row r="479" spans="1:17" ht="15">
      <c r="A479" s="332" t="s">
        <v>318</v>
      </c>
      <c r="B479" s="333" t="s">
        <v>682</v>
      </c>
      <c r="C479" s="424" t="s">
        <v>330</v>
      </c>
      <c r="D479" s="332" t="s">
        <v>683</v>
      </c>
      <c r="E479" s="333">
        <v>201611</v>
      </c>
      <c r="F479" s="334">
        <v>5352.6</v>
      </c>
      <c r="G479" s="521">
        <f t="shared" si="35"/>
        <v>5.5</v>
      </c>
      <c r="H479" s="336">
        <v>1.3083000000000001E-3</v>
      </c>
      <c r="I479" s="523">
        <f t="shared" si="36"/>
        <v>38.520000000000003</v>
      </c>
      <c r="J479" s="523">
        <f t="shared" si="37"/>
        <v>84.03</v>
      </c>
      <c r="Q479" s="101">
        <f t="shared" si="38"/>
        <v>2017</v>
      </c>
    </row>
    <row r="480" spans="1:17">
      <c r="A480" s="332" t="s">
        <v>318</v>
      </c>
      <c r="B480" s="333" t="s">
        <v>846</v>
      </c>
      <c r="C480" s="423" t="s">
        <v>330</v>
      </c>
      <c r="D480" s="332" t="s">
        <v>847</v>
      </c>
      <c r="E480" s="333">
        <v>201611</v>
      </c>
      <c r="F480" s="334">
        <v>-9868.06</v>
      </c>
      <c r="G480" s="521">
        <f t="shared" si="35"/>
        <v>5.5</v>
      </c>
      <c r="H480" s="336">
        <v>1.3083000000000001E-3</v>
      </c>
      <c r="I480" s="523">
        <f t="shared" si="36"/>
        <v>-71.010000000000005</v>
      </c>
      <c r="J480" s="523">
        <f t="shared" si="37"/>
        <v>-154.91999999999999</v>
      </c>
      <c r="Q480" s="101">
        <f t="shared" si="38"/>
        <v>2017</v>
      </c>
    </row>
    <row r="481" spans="1:17">
      <c r="A481" s="332" t="s">
        <v>318</v>
      </c>
      <c r="B481" s="333" t="s">
        <v>973</v>
      </c>
      <c r="C481" s="423" t="s">
        <v>330</v>
      </c>
      <c r="D481" s="332" t="s">
        <v>974</v>
      </c>
      <c r="E481" s="333">
        <v>201611</v>
      </c>
      <c r="F481" s="334">
        <v>-1.26</v>
      </c>
      <c r="G481" s="521">
        <f t="shared" si="35"/>
        <v>5.5</v>
      </c>
      <c r="H481" s="336">
        <v>1.3083000000000001E-3</v>
      </c>
      <c r="I481" s="523">
        <f t="shared" si="36"/>
        <v>-0.01</v>
      </c>
      <c r="J481" s="523">
        <f t="shared" si="37"/>
        <v>-0.02</v>
      </c>
      <c r="Q481" s="101">
        <f t="shared" si="38"/>
        <v>2017</v>
      </c>
    </row>
    <row r="482" spans="1:17">
      <c r="A482" s="332" t="s">
        <v>318</v>
      </c>
      <c r="B482" s="333" t="s">
        <v>868</v>
      </c>
      <c r="C482" s="423" t="s">
        <v>330</v>
      </c>
      <c r="D482" s="332" t="s">
        <v>869</v>
      </c>
      <c r="E482" s="333">
        <v>201611</v>
      </c>
      <c r="F482" s="334">
        <v>-332768.51</v>
      </c>
      <c r="G482" s="521">
        <f t="shared" si="35"/>
        <v>5.5</v>
      </c>
      <c r="H482" s="336">
        <v>1.3083000000000001E-3</v>
      </c>
      <c r="I482" s="523">
        <f t="shared" si="36"/>
        <v>-2394.4899999999998</v>
      </c>
      <c r="J482" s="523">
        <f t="shared" si="37"/>
        <v>-5224.33</v>
      </c>
      <c r="Q482" s="101">
        <f t="shared" si="38"/>
        <v>2017</v>
      </c>
    </row>
    <row r="483" spans="1:17" ht="15">
      <c r="A483" s="332" t="s">
        <v>318</v>
      </c>
      <c r="B483" s="333" t="s">
        <v>868</v>
      </c>
      <c r="C483" s="424" t="s">
        <v>330</v>
      </c>
      <c r="D483" s="332" t="s">
        <v>869</v>
      </c>
      <c r="E483" s="333">
        <v>201611</v>
      </c>
      <c r="F483" s="334">
        <v>231903.57</v>
      </c>
      <c r="G483" s="521">
        <f t="shared" si="35"/>
        <v>5.5</v>
      </c>
      <c r="H483" s="336">
        <v>1.3083000000000001E-3</v>
      </c>
      <c r="I483" s="523">
        <f t="shared" si="36"/>
        <v>1668.7</v>
      </c>
      <c r="J483" s="523">
        <f t="shared" si="37"/>
        <v>3640.79</v>
      </c>
      <c r="Q483" s="101">
        <f t="shared" si="38"/>
        <v>2017</v>
      </c>
    </row>
    <row r="484" spans="1:17" ht="15">
      <c r="A484" s="332" t="s">
        <v>318</v>
      </c>
      <c r="B484" s="333" t="s">
        <v>1069</v>
      </c>
      <c r="C484" s="424" t="s">
        <v>330</v>
      </c>
      <c r="D484" s="332" t="s">
        <v>1105</v>
      </c>
      <c r="E484" s="333">
        <v>201611</v>
      </c>
      <c r="F484" s="334">
        <v>-30.14</v>
      </c>
      <c r="G484" s="521">
        <f t="shared" si="35"/>
        <v>5.5</v>
      </c>
      <c r="H484" s="336">
        <v>1.3083000000000001E-3</v>
      </c>
      <c r="I484" s="523">
        <f t="shared" si="36"/>
        <v>-0.22</v>
      </c>
      <c r="J484" s="523">
        <f t="shared" si="37"/>
        <v>-0.47</v>
      </c>
      <c r="Q484" s="101">
        <f t="shared" si="38"/>
        <v>2017</v>
      </c>
    </row>
    <row r="485" spans="1:17" ht="15">
      <c r="A485" s="332" t="s">
        <v>318</v>
      </c>
      <c r="B485" s="333" t="s">
        <v>975</v>
      </c>
      <c r="C485" s="424" t="s">
        <v>330</v>
      </c>
      <c r="D485" s="332" t="s">
        <v>976</v>
      </c>
      <c r="E485" s="333">
        <v>201611</v>
      </c>
      <c r="F485" s="334">
        <v>40.33</v>
      </c>
      <c r="G485" s="521">
        <f t="shared" si="35"/>
        <v>5.5</v>
      </c>
      <c r="H485" s="336">
        <v>1.3083000000000001E-3</v>
      </c>
      <c r="I485" s="523">
        <f t="shared" si="36"/>
        <v>0.28999999999999998</v>
      </c>
      <c r="J485" s="523">
        <f t="shared" si="37"/>
        <v>0.63</v>
      </c>
      <c r="Q485" s="101">
        <f t="shared" si="38"/>
        <v>2017</v>
      </c>
    </row>
    <row r="486" spans="1:17">
      <c r="A486" s="332" t="s">
        <v>318</v>
      </c>
      <c r="B486" s="333" t="s">
        <v>852</v>
      </c>
      <c r="C486" s="423" t="s">
        <v>330</v>
      </c>
      <c r="D486" s="332" t="s">
        <v>853</v>
      </c>
      <c r="E486" s="333">
        <v>201611</v>
      </c>
      <c r="F486" s="334">
        <v>-3306.1</v>
      </c>
      <c r="G486" s="521">
        <f t="shared" si="35"/>
        <v>5.5</v>
      </c>
      <c r="H486" s="336">
        <v>1.3083000000000001E-3</v>
      </c>
      <c r="I486" s="523">
        <f t="shared" si="36"/>
        <v>-23.79</v>
      </c>
      <c r="J486" s="523">
        <f t="shared" si="37"/>
        <v>-51.9</v>
      </c>
      <c r="Q486" s="101">
        <f t="shared" si="38"/>
        <v>2017</v>
      </c>
    </row>
    <row r="487" spans="1:17" ht="15">
      <c r="A487" s="332" t="s">
        <v>318</v>
      </c>
      <c r="B487" s="333" t="s">
        <v>870</v>
      </c>
      <c r="C487" s="424" t="s">
        <v>330</v>
      </c>
      <c r="D487" s="332" t="s">
        <v>871</v>
      </c>
      <c r="E487" s="333">
        <v>201611</v>
      </c>
      <c r="F487" s="334">
        <v>2287.91</v>
      </c>
      <c r="G487" s="521">
        <f t="shared" si="35"/>
        <v>5.5</v>
      </c>
      <c r="H487" s="336">
        <v>1.3083000000000001E-3</v>
      </c>
      <c r="I487" s="523">
        <f t="shared" si="36"/>
        <v>16.46</v>
      </c>
      <c r="J487" s="523">
        <f t="shared" si="37"/>
        <v>35.92</v>
      </c>
      <c r="Q487" s="101">
        <f t="shared" si="38"/>
        <v>2017</v>
      </c>
    </row>
    <row r="488" spans="1:17">
      <c r="A488" s="332" t="s">
        <v>318</v>
      </c>
      <c r="B488" s="333" t="s">
        <v>1039</v>
      </c>
      <c r="C488" s="423" t="s">
        <v>330</v>
      </c>
      <c r="D488" s="332" t="s">
        <v>1040</v>
      </c>
      <c r="E488" s="333">
        <v>201611</v>
      </c>
      <c r="F488" s="334">
        <v>3502.1</v>
      </c>
      <c r="G488" s="521">
        <f t="shared" si="35"/>
        <v>5.5</v>
      </c>
      <c r="H488" s="336">
        <v>1.3083000000000001E-3</v>
      </c>
      <c r="I488" s="523">
        <f t="shared" si="36"/>
        <v>25.2</v>
      </c>
      <c r="J488" s="523">
        <f t="shared" si="37"/>
        <v>54.98</v>
      </c>
      <c r="Q488" s="101">
        <f t="shared" si="38"/>
        <v>2017</v>
      </c>
    </row>
    <row r="489" spans="1:17">
      <c r="A489" s="332" t="s">
        <v>318</v>
      </c>
      <c r="B489" s="333" t="s">
        <v>872</v>
      </c>
      <c r="C489" s="423" t="s">
        <v>330</v>
      </c>
      <c r="D489" s="332" t="s">
        <v>873</v>
      </c>
      <c r="E489" s="333">
        <v>201611</v>
      </c>
      <c r="F489" s="334">
        <v>19353.900000000001</v>
      </c>
      <c r="G489" s="521">
        <f t="shared" si="35"/>
        <v>5.5</v>
      </c>
      <c r="H489" s="336">
        <v>1.3083000000000001E-3</v>
      </c>
      <c r="I489" s="523">
        <f t="shared" si="36"/>
        <v>139.26</v>
      </c>
      <c r="J489" s="523">
        <f t="shared" si="37"/>
        <v>303.85000000000002</v>
      </c>
      <c r="Q489" s="101">
        <f t="shared" si="38"/>
        <v>2017</v>
      </c>
    </row>
    <row r="490" spans="1:17" ht="15">
      <c r="A490" s="332" t="s">
        <v>318</v>
      </c>
      <c r="B490" s="333" t="s">
        <v>977</v>
      </c>
      <c r="C490" s="424" t="s">
        <v>330</v>
      </c>
      <c r="D490" s="332" t="s">
        <v>978</v>
      </c>
      <c r="E490" s="333">
        <v>201611</v>
      </c>
      <c r="F490" s="334">
        <v>97.64</v>
      </c>
      <c r="G490" s="521">
        <f t="shared" si="35"/>
        <v>5.5</v>
      </c>
      <c r="H490" s="336">
        <v>1.3083000000000001E-3</v>
      </c>
      <c r="I490" s="523">
        <f t="shared" si="36"/>
        <v>0.7</v>
      </c>
      <c r="J490" s="523">
        <f t="shared" si="37"/>
        <v>1.53</v>
      </c>
      <c r="Q490" s="101">
        <f t="shared" si="38"/>
        <v>2017</v>
      </c>
    </row>
    <row r="491" spans="1:17">
      <c r="A491" s="332" t="s">
        <v>318</v>
      </c>
      <c r="B491" s="333" t="s">
        <v>1041</v>
      </c>
      <c r="C491" s="423" t="s">
        <v>330</v>
      </c>
      <c r="D491" s="332" t="s">
        <v>1042</v>
      </c>
      <c r="E491" s="333">
        <v>201611</v>
      </c>
      <c r="F491" s="334">
        <v>2680.46</v>
      </c>
      <c r="G491" s="521">
        <f t="shared" si="35"/>
        <v>5.5</v>
      </c>
      <c r="H491" s="336">
        <v>1.3083000000000001E-3</v>
      </c>
      <c r="I491" s="523">
        <f t="shared" si="36"/>
        <v>19.29</v>
      </c>
      <c r="J491" s="523">
        <f t="shared" si="37"/>
        <v>42.08</v>
      </c>
      <c r="Q491" s="101">
        <f t="shared" si="38"/>
        <v>2017</v>
      </c>
    </row>
    <row r="492" spans="1:17" ht="15">
      <c r="A492" s="332" t="s">
        <v>318</v>
      </c>
      <c r="B492" s="333" t="s">
        <v>979</v>
      </c>
      <c r="C492" s="424" t="s">
        <v>330</v>
      </c>
      <c r="D492" s="332" t="s">
        <v>980</v>
      </c>
      <c r="E492" s="333">
        <v>201611</v>
      </c>
      <c r="F492" s="334">
        <v>18.420000000000002</v>
      </c>
      <c r="G492" s="521">
        <f t="shared" si="35"/>
        <v>5.5</v>
      </c>
      <c r="H492" s="336">
        <v>1.3083000000000001E-3</v>
      </c>
      <c r="I492" s="523">
        <f t="shared" si="36"/>
        <v>0.13</v>
      </c>
      <c r="J492" s="523">
        <f t="shared" si="37"/>
        <v>0.28999999999999998</v>
      </c>
      <c r="Q492" s="101">
        <f t="shared" si="38"/>
        <v>2017</v>
      </c>
    </row>
    <row r="493" spans="1:17" ht="15">
      <c r="A493" s="332" t="s">
        <v>318</v>
      </c>
      <c r="B493" s="333" t="s">
        <v>981</v>
      </c>
      <c r="C493" s="424" t="s">
        <v>330</v>
      </c>
      <c r="D493" s="332" t="s">
        <v>1014</v>
      </c>
      <c r="E493" s="333">
        <v>201611</v>
      </c>
      <c r="F493" s="334">
        <v>672.44</v>
      </c>
      <c r="G493" s="521">
        <f t="shared" si="35"/>
        <v>5.5</v>
      </c>
      <c r="H493" s="336">
        <v>1.3083000000000001E-3</v>
      </c>
      <c r="I493" s="523">
        <f t="shared" si="36"/>
        <v>4.84</v>
      </c>
      <c r="J493" s="523">
        <f t="shared" si="37"/>
        <v>10.56</v>
      </c>
      <c r="Q493" s="101">
        <f t="shared" si="38"/>
        <v>2017</v>
      </c>
    </row>
    <row r="494" spans="1:17">
      <c r="A494" s="332" t="s">
        <v>318</v>
      </c>
      <c r="B494" s="333" t="s">
        <v>874</v>
      </c>
      <c r="C494" s="423" t="s">
        <v>330</v>
      </c>
      <c r="D494" s="332" t="s">
        <v>875</v>
      </c>
      <c r="E494" s="333">
        <v>201611</v>
      </c>
      <c r="F494" s="334">
        <v>1076.58</v>
      </c>
      <c r="G494" s="521">
        <f t="shared" si="35"/>
        <v>5.5</v>
      </c>
      <c r="H494" s="336">
        <v>1.3083000000000001E-3</v>
      </c>
      <c r="I494" s="523">
        <f t="shared" si="36"/>
        <v>7.75</v>
      </c>
      <c r="J494" s="523">
        <f t="shared" si="37"/>
        <v>16.899999999999999</v>
      </c>
      <c r="Q494" s="101">
        <f t="shared" si="38"/>
        <v>2017</v>
      </c>
    </row>
    <row r="495" spans="1:17" ht="15">
      <c r="A495" s="332" t="s">
        <v>318</v>
      </c>
      <c r="B495" s="333" t="s">
        <v>983</v>
      </c>
      <c r="C495" s="424" t="s">
        <v>330</v>
      </c>
      <c r="D495" s="332" t="s">
        <v>984</v>
      </c>
      <c r="E495" s="333">
        <v>201611</v>
      </c>
      <c r="F495" s="334">
        <v>32.549999999999997</v>
      </c>
      <c r="G495" s="521">
        <f t="shared" si="35"/>
        <v>5.5</v>
      </c>
      <c r="H495" s="336">
        <v>1.3083000000000001E-3</v>
      </c>
      <c r="I495" s="523">
        <f t="shared" si="36"/>
        <v>0.23</v>
      </c>
      <c r="J495" s="523">
        <f t="shared" si="37"/>
        <v>0.51</v>
      </c>
      <c r="Q495" s="101">
        <f t="shared" si="38"/>
        <v>2017</v>
      </c>
    </row>
    <row r="496" spans="1:17">
      <c r="A496" s="332" t="s">
        <v>318</v>
      </c>
      <c r="B496" s="333" t="s">
        <v>1043</v>
      </c>
      <c r="C496" s="423" t="s">
        <v>330</v>
      </c>
      <c r="D496" s="332" t="s">
        <v>1044</v>
      </c>
      <c r="E496" s="333">
        <v>201611</v>
      </c>
      <c r="F496" s="334">
        <v>25.5</v>
      </c>
      <c r="G496" s="521">
        <f t="shared" si="35"/>
        <v>5.5</v>
      </c>
      <c r="H496" s="336">
        <v>1.3083000000000001E-3</v>
      </c>
      <c r="I496" s="523">
        <f t="shared" si="36"/>
        <v>0.18</v>
      </c>
      <c r="J496" s="523">
        <f t="shared" si="37"/>
        <v>0.4</v>
      </c>
      <c r="Q496" s="101">
        <f t="shared" si="38"/>
        <v>2017</v>
      </c>
    </row>
    <row r="497" spans="1:17">
      <c r="A497" s="332" t="s">
        <v>318</v>
      </c>
      <c r="B497" s="333" t="s">
        <v>876</v>
      </c>
      <c r="C497" s="423" t="s">
        <v>330</v>
      </c>
      <c r="D497" s="332" t="s">
        <v>877</v>
      </c>
      <c r="E497" s="333">
        <v>201611</v>
      </c>
      <c r="F497" s="334">
        <v>-44.26</v>
      </c>
      <c r="G497" s="521">
        <f t="shared" si="35"/>
        <v>5.5</v>
      </c>
      <c r="H497" s="336">
        <v>1.3083000000000001E-3</v>
      </c>
      <c r="I497" s="523">
        <f t="shared" si="36"/>
        <v>-0.32</v>
      </c>
      <c r="J497" s="523">
        <f t="shared" si="37"/>
        <v>-0.69</v>
      </c>
      <c r="Q497" s="101">
        <f t="shared" si="38"/>
        <v>2017</v>
      </c>
    </row>
    <row r="498" spans="1:17" ht="15">
      <c r="A498" s="332" t="s">
        <v>318</v>
      </c>
      <c r="B498" s="333" t="s">
        <v>1045</v>
      </c>
      <c r="C498" s="424" t="s">
        <v>330</v>
      </c>
      <c r="D498" s="332" t="s">
        <v>1046</v>
      </c>
      <c r="E498" s="333">
        <v>201611</v>
      </c>
      <c r="F498" s="334">
        <v>13.63</v>
      </c>
      <c r="G498" s="521">
        <f t="shared" si="35"/>
        <v>5.5</v>
      </c>
      <c r="H498" s="336">
        <v>1.3083000000000001E-3</v>
      </c>
      <c r="I498" s="523">
        <f t="shared" si="36"/>
        <v>0.1</v>
      </c>
      <c r="J498" s="523">
        <f t="shared" si="37"/>
        <v>0.21</v>
      </c>
      <c r="Q498" s="101">
        <f t="shared" si="38"/>
        <v>2017</v>
      </c>
    </row>
    <row r="499" spans="1:17">
      <c r="A499" s="332" t="s">
        <v>318</v>
      </c>
      <c r="B499" s="333" t="s">
        <v>987</v>
      </c>
      <c r="C499" s="423" t="s">
        <v>330</v>
      </c>
      <c r="D499" s="332" t="s">
        <v>988</v>
      </c>
      <c r="E499" s="333">
        <v>201611</v>
      </c>
      <c r="F499" s="334">
        <v>1.5</v>
      </c>
      <c r="G499" s="521">
        <f t="shared" si="35"/>
        <v>5.5</v>
      </c>
      <c r="H499" s="336">
        <v>1.3083000000000001E-3</v>
      </c>
      <c r="I499" s="523">
        <f t="shared" si="36"/>
        <v>0.01</v>
      </c>
      <c r="J499" s="523">
        <f t="shared" si="37"/>
        <v>0.02</v>
      </c>
      <c r="Q499" s="101">
        <f t="shared" si="38"/>
        <v>2017</v>
      </c>
    </row>
    <row r="500" spans="1:17">
      <c r="A500" s="332" t="s">
        <v>318</v>
      </c>
      <c r="B500" s="333" t="s">
        <v>991</v>
      </c>
      <c r="C500" s="423" t="s">
        <v>330</v>
      </c>
      <c r="D500" s="332" t="s">
        <v>992</v>
      </c>
      <c r="E500" s="333">
        <v>201611</v>
      </c>
      <c r="F500" s="334">
        <v>18.510000000000002</v>
      </c>
      <c r="G500" s="521">
        <f t="shared" si="35"/>
        <v>5.5</v>
      </c>
      <c r="H500" s="336">
        <v>1.3083000000000001E-3</v>
      </c>
      <c r="I500" s="523">
        <f t="shared" si="36"/>
        <v>0.13</v>
      </c>
      <c r="J500" s="523">
        <f t="shared" si="37"/>
        <v>0.28999999999999998</v>
      </c>
      <c r="Q500" s="101">
        <f t="shared" si="38"/>
        <v>2017</v>
      </c>
    </row>
    <row r="501" spans="1:17" ht="15">
      <c r="A501" s="332" t="s">
        <v>318</v>
      </c>
      <c r="B501" s="333" t="s">
        <v>880</v>
      </c>
      <c r="C501" s="424" t="s">
        <v>330</v>
      </c>
      <c r="D501" s="332" t="s">
        <v>881</v>
      </c>
      <c r="E501" s="333">
        <v>201611</v>
      </c>
      <c r="F501" s="334">
        <v>57274.94</v>
      </c>
      <c r="G501" s="521">
        <f t="shared" si="35"/>
        <v>5.5</v>
      </c>
      <c r="H501" s="336">
        <v>1.3083000000000001E-3</v>
      </c>
      <c r="I501" s="523">
        <f t="shared" si="36"/>
        <v>412.13</v>
      </c>
      <c r="J501" s="523">
        <f t="shared" si="37"/>
        <v>899.19</v>
      </c>
      <c r="Q501" s="101">
        <f t="shared" si="38"/>
        <v>2017</v>
      </c>
    </row>
    <row r="502" spans="1:17" ht="15">
      <c r="A502" s="332" t="s">
        <v>318</v>
      </c>
      <c r="B502" s="333" t="s">
        <v>993</v>
      </c>
      <c r="C502" s="424" t="s">
        <v>330</v>
      </c>
      <c r="D502" s="332" t="s">
        <v>994</v>
      </c>
      <c r="E502" s="333">
        <v>201611</v>
      </c>
      <c r="F502" s="334">
        <v>666.93</v>
      </c>
      <c r="G502" s="521">
        <f t="shared" si="35"/>
        <v>5.5</v>
      </c>
      <c r="H502" s="336">
        <v>1.3083000000000001E-3</v>
      </c>
      <c r="I502" s="523">
        <f t="shared" si="36"/>
        <v>4.8</v>
      </c>
      <c r="J502" s="523">
        <f t="shared" si="37"/>
        <v>10.47</v>
      </c>
      <c r="Q502" s="101">
        <f t="shared" si="38"/>
        <v>2017</v>
      </c>
    </row>
    <row r="503" spans="1:17" ht="15">
      <c r="A503" s="332" t="s">
        <v>318</v>
      </c>
      <c r="B503" s="333" t="s">
        <v>891</v>
      </c>
      <c r="C503" s="424" t="s">
        <v>331</v>
      </c>
      <c r="D503" s="332" t="s">
        <v>892</v>
      </c>
      <c r="E503" s="333">
        <v>201611</v>
      </c>
      <c r="F503" s="334">
        <v>53.07</v>
      </c>
      <c r="G503" s="521">
        <f t="shared" si="35"/>
        <v>5.5</v>
      </c>
      <c r="H503" s="336">
        <v>1.3083000000000001E-3</v>
      </c>
      <c r="I503" s="523">
        <f t="shared" si="36"/>
        <v>0.38</v>
      </c>
      <c r="J503" s="523">
        <f t="shared" si="37"/>
        <v>0.83</v>
      </c>
      <c r="Q503" s="101">
        <f t="shared" si="38"/>
        <v>2017</v>
      </c>
    </row>
    <row r="504" spans="1:17">
      <c r="A504" s="332" t="s">
        <v>318</v>
      </c>
      <c r="B504" s="333" t="s">
        <v>996</v>
      </c>
      <c r="C504" s="423" t="s">
        <v>330</v>
      </c>
      <c r="D504" s="332" t="s">
        <v>997</v>
      </c>
      <c r="E504" s="333">
        <v>201611</v>
      </c>
      <c r="F504" s="334">
        <v>1084.55</v>
      </c>
      <c r="G504" s="521">
        <f t="shared" si="35"/>
        <v>5.5</v>
      </c>
      <c r="H504" s="336">
        <v>1.3083000000000001E-3</v>
      </c>
      <c r="I504" s="523">
        <f t="shared" si="36"/>
        <v>7.8</v>
      </c>
      <c r="J504" s="523">
        <f t="shared" si="37"/>
        <v>17.03</v>
      </c>
      <c r="Q504" s="101">
        <f t="shared" si="38"/>
        <v>2017</v>
      </c>
    </row>
    <row r="505" spans="1:17">
      <c r="A505" s="332" t="s">
        <v>318</v>
      </c>
      <c r="B505" s="333" t="s">
        <v>887</v>
      </c>
      <c r="C505" s="423" t="s">
        <v>330</v>
      </c>
      <c r="D505" s="332" t="s">
        <v>888</v>
      </c>
      <c r="E505" s="333">
        <v>201611</v>
      </c>
      <c r="F505" s="334">
        <v>31.01</v>
      </c>
      <c r="G505" s="521">
        <f t="shared" si="35"/>
        <v>5.5</v>
      </c>
      <c r="H505" s="336">
        <v>1.3083000000000001E-3</v>
      </c>
      <c r="I505" s="523">
        <f t="shared" si="36"/>
        <v>0.22</v>
      </c>
      <c r="J505" s="523">
        <f t="shared" si="37"/>
        <v>0.49</v>
      </c>
      <c r="Q505" s="101">
        <f t="shared" si="38"/>
        <v>2017</v>
      </c>
    </row>
    <row r="506" spans="1:17" ht="15">
      <c r="A506" s="332" t="s">
        <v>318</v>
      </c>
      <c r="B506" s="333" t="s">
        <v>1075</v>
      </c>
      <c r="C506" s="424" t="s">
        <v>331</v>
      </c>
      <c r="D506" s="332" t="s">
        <v>1076</v>
      </c>
      <c r="E506" s="333">
        <v>201611</v>
      </c>
      <c r="F506" s="334">
        <v>-4002.6</v>
      </c>
      <c r="G506" s="521">
        <f t="shared" si="35"/>
        <v>5.5</v>
      </c>
      <c r="H506" s="336">
        <v>1.3083000000000001E-3</v>
      </c>
      <c r="I506" s="523">
        <f t="shared" si="36"/>
        <v>-28.8</v>
      </c>
      <c r="J506" s="523">
        <f t="shared" si="37"/>
        <v>-62.84</v>
      </c>
      <c r="Q506" s="101">
        <f t="shared" si="38"/>
        <v>2017</v>
      </c>
    </row>
    <row r="507" spans="1:17" ht="15">
      <c r="A507" s="332" t="s">
        <v>318</v>
      </c>
      <c r="B507" s="333" t="s">
        <v>1049</v>
      </c>
      <c r="C507" s="424" t="s">
        <v>330</v>
      </c>
      <c r="D507" s="332" t="s">
        <v>1050</v>
      </c>
      <c r="E507" s="333">
        <v>201611</v>
      </c>
      <c r="F507" s="334">
        <v>148.69999999999999</v>
      </c>
      <c r="G507" s="521">
        <f t="shared" si="35"/>
        <v>5.5</v>
      </c>
      <c r="H507" s="336">
        <v>1.3083000000000001E-3</v>
      </c>
      <c r="I507" s="523">
        <f t="shared" si="36"/>
        <v>1.07</v>
      </c>
      <c r="J507" s="523">
        <f t="shared" si="37"/>
        <v>2.33</v>
      </c>
      <c r="Q507" s="101">
        <f t="shared" si="38"/>
        <v>2017</v>
      </c>
    </row>
    <row r="508" spans="1:17">
      <c r="A508" s="332" t="s">
        <v>318</v>
      </c>
      <c r="B508" s="333" t="s">
        <v>1077</v>
      </c>
      <c r="C508" s="423" t="s">
        <v>330</v>
      </c>
      <c r="D508" s="332" t="s">
        <v>1078</v>
      </c>
      <c r="E508" s="333">
        <v>201611</v>
      </c>
      <c r="F508" s="334">
        <v>-244.82</v>
      </c>
      <c r="G508" s="521">
        <f t="shared" si="35"/>
        <v>5.5</v>
      </c>
      <c r="H508" s="336">
        <v>1.3083000000000001E-3</v>
      </c>
      <c r="I508" s="523">
        <f t="shared" si="36"/>
        <v>-1.76</v>
      </c>
      <c r="J508" s="523">
        <f t="shared" si="37"/>
        <v>-3.84</v>
      </c>
      <c r="Q508" s="101">
        <f t="shared" si="38"/>
        <v>2017</v>
      </c>
    </row>
    <row r="509" spans="1:17">
      <c r="A509" s="332" t="s">
        <v>318</v>
      </c>
      <c r="B509" s="333" t="s">
        <v>1079</v>
      </c>
      <c r="C509" s="423" t="s">
        <v>330</v>
      </c>
      <c r="D509" s="332" t="s">
        <v>1080</v>
      </c>
      <c r="E509" s="333">
        <v>201611</v>
      </c>
      <c r="F509" s="334">
        <v>-1401.28</v>
      </c>
      <c r="G509" s="521">
        <f t="shared" si="35"/>
        <v>5.5</v>
      </c>
      <c r="H509" s="336">
        <v>1.3083000000000001E-3</v>
      </c>
      <c r="I509" s="523">
        <f t="shared" si="36"/>
        <v>-10.08</v>
      </c>
      <c r="J509" s="523">
        <f t="shared" si="37"/>
        <v>-22</v>
      </c>
      <c r="Q509" s="101">
        <f t="shared" si="38"/>
        <v>2017</v>
      </c>
    </row>
    <row r="510" spans="1:17">
      <c r="A510" s="332" t="s">
        <v>318</v>
      </c>
      <c r="B510" s="333" t="s">
        <v>1053</v>
      </c>
      <c r="C510" s="423" t="s">
        <v>331</v>
      </c>
      <c r="D510" s="332" t="s">
        <v>1054</v>
      </c>
      <c r="E510" s="333">
        <v>201611</v>
      </c>
      <c r="F510" s="334">
        <v>0.72</v>
      </c>
      <c r="G510" s="521">
        <f t="shared" si="35"/>
        <v>5.5</v>
      </c>
      <c r="H510" s="336">
        <v>1.3083000000000001E-3</v>
      </c>
      <c r="I510" s="523">
        <f t="shared" si="36"/>
        <v>0.01</v>
      </c>
      <c r="J510" s="523">
        <f t="shared" si="37"/>
        <v>0.01</v>
      </c>
      <c r="Q510" s="101">
        <f t="shared" si="38"/>
        <v>2017</v>
      </c>
    </row>
    <row r="511" spans="1:17">
      <c r="A511" s="332" t="s">
        <v>318</v>
      </c>
      <c r="B511" s="333" t="s">
        <v>941</v>
      </c>
      <c r="C511" s="423" t="s">
        <v>330</v>
      </c>
      <c r="D511" s="332" t="s">
        <v>942</v>
      </c>
      <c r="E511" s="333">
        <v>201612</v>
      </c>
      <c r="F511" s="334">
        <v>-50.77</v>
      </c>
      <c r="G511" s="521">
        <f t="shared" si="35"/>
        <v>4.5</v>
      </c>
      <c r="H511" s="336">
        <v>1.3083000000000001E-3</v>
      </c>
      <c r="I511" s="523">
        <f t="shared" si="36"/>
        <v>-0.3</v>
      </c>
      <c r="J511" s="523">
        <f t="shared" si="37"/>
        <v>-0.8</v>
      </c>
      <c r="Q511" s="101">
        <f t="shared" si="38"/>
        <v>2017</v>
      </c>
    </row>
    <row r="512" spans="1:17">
      <c r="A512" s="332" t="s">
        <v>318</v>
      </c>
      <c r="B512" s="333" t="s">
        <v>856</v>
      </c>
      <c r="C512" s="423" t="s">
        <v>330</v>
      </c>
      <c r="D512" s="332" t="s">
        <v>857</v>
      </c>
      <c r="E512" s="333">
        <v>201612</v>
      </c>
      <c r="F512" s="334">
        <v>-35792.54</v>
      </c>
      <c r="G512" s="521">
        <f t="shared" si="35"/>
        <v>4.5</v>
      </c>
      <c r="H512" s="336">
        <v>1.3083000000000001E-3</v>
      </c>
      <c r="I512" s="523">
        <f t="shared" si="36"/>
        <v>-210.72</v>
      </c>
      <c r="J512" s="523">
        <f t="shared" si="37"/>
        <v>-561.92999999999995</v>
      </c>
      <c r="Q512" s="101">
        <f t="shared" si="38"/>
        <v>2017</v>
      </c>
    </row>
    <row r="513" spans="1:17" ht="15">
      <c r="A513" s="332" t="s">
        <v>318</v>
      </c>
      <c r="B513" s="333" t="s">
        <v>856</v>
      </c>
      <c r="C513" s="424" t="s">
        <v>330</v>
      </c>
      <c r="D513" s="332" t="s">
        <v>857</v>
      </c>
      <c r="E513" s="333">
        <v>201612</v>
      </c>
      <c r="F513" s="334">
        <v>62513.919999999998</v>
      </c>
      <c r="G513" s="521">
        <f t="shared" si="35"/>
        <v>4.5</v>
      </c>
      <c r="H513" s="336">
        <v>1.3083000000000001E-3</v>
      </c>
      <c r="I513" s="523">
        <f t="shared" si="36"/>
        <v>368.04</v>
      </c>
      <c r="J513" s="523">
        <f t="shared" si="37"/>
        <v>981.44</v>
      </c>
      <c r="Q513" s="101">
        <f t="shared" si="38"/>
        <v>2017</v>
      </c>
    </row>
    <row r="514" spans="1:17">
      <c r="A514" s="332" t="s">
        <v>318</v>
      </c>
      <c r="B514" s="333" t="s">
        <v>800</v>
      </c>
      <c r="C514" s="423" t="s">
        <v>330</v>
      </c>
      <c r="D514" s="332" t="s">
        <v>830</v>
      </c>
      <c r="E514" s="333">
        <v>201612</v>
      </c>
      <c r="F514" s="334">
        <v>7779.01</v>
      </c>
      <c r="G514" s="521">
        <f t="shared" si="35"/>
        <v>4.5</v>
      </c>
      <c r="H514" s="336">
        <v>1.3083000000000001E-3</v>
      </c>
      <c r="I514" s="523">
        <f t="shared" si="36"/>
        <v>45.8</v>
      </c>
      <c r="J514" s="523">
        <f t="shared" si="37"/>
        <v>122.13</v>
      </c>
      <c r="Q514" s="101">
        <f t="shared" si="38"/>
        <v>2017</v>
      </c>
    </row>
    <row r="515" spans="1:17">
      <c r="A515" s="332" t="s">
        <v>318</v>
      </c>
      <c r="B515" s="333" t="s">
        <v>629</v>
      </c>
      <c r="C515" s="423" t="s">
        <v>330</v>
      </c>
      <c r="D515" s="332" t="s">
        <v>630</v>
      </c>
      <c r="E515" s="333">
        <v>201612</v>
      </c>
      <c r="F515" s="334">
        <v>15.81</v>
      </c>
      <c r="G515" s="521">
        <f t="shared" si="35"/>
        <v>4.5</v>
      </c>
      <c r="H515" s="336">
        <v>1.3083000000000001E-3</v>
      </c>
      <c r="I515" s="523">
        <f t="shared" si="36"/>
        <v>0.09</v>
      </c>
      <c r="J515" s="523">
        <f t="shared" si="37"/>
        <v>0.25</v>
      </c>
      <c r="Q515" s="101">
        <f t="shared" si="38"/>
        <v>2017</v>
      </c>
    </row>
    <row r="516" spans="1:17">
      <c r="A516" s="332" t="s">
        <v>318</v>
      </c>
      <c r="B516" s="333" t="s">
        <v>838</v>
      </c>
      <c r="C516" s="423" t="s">
        <v>330</v>
      </c>
      <c r="D516" s="332" t="s">
        <v>1015</v>
      </c>
      <c r="E516" s="333">
        <v>201612</v>
      </c>
      <c r="F516" s="334">
        <v>120449.78</v>
      </c>
      <c r="G516" s="521">
        <f t="shared" si="35"/>
        <v>4.5</v>
      </c>
      <c r="H516" s="336">
        <v>1.3083000000000001E-3</v>
      </c>
      <c r="I516" s="523">
        <f t="shared" si="36"/>
        <v>709.13</v>
      </c>
      <c r="J516" s="523">
        <f t="shared" si="37"/>
        <v>1891.01</v>
      </c>
      <c r="Q516" s="101">
        <f t="shared" si="38"/>
        <v>2017</v>
      </c>
    </row>
    <row r="517" spans="1:17">
      <c r="A517" s="332" t="s">
        <v>318</v>
      </c>
      <c r="B517" s="333" t="s">
        <v>801</v>
      </c>
      <c r="C517" s="423" t="s">
        <v>330</v>
      </c>
      <c r="D517" s="332" t="s">
        <v>802</v>
      </c>
      <c r="E517" s="333">
        <v>201612</v>
      </c>
      <c r="F517" s="334">
        <v>-17.36</v>
      </c>
      <c r="G517" s="521">
        <f t="shared" si="35"/>
        <v>4.5</v>
      </c>
      <c r="H517" s="336">
        <v>1.3083000000000001E-3</v>
      </c>
      <c r="I517" s="523">
        <f t="shared" si="36"/>
        <v>-0.1</v>
      </c>
      <c r="J517" s="523">
        <f t="shared" si="37"/>
        <v>-0.27</v>
      </c>
      <c r="Q517" s="101">
        <f t="shared" si="38"/>
        <v>2017</v>
      </c>
    </row>
    <row r="518" spans="1:17">
      <c r="A518" s="332" t="s">
        <v>318</v>
      </c>
      <c r="B518" s="333" t="s">
        <v>803</v>
      </c>
      <c r="C518" s="423" t="s">
        <v>330</v>
      </c>
      <c r="D518" s="332" t="s">
        <v>804</v>
      </c>
      <c r="E518" s="333">
        <v>201612</v>
      </c>
      <c r="F518" s="334">
        <v>-77.91</v>
      </c>
      <c r="G518" s="521">
        <f t="shared" si="35"/>
        <v>4.5</v>
      </c>
      <c r="H518" s="336">
        <v>1.3083000000000001E-3</v>
      </c>
      <c r="I518" s="523">
        <f t="shared" si="36"/>
        <v>-0.46</v>
      </c>
      <c r="J518" s="523">
        <f t="shared" si="37"/>
        <v>-1.22</v>
      </c>
      <c r="Q518" s="101">
        <f t="shared" si="38"/>
        <v>2017</v>
      </c>
    </row>
    <row r="519" spans="1:17">
      <c r="A519" s="332" t="s">
        <v>318</v>
      </c>
      <c r="B519" s="333" t="s">
        <v>805</v>
      </c>
      <c r="C519" s="423" t="s">
        <v>330</v>
      </c>
      <c r="D519" s="332" t="s">
        <v>806</v>
      </c>
      <c r="E519" s="333">
        <v>201612</v>
      </c>
      <c r="F519" s="334">
        <v>1.1499999999999999</v>
      </c>
      <c r="G519" s="521">
        <f t="shared" si="35"/>
        <v>4.5</v>
      </c>
      <c r="H519" s="336">
        <v>1.3083000000000001E-3</v>
      </c>
      <c r="I519" s="523">
        <f t="shared" si="36"/>
        <v>0.01</v>
      </c>
      <c r="J519" s="523">
        <f t="shared" si="37"/>
        <v>0.02</v>
      </c>
      <c r="Q519" s="101">
        <f t="shared" si="38"/>
        <v>2017</v>
      </c>
    </row>
    <row r="520" spans="1:17">
      <c r="A520" s="332" t="s">
        <v>318</v>
      </c>
      <c r="B520" s="333" t="s">
        <v>1033</v>
      </c>
      <c r="C520" s="423" t="s">
        <v>330</v>
      </c>
      <c r="D520" s="332" t="s">
        <v>1034</v>
      </c>
      <c r="E520" s="333">
        <v>201612</v>
      </c>
      <c r="F520" s="334">
        <v>107.19</v>
      </c>
      <c r="G520" s="521">
        <f t="shared" si="35"/>
        <v>4.5</v>
      </c>
      <c r="H520" s="336">
        <v>1.3083000000000001E-3</v>
      </c>
      <c r="I520" s="523">
        <f t="shared" si="36"/>
        <v>0.63</v>
      </c>
      <c r="J520" s="523">
        <f t="shared" si="37"/>
        <v>1.68</v>
      </c>
      <c r="Q520" s="101">
        <f t="shared" si="38"/>
        <v>2017</v>
      </c>
    </row>
    <row r="521" spans="1:17">
      <c r="A521" s="332" t="s">
        <v>318</v>
      </c>
      <c r="B521" s="333" t="s">
        <v>832</v>
      </c>
      <c r="C521" s="423" t="s">
        <v>330</v>
      </c>
      <c r="D521" s="332" t="s">
        <v>833</v>
      </c>
      <c r="E521" s="333">
        <v>201612</v>
      </c>
      <c r="F521" s="334">
        <v>2.13</v>
      </c>
      <c r="G521" s="521">
        <f t="shared" si="35"/>
        <v>4.5</v>
      </c>
      <c r="H521" s="336">
        <v>1.3083000000000001E-3</v>
      </c>
      <c r="I521" s="523">
        <f t="shared" si="36"/>
        <v>0.01</v>
      </c>
      <c r="J521" s="523">
        <f t="shared" si="37"/>
        <v>0.03</v>
      </c>
      <c r="Q521" s="101">
        <f t="shared" si="38"/>
        <v>2017</v>
      </c>
    </row>
    <row r="522" spans="1:17">
      <c r="A522" s="332" t="s">
        <v>318</v>
      </c>
      <c r="B522" s="333" t="s">
        <v>834</v>
      </c>
      <c r="C522" s="423" t="s">
        <v>330</v>
      </c>
      <c r="D522" s="332" t="s">
        <v>835</v>
      </c>
      <c r="E522" s="333">
        <v>201612</v>
      </c>
      <c r="F522" s="334">
        <v>240834.66</v>
      </c>
      <c r="G522" s="521">
        <f t="shared" si="35"/>
        <v>4.5</v>
      </c>
      <c r="H522" s="336">
        <v>1.3083000000000001E-3</v>
      </c>
      <c r="I522" s="523">
        <f t="shared" si="36"/>
        <v>1417.88</v>
      </c>
      <c r="J522" s="523">
        <f t="shared" si="37"/>
        <v>3781.01</v>
      </c>
      <c r="Q522" s="101">
        <f t="shared" si="38"/>
        <v>2017</v>
      </c>
    </row>
    <row r="523" spans="1:17">
      <c r="A523" s="332" t="s">
        <v>318</v>
      </c>
      <c r="B523" s="333" t="s">
        <v>951</v>
      </c>
      <c r="C523" s="423" t="s">
        <v>330</v>
      </c>
      <c r="D523" s="332" t="s">
        <v>952</v>
      </c>
      <c r="E523" s="333">
        <v>201612</v>
      </c>
      <c r="F523" s="334">
        <v>-108.99</v>
      </c>
      <c r="G523" s="521">
        <f t="shared" si="35"/>
        <v>4.5</v>
      </c>
      <c r="H523" s="336">
        <v>1.3083000000000001E-3</v>
      </c>
      <c r="I523" s="523">
        <f t="shared" si="36"/>
        <v>-0.64</v>
      </c>
      <c r="J523" s="523">
        <f t="shared" si="37"/>
        <v>-1.71</v>
      </c>
      <c r="Q523" s="101">
        <f t="shared" si="38"/>
        <v>2017</v>
      </c>
    </row>
    <row r="524" spans="1:17">
      <c r="A524" s="332" t="s">
        <v>318</v>
      </c>
      <c r="B524" s="333" t="s">
        <v>953</v>
      </c>
      <c r="C524" s="423" t="s">
        <v>330</v>
      </c>
      <c r="D524" s="332" t="s">
        <v>954</v>
      </c>
      <c r="E524" s="333">
        <v>201612</v>
      </c>
      <c r="F524" s="334">
        <v>-6165.57</v>
      </c>
      <c r="G524" s="521">
        <f t="shared" si="35"/>
        <v>4.5</v>
      </c>
      <c r="H524" s="336">
        <v>1.3083000000000001E-3</v>
      </c>
      <c r="I524" s="523">
        <f t="shared" si="36"/>
        <v>-36.299999999999997</v>
      </c>
      <c r="J524" s="523">
        <f t="shared" si="37"/>
        <v>-96.8</v>
      </c>
      <c r="Q524" s="101">
        <f t="shared" si="38"/>
        <v>2017</v>
      </c>
    </row>
    <row r="525" spans="1:17">
      <c r="A525" s="332" t="s">
        <v>318</v>
      </c>
      <c r="B525" s="333" t="s">
        <v>955</v>
      </c>
      <c r="C525" s="423" t="s">
        <v>330</v>
      </c>
      <c r="D525" s="332" t="s">
        <v>956</v>
      </c>
      <c r="E525" s="333">
        <v>201612</v>
      </c>
      <c r="F525" s="334">
        <v>15.22</v>
      </c>
      <c r="G525" s="521">
        <f t="shared" si="35"/>
        <v>4.5</v>
      </c>
      <c r="H525" s="336">
        <v>1.3083000000000001E-3</v>
      </c>
      <c r="I525" s="523">
        <f t="shared" si="36"/>
        <v>0.09</v>
      </c>
      <c r="J525" s="523">
        <f t="shared" si="37"/>
        <v>0.24</v>
      </c>
      <c r="Q525" s="101">
        <f t="shared" si="38"/>
        <v>2017</v>
      </c>
    </row>
    <row r="526" spans="1:17">
      <c r="A526" s="332" t="s">
        <v>318</v>
      </c>
      <c r="B526" s="333" t="s">
        <v>893</v>
      </c>
      <c r="C526" s="423" t="s">
        <v>331</v>
      </c>
      <c r="D526" s="332" t="s">
        <v>894</v>
      </c>
      <c r="E526" s="333">
        <v>201612</v>
      </c>
      <c r="F526" s="334">
        <v>-2500.42</v>
      </c>
      <c r="G526" s="521">
        <f t="shared" si="35"/>
        <v>4.5</v>
      </c>
      <c r="H526" s="336">
        <v>1.3083000000000001E-3</v>
      </c>
      <c r="I526" s="523">
        <f t="shared" si="36"/>
        <v>-14.72</v>
      </c>
      <c r="J526" s="523">
        <f t="shared" si="37"/>
        <v>-39.26</v>
      </c>
      <c r="Q526" s="101">
        <f t="shared" si="38"/>
        <v>2017</v>
      </c>
    </row>
    <row r="527" spans="1:17">
      <c r="A527" s="332" t="s">
        <v>318</v>
      </c>
      <c r="B527" s="333" t="s">
        <v>814</v>
      </c>
      <c r="C527" s="423" t="s">
        <v>330</v>
      </c>
      <c r="D527" s="332" t="s">
        <v>815</v>
      </c>
      <c r="E527" s="333">
        <v>201612</v>
      </c>
      <c r="F527" s="334">
        <v>-69670.28</v>
      </c>
      <c r="G527" s="521">
        <f t="shared" si="35"/>
        <v>4.5</v>
      </c>
      <c r="H527" s="336">
        <v>1.3083000000000001E-3</v>
      </c>
      <c r="I527" s="523">
        <f t="shared" si="36"/>
        <v>-410.17</v>
      </c>
      <c r="J527" s="523">
        <f t="shared" si="37"/>
        <v>-1093.8</v>
      </c>
      <c r="Q527" s="101">
        <f t="shared" si="38"/>
        <v>2017</v>
      </c>
    </row>
    <row r="528" spans="1:17">
      <c r="A528" s="332" t="s">
        <v>318</v>
      </c>
      <c r="B528" s="333" t="s">
        <v>963</v>
      </c>
      <c r="C528" s="423" t="s">
        <v>330</v>
      </c>
      <c r="D528" s="332" t="s">
        <v>964</v>
      </c>
      <c r="E528" s="333">
        <v>201612</v>
      </c>
      <c r="F528" s="334">
        <v>22.03</v>
      </c>
      <c r="G528" s="521">
        <f t="shared" si="35"/>
        <v>4.5</v>
      </c>
      <c r="H528" s="336">
        <v>1.3083000000000001E-3</v>
      </c>
      <c r="I528" s="523">
        <f t="shared" si="36"/>
        <v>0.13</v>
      </c>
      <c r="J528" s="523">
        <f t="shared" si="37"/>
        <v>0.35</v>
      </c>
      <c r="Q528" s="101">
        <f t="shared" si="38"/>
        <v>2017</v>
      </c>
    </row>
    <row r="529" spans="1:17">
      <c r="A529" s="332" t="s">
        <v>318</v>
      </c>
      <c r="B529" s="333" t="s">
        <v>862</v>
      </c>
      <c r="C529" s="423" t="s">
        <v>330</v>
      </c>
      <c r="D529" s="332" t="s">
        <v>863</v>
      </c>
      <c r="E529" s="333">
        <v>201612</v>
      </c>
      <c r="F529" s="334">
        <v>133374.53</v>
      </c>
      <c r="G529" s="521">
        <f t="shared" si="35"/>
        <v>4.5</v>
      </c>
      <c r="H529" s="336">
        <v>1.3083000000000001E-3</v>
      </c>
      <c r="I529" s="523">
        <f t="shared" si="36"/>
        <v>785.22</v>
      </c>
      <c r="J529" s="523">
        <f t="shared" si="37"/>
        <v>2093.9299999999998</v>
      </c>
      <c r="Q529" s="101">
        <f t="shared" si="38"/>
        <v>2017</v>
      </c>
    </row>
    <row r="530" spans="1:17" ht="15">
      <c r="A530" s="332" t="s">
        <v>318</v>
      </c>
      <c r="B530" s="333" t="s">
        <v>682</v>
      </c>
      <c r="C530" s="424" t="s">
        <v>330</v>
      </c>
      <c r="D530" s="332" t="s">
        <v>683</v>
      </c>
      <c r="E530" s="333">
        <v>201612</v>
      </c>
      <c r="F530" s="334">
        <v>4523.67</v>
      </c>
      <c r="G530" s="521">
        <f t="shared" si="35"/>
        <v>4.5</v>
      </c>
      <c r="H530" s="336">
        <v>1.3083000000000001E-3</v>
      </c>
      <c r="I530" s="523">
        <f t="shared" si="36"/>
        <v>26.63</v>
      </c>
      <c r="J530" s="523">
        <f t="shared" si="37"/>
        <v>71.02</v>
      </c>
      <c r="Q530" s="101">
        <f t="shared" si="38"/>
        <v>2017</v>
      </c>
    </row>
    <row r="531" spans="1:17" ht="15">
      <c r="A531" s="332" t="s">
        <v>318</v>
      </c>
      <c r="B531" s="333" t="s">
        <v>846</v>
      </c>
      <c r="C531" s="424" t="s">
        <v>330</v>
      </c>
      <c r="D531" s="332" t="s">
        <v>847</v>
      </c>
      <c r="E531" s="333">
        <v>201612</v>
      </c>
      <c r="F531" s="334">
        <v>153.87</v>
      </c>
      <c r="G531" s="521">
        <f t="shared" si="35"/>
        <v>4.5</v>
      </c>
      <c r="H531" s="336">
        <v>1.3083000000000001E-3</v>
      </c>
      <c r="I531" s="523">
        <f t="shared" si="36"/>
        <v>0.91</v>
      </c>
      <c r="J531" s="523">
        <f t="shared" si="37"/>
        <v>2.42</v>
      </c>
      <c r="Q531" s="101">
        <f t="shared" si="38"/>
        <v>2017</v>
      </c>
    </row>
    <row r="532" spans="1:17" ht="15">
      <c r="A532" s="332" t="s">
        <v>318</v>
      </c>
      <c r="B532" s="333" t="s">
        <v>1106</v>
      </c>
      <c r="C532" s="424" t="s">
        <v>330</v>
      </c>
      <c r="D532" s="332" t="s">
        <v>1107</v>
      </c>
      <c r="E532" s="333">
        <v>201612</v>
      </c>
      <c r="F532" s="334">
        <v>57944.31</v>
      </c>
      <c r="G532" s="521">
        <f t="shared" ref="G532:G637" si="39">VLOOKUP(E532,$N$6:$O$49,2,FALSE)</f>
        <v>4.5</v>
      </c>
      <c r="H532" s="336">
        <v>1.3083000000000001E-3</v>
      </c>
      <c r="I532" s="523">
        <f t="shared" ref="I532:I578" si="40">ROUND(F532*G532*H532,2)</f>
        <v>341.14</v>
      </c>
      <c r="J532" s="523">
        <f t="shared" ref="J532:J578" si="41">ROUND(F532*H532*12,2)</f>
        <v>909.7</v>
      </c>
      <c r="Q532" s="101">
        <f t="shared" ref="Q532:Q635" si="42">IF(E532&lt;=$Q$1,$S$5,$S$6)</f>
        <v>2017</v>
      </c>
    </row>
    <row r="533" spans="1:17" ht="15">
      <c r="A533" s="332" t="s">
        <v>318</v>
      </c>
      <c r="B533" s="333" t="s">
        <v>899</v>
      </c>
      <c r="C533" s="424" t="s">
        <v>331</v>
      </c>
      <c r="D533" s="332" t="s">
        <v>900</v>
      </c>
      <c r="E533" s="333">
        <v>201612</v>
      </c>
      <c r="F533" s="334">
        <v>1610.16</v>
      </c>
      <c r="G533" s="521">
        <f t="shared" si="39"/>
        <v>4.5</v>
      </c>
      <c r="H533" s="336">
        <v>1.3083000000000001E-3</v>
      </c>
      <c r="I533" s="523">
        <f t="shared" si="40"/>
        <v>9.48</v>
      </c>
      <c r="J533" s="523">
        <f t="shared" si="41"/>
        <v>25.28</v>
      </c>
      <c r="Q533" s="101">
        <f t="shared" si="42"/>
        <v>2017</v>
      </c>
    </row>
    <row r="534" spans="1:17">
      <c r="A534" s="332" t="s">
        <v>318</v>
      </c>
      <c r="B534" s="333" t="s">
        <v>822</v>
      </c>
      <c r="C534" s="423" t="s">
        <v>330</v>
      </c>
      <c r="D534" s="332" t="s">
        <v>823</v>
      </c>
      <c r="E534" s="333">
        <v>201612</v>
      </c>
      <c r="F534" s="334">
        <v>-20.13</v>
      </c>
      <c r="G534" s="521">
        <f t="shared" si="39"/>
        <v>4.5</v>
      </c>
      <c r="H534" s="336">
        <v>1.3083000000000001E-3</v>
      </c>
      <c r="I534" s="523">
        <f t="shared" si="40"/>
        <v>-0.12</v>
      </c>
      <c r="J534" s="523">
        <f t="shared" si="41"/>
        <v>-0.32</v>
      </c>
      <c r="Q534" s="101">
        <f t="shared" si="42"/>
        <v>2017</v>
      </c>
    </row>
    <row r="535" spans="1:17">
      <c r="A535" s="332" t="s">
        <v>318</v>
      </c>
      <c r="B535" s="333" t="s">
        <v>822</v>
      </c>
      <c r="C535" s="423" t="s">
        <v>330</v>
      </c>
      <c r="D535" s="332" t="s">
        <v>823</v>
      </c>
      <c r="E535" s="333">
        <v>201612</v>
      </c>
      <c r="F535" s="334">
        <v>-7.28</v>
      </c>
      <c r="G535" s="521">
        <f t="shared" si="39"/>
        <v>4.5</v>
      </c>
      <c r="H535" s="336">
        <v>1.3083000000000001E-3</v>
      </c>
      <c r="I535" s="523">
        <f t="shared" si="40"/>
        <v>-0.04</v>
      </c>
      <c r="J535" s="523">
        <f t="shared" si="41"/>
        <v>-0.11</v>
      </c>
      <c r="Q535" s="101">
        <f t="shared" si="42"/>
        <v>2017</v>
      </c>
    </row>
    <row r="536" spans="1:17" ht="15">
      <c r="A536" s="332" t="s">
        <v>318</v>
      </c>
      <c r="B536" s="333" t="s">
        <v>973</v>
      </c>
      <c r="C536" s="424" t="s">
        <v>330</v>
      </c>
      <c r="D536" s="332" t="s">
        <v>974</v>
      </c>
      <c r="E536" s="333">
        <v>201612</v>
      </c>
      <c r="F536" s="334">
        <v>1135.27</v>
      </c>
      <c r="G536" s="521">
        <f t="shared" si="39"/>
        <v>4.5</v>
      </c>
      <c r="H536" s="336">
        <v>1.3083000000000001E-3</v>
      </c>
      <c r="I536" s="523">
        <f t="shared" si="40"/>
        <v>6.68</v>
      </c>
      <c r="J536" s="523">
        <f t="shared" si="41"/>
        <v>17.82</v>
      </c>
      <c r="Q536" s="101">
        <f t="shared" si="42"/>
        <v>2017</v>
      </c>
    </row>
    <row r="537" spans="1:17">
      <c r="A537" s="332" t="s">
        <v>318</v>
      </c>
      <c r="B537" s="333" t="s">
        <v>868</v>
      </c>
      <c r="C537" s="423" t="s">
        <v>330</v>
      </c>
      <c r="D537" s="332" t="s">
        <v>869</v>
      </c>
      <c r="E537" s="333">
        <v>201612</v>
      </c>
      <c r="F537" s="334">
        <v>20.45</v>
      </c>
      <c r="G537" s="521">
        <f t="shared" si="39"/>
        <v>4.5</v>
      </c>
      <c r="H537" s="336">
        <v>1.3083000000000001E-3</v>
      </c>
      <c r="I537" s="523">
        <f t="shared" si="40"/>
        <v>0.12</v>
      </c>
      <c r="J537" s="523">
        <f t="shared" si="41"/>
        <v>0.32</v>
      </c>
      <c r="Q537" s="101">
        <f t="shared" si="42"/>
        <v>2017</v>
      </c>
    </row>
    <row r="538" spans="1:17" ht="15">
      <c r="A538" s="332" t="s">
        <v>318</v>
      </c>
      <c r="B538" s="333" t="s">
        <v>868</v>
      </c>
      <c r="C538" s="424" t="s">
        <v>330</v>
      </c>
      <c r="D538" s="332" t="s">
        <v>869</v>
      </c>
      <c r="E538" s="333">
        <v>201612</v>
      </c>
      <c r="F538" s="334">
        <v>197.15</v>
      </c>
      <c r="G538" s="521">
        <f t="shared" si="39"/>
        <v>4.5</v>
      </c>
      <c r="H538" s="336">
        <v>1.3083000000000001E-3</v>
      </c>
      <c r="I538" s="523">
        <f t="shared" si="40"/>
        <v>1.1599999999999999</v>
      </c>
      <c r="J538" s="523">
        <f t="shared" si="41"/>
        <v>3.1</v>
      </c>
      <c r="Q538" s="101">
        <f t="shared" si="42"/>
        <v>2017</v>
      </c>
    </row>
    <row r="539" spans="1:17" ht="15">
      <c r="A539" s="332" t="s">
        <v>318</v>
      </c>
      <c r="B539" s="333" t="s">
        <v>1108</v>
      </c>
      <c r="C539" s="424" t="s">
        <v>330</v>
      </c>
      <c r="D539" s="332" t="s">
        <v>1109</v>
      </c>
      <c r="E539" s="333">
        <v>201612</v>
      </c>
      <c r="F539" s="334">
        <v>170103.86</v>
      </c>
      <c r="G539" s="521">
        <f t="shared" si="39"/>
        <v>4.5</v>
      </c>
      <c r="H539" s="336">
        <v>1.3083000000000001E-3</v>
      </c>
      <c r="I539" s="523">
        <f t="shared" si="40"/>
        <v>1001.46</v>
      </c>
      <c r="J539" s="523">
        <f t="shared" si="41"/>
        <v>2670.56</v>
      </c>
      <c r="Q539" s="101">
        <f t="shared" si="42"/>
        <v>2017</v>
      </c>
    </row>
    <row r="540" spans="1:17">
      <c r="A540" s="332" t="s">
        <v>318</v>
      </c>
      <c r="B540" s="333" t="s">
        <v>1069</v>
      </c>
      <c r="C540" s="423" t="s">
        <v>330</v>
      </c>
      <c r="D540" s="332" t="s">
        <v>1105</v>
      </c>
      <c r="E540" s="333">
        <v>201612</v>
      </c>
      <c r="F540" s="334">
        <v>105.43</v>
      </c>
      <c r="G540" s="521">
        <f t="shared" si="39"/>
        <v>4.5</v>
      </c>
      <c r="H540" s="336">
        <v>1.3083000000000001E-3</v>
      </c>
      <c r="I540" s="523">
        <f t="shared" si="40"/>
        <v>0.62</v>
      </c>
      <c r="J540" s="523">
        <f t="shared" si="41"/>
        <v>1.66</v>
      </c>
      <c r="Q540" s="101">
        <f t="shared" si="42"/>
        <v>2017</v>
      </c>
    </row>
    <row r="541" spans="1:17" ht="15">
      <c r="A541" s="332" t="s">
        <v>318</v>
      </c>
      <c r="B541" s="333" t="s">
        <v>975</v>
      </c>
      <c r="C541" s="424" t="s">
        <v>330</v>
      </c>
      <c r="D541" s="332" t="s">
        <v>976</v>
      </c>
      <c r="E541" s="333">
        <v>201612</v>
      </c>
      <c r="F541" s="334">
        <v>-150.44999999999999</v>
      </c>
      <c r="G541" s="521">
        <f t="shared" si="39"/>
        <v>4.5</v>
      </c>
      <c r="H541" s="336">
        <v>1.3083000000000001E-3</v>
      </c>
      <c r="I541" s="523">
        <f t="shared" si="40"/>
        <v>-0.89</v>
      </c>
      <c r="J541" s="523">
        <f t="shared" si="41"/>
        <v>-2.36</v>
      </c>
      <c r="Q541" s="101">
        <f t="shared" si="42"/>
        <v>2017</v>
      </c>
    </row>
    <row r="542" spans="1:17">
      <c r="A542" s="332" t="s">
        <v>318</v>
      </c>
      <c r="B542" s="333" t="s">
        <v>852</v>
      </c>
      <c r="C542" s="423" t="s">
        <v>330</v>
      </c>
      <c r="D542" s="332" t="s">
        <v>853</v>
      </c>
      <c r="E542" s="333">
        <v>201612</v>
      </c>
      <c r="F542" s="334">
        <v>127.9</v>
      </c>
      <c r="G542" s="521">
        <f t="shared" si="39"/>
        <v>4.5</v>
      </c>
      <c r="H542" s="336">
        <v>1.3083000000000001E-3</v>
      </c>
      <c r="I542" s="523">
        <f t="shared" si="40"/>
        <v>0.75</v>
      </c>
      <c r="J542" s="523">
        <f t="shared" si="41"/>
        <v>2.0099999999999998</v>
      </c>
      <c r="Q542" s="101">
        <f t="shared" si="42"/>
        <v>2017</v>
      </c>
    </row>
    <row r="543" spans="1:17" ht="15">
      <c r="A543" s="332" t="s">
        <v>318</v>
      </c>
      <c r="B543" s="333" t="s">
        <v>870</v>
      </c>
      <c r="C543" s="424" t="s">
        <v>330</v>
      </c>
      <c r="D543" s="332" t="s">
        <v>871</v>
      </c>
      <c r="E543" s="333">
        <v>201612</v>
      </c>
      <c r="F543" s="334">
        <v>-126.35</v>
      </c>
      <c r="G543" s="521">
        <f t="shared" si="39"/>
        <v>4.5</v>
      </c>
      <c r="H543" s="336">
        <v>1.3083000000000001E-3</v>
      </c>
      <c r="I543" s="523">
        <f t="shared" si="40"/>
        <v>-0.74</v>
      </c>
      <c r="J543" s="523">
        <f t="shared" si="41"/>
        <v>-1.98</v>
      </c>
      <c r="Q543" s="101">
        <f t="shared" si="42"/>
        <v>2017</v>
      </c>
    </row>
    <row r="544" spans="1:17" ht="15">
      <c r="A544" s="332" t="s">
        <v>318</v>
      </c>
      <c r="B544" s="333" t="s">
        <v>1039</v>
      </c>
      <c r="C544" s="424" t="s">
        <v>330</v>
      </c>
      <c r="D544" s="332" t="s">
        <v>1040</v>
      </c>
      <c r="E544" s="333">
        <v>201612</v>
      </c>
      <c r="F544" s="334">
        <v>967.85</v>
      </c>
      <c r="G544" s="521">
        <f t="shared" si="39"/>
        <v>4.5</v>
      </c>
      <c r="H544" s="336">
        <v>1.3083000000000001E-3</v>
      </c>
      <c r="I544" s="523">
        <f t="shared" si="40"/>
        <v>5.7</v>
      </c>
      <c r="J544" s="523">
        <f t="shared" si="41"/>
        <v>15.19</v>
      </c>
      <c r="Q544" s="101">
        <f t="shared" si="42"/>
        <v>2017</v>
      </c>
    </row>
    <row r="545" spans="1:17" ht="15">
      <c r="A545" s="332" t="s">
        <v>318</v>
      </c>
      <c r="B545" s="333" t="s">
        <v>872</v>
      </c>
      <c r="C545" s="424" t="s">
        <v>330</v>
      </c>
      <c r="D545" s="332" t="s">
        <v>873</v>
      </c>
      <c r="E545" s="333">
        <v>201612</v>
      </c>
      <c r="F545" s="334">
        <v>-69.459999999999994</v>
      </c>
      <c r="G545" s="521">
        <f t="shared" si="39"/>
        <v>4.5</v>
      </c>
      <c r="H545" s="336">
        <v>1.3083000000000001E-3</v>
      </c>
      <c r="I545" s="523">
        <f t="shared" si="40"/>
        <v>-0.41</v>
      </c>
      <c r="J545" s="523">
        <f t="shared" si="41"/>
        <v>-1.0900000000000001</v>
      </c>
      <c r="Q545" s="101">
        <f t="shared" si="42"/>
        <v>2017</v>
      </c>
    </row>
    <row r="546" spans="1:17" ht="15">
      <c r="A546" s="332" t="s">
        <v>318</v>
      </c>
      <c r="B546" s="333" t="s">
        <v>977</v>
      </c>
      <c r="C546" s="424" t="s">
        <v>330</v>
      </c>
      <c r="D546" s="332" t="s">
        <v>978</v>
      </c>
      <c r="E546" s="333">
        <v>201612</v>
      </c>
      <c r="F546" s="334">
        <v>9.98</v>
      </c>
      <c r="G546" s="521">
        <f t="shared" si="39"/>
        <v>4.5</v>
      </c>
      <c r="H546" s="336">
        <v>1.3083000000000001E-3</v>
      </c>
      <c r="I546" s="523">
        <f t="shared" si="40"/>
        <v>0.06</v>
      </c>
      <c r="J546" s="523">
        <f t="shared" si="41"/>
        <v>0.16</v>
      </c>
      <c r="Q546" s="101">
        <f t="shared" si="42"/>
        <v>2017</v>
      </c>
    </row>
    <row r="547" spans="1:17">
      <c r="A547" s="332" t="s">
        <v>318</v>
      </c>
      <c r="B547" s="333" t="s">
        <v>1041</v>
      </c>
      <c r="C547" s="423" t="s">
        <v>330</v>
      </c>
      <c r="D547" s="332" t="s">
        <v>1042</v>
      </c>
      <c r="E547" s="333">
        <v>201612</v>
      </c>
      <c r="F547" s="334">
        <v>-63.11</v>
      </c>
      <c r="G547" s="521">
        <f t="shared" si="39"/>
        <v>4.5</v>
      </c>
      <c r="H547" s="336">
        <v>1.3083000000000001E-3</v>
      </c>
      <c r="I547" s="523">
        <f t="shared" si="40"/>
        <v>-0.37</v>
      </c>
      <c r="J547" s="523">
        <f t="shared" si="41"/>
        <v>-0.99</v>
      </c>
      <c r="Q547" s="101">
        <f t="shared" si="42"/>
        <v>2017</v>
      </c>
    </row>
    <row r="548" spans="1:17">
      <c r="A548" s="332" t="s">
        <v>318</v>
      </c>
      <c r="B548" s="333" t="s">
        <v>979</v>
      </c>
      <c r="C548" s="423" t="s">
        <v>330</v>
      </c>
      <c r="D548" s="332" t="s">
        <v>980</v>
      </c>
      <c r="E548" s="333">
        <v>201612</v>
      </c>
      <c r="F548" s="334">
        <v>1854.14</v>
      </c>
      <c r="G548" s="521">
        <f t="shared" si="39"/>
        <v>4.5</v>
      </c>
      <c r="H548" s="336">
        <v>1.3083000000000001E-3</v>
      </c>
      <c r="I548" s="523">
        <f t="shared" si="40"/>
        <v>10.92</v>
      </c>
      <c r="J548" s="523">
        <f t="shared" si="41"/>
        <v>29.11</v>
      </c>
      <c r="Q548" s="101">
        <f t="shared" si="42"/>
        <v>2017</v>
      </c>
    </row>
    <row r="549" spans="1:17" ht="15">
      <c r="A549" s="332" t="s">
        <v>318</v>
      </c>
      <c r="B549" s="333" t="s">
        <v>981</v>
      </c>
      <c r="C549" s="424" t="s">
        <v>330</v>
      </c>
      <c r="D549" s="332" t="s">
        <v>1014</v>
      </c>
      <c r="E549" s="333">
        <v>201612</v>
      </c>
      <c r="F549" s="334">
        <v>369.02</v>
      </c>
      <c r="G549" s="521">
        <f t="shared" si="39"/>
        <v>4.5</v>
      </c>
      <c r="H549" s="336">
        <v>1.3083000000000001E-3</v>
      </c>
      <c r="I549" s="523">
        <f t="shared" si="40"/>
        <v>2.17</v>
      </c>
      <c r="J549" s="523">
        <f t="shared" si="41"/>
        <v>5.79</v>
      </c>
      <c r="Q549" s="101">
        <f t="shared" si="42"/>
        <v>2017</v>
      </c>
    </row>
    <row r="550" spans="1:17" ht="15">
      <c r="A550" s="332" t="s">
        <v>318</v>
      </c>
      <c r="B550" s="333" t="s">
        <v>874</v>
      </c>
      <c r="C550" s="424" t="s">
        <v>330</v>
      </c>
      <c r="D550" s="332" t="s">
        <v>875</v>
      </c>
      <c r="E550" s="333">
        <v>201612</v>
      </c>
      <c r="F550" s="334">
        <v>72.319999999999993</v>
      </c>
      <c r="G550" s="521">
        <f t="shared" si="39"/>
        <v>4.5</v>
      </c>
      <c r="H550" s="336">
        <v>1.3083000000000001E-3</v>
      </c>
      <c r="I550" s="523">
        <f t="shared" si="40"/>
        <v>0.43</v>
      </c>
      <c r="J550" s="523">
        <f t="shared" si="41"/>
        <v>1.1399999999999999</v>
      </c>
      <c r="Q550" s="101">
        <f t="shared" si="42"/>
        <v>2017</v>
      </c>
    </row>
    <row r="551" spans="1:17" ht="15">
      <c r="A551" s="332" t="s">
        <v>318</v>
      </c>
      <c r="B551" s="333" t="s">
        <v>983</v>
      </c>
      <c r="C551" s="424" t="s">
        <v>330</v>
      </c>
      <c r="D551" s="332" t="s">
        <v>984</v>
      </c>
      <c r="E551" s="333">
        <v>201612</v>
      </c>
      <c r="F551" s="334">
        <v>74.03</v>
      </c>
      <c r="G551" s="521">
        <f t="shared" si="39"/>
        <v>4.5</v>
      </c>
      <c r="H551" s="336">
        <v>1.3083000000000001E-3</v>
      </c>
      <c r="I551" s="523">
        <f t="shared" si="40"/>
        <v>0.44</v>
      </c>
      <c r="J551" s="523">
        <f t="shared" si="41"/>
        <v>1.1599999999999999</v>
      </c>
      <c r="Q551" s="101">
        <f t="shared" si="42"/>
        <v>2017</v>
      </c>
    </row>
    <row r="552" spans="1:17">
      <c r="A552" s="332" t="s">
        <v>318</v>
      </c>
      <c r="B552" s="333" t="s">
        <v>1043</v>
      </c>
      <c r="C552" s="423" t="s">
        <v>330</v>
      </c>
      <c r="D552" s="332" t="s">
        <v>1044</v>
      </c>
      <c r="E552" s="333">
        <v>201612</v>
      </c>
      <c r="F552" s="334">
        <v>-0.69</v>
      </c>
      <c r="G552" s="521">
        <f t="shared" si="39"/>
        <v>4.5</v>
      </c>
      <c r="H552" s="336">
        <v>1.3083000000000001E-3</v>
      </c>
      <c r="I552" s="523">
        <f t="shared" si="40"/>
        <v>0</v>
      </c>
      <c r="J552" s="523">
        <f t="shared" si="41"/>
        <v>-0.01</v>
      </c>
      <c r="Q552" s="101">
        <f t="shared" si="42"/>
        <v>2017</v>
      </c>
    </row>
    <row r="553" spans="1:17" ht="15">
      <c r="A553" s="332" t="s">
        <v>318</v>
      </c>
      <c r="B553" s="333" t="s">
        <v>876</v>
      </c>
      <c r="C553" s="424" t="s">
        <v>330</v>
      </c>
      <c r="D553" s="332" t="s">
        <v>877</v>
      </c>
      <c r="E553" s="333">
        <v>201612</v>
      </c>
      <c r="F553" s="334">
        <v>-14</v>
      </c>
      <c r="G553" s="521">
        <f t="shared" si="39"/>
        <v>4.5</v>
      </c>
      <c r="H553" s="336">
        <v>1.3083000000000001E-3</v>
      </c>
      <c r="I553" s="523">
        <f t="shared" si="40"/>
        <v>-0.08</v>
      </c>
      <c r="J553" s="523">
        <f t="shared" si="41"/>
        <v>-0.22</v>
      </c>
      <c r="Q553" s="101">
        <f t="shared" si="42"/>
        <v>2017</v>
      </c>
    </row>
    <row r="554" spans="1:17" ht="15">
      <c r="A554" s="332" t="s">
        <v>318</v>
      </c>
      <c r="B554" s="333" t="s">
        <v>1045</v>
      </c>
      <c r="C554" s="424" t="s">
        <v>330</v>
      </c>
      <c r="D554" s="332" t="s">
        <v>1046</v>
      </c>
      <c r="E554" s="333">
        <v>201612</v>
      </c>
      <c r="F554" s="334">
        <v>-59.87</v>
      </c>
      <c r="G554" s="521">
        <f t="shared" si="39"/>
        <v>4.5</v>
      </c>
      <c r="H554" s="336">
        <v>1.3083000000000001E-3</v>
      </c>
      <c r="I554" s="523">
        <f t="shared" si="40"/>
        <v>-0.35</v>
      </c>
      <c r="J554" s="523">
        <f t="shared" si="41"/>
        <v>-0.94</v>
      </c>
      <c r="Q554" s="101">
        <f t="shared" si="42"/>
        <v>2017</v>
      </c>
    </row>
    <row r="555" spans="1:17" ht="15">
      <c r="A555" s="332" t="s">
        <v>318</v>
      </c>
      <c r="B555" s="333" t="s">
        <v>985</v>
      </c>
      <c r="C555" s="424" t="s">
        <v>330</v>
      </c>
      <c r="D555" s="332" t="s">
        <v>986</v>
      </c>
      <c r="E555" s="333">
        <v>201612</v>
      </c>
      <c r="F555" s="334">
        <v>1367.04</v>
      </c>
      <c r="G555" s="521">
        <f t="shared" si="39"/>
        <v>4.5</v>
      </c>
      <c r="H555" s="336">
        <v>1.3083000000000001E-3</v>
      </c>
      <c r="I555" s="523">
        <f t="shared" si="40"/>
        <v>8.0500000000000007</v>
      </c>
      <c r="J555" s="523">
        <f t="shared" si="41"/>
        <v>21.46</v>
      </c>
      <c r="Q555" s="101">
        <f t="shared" si="42"/>
        <v>2017</v>
      </c>
    </row>
    <row r="556" spans="1:17">
      <c r="A556" s="332" t="s">
        <v>318</v>
      </c>
      <c r="B556" s="333" t="s">
        <v>878</v>
      </c>
      <c r="C556" s="423" t="s">
        <v>330</v>
      </c>
      <c r="D556" s="332" t="s">
        <v>879</v>
      </c>
      <c r="E556" s="333">
        <v>201612</v>
      </c>
      <c r="F556" s="334">
        <v>-482.09</v>
      </c>
      <c r="G556" s="521">
        <f t="shared" si="39"/>
        <v>4.5</v>
      </c>
      <c r="H556" s="336">
        <v>1.3083000000000001E-3</v>
      </c>
      <c r="I556" s="523">
        <f t="shared" si="40"/>
        <v>-2.84</v>
      </c>
      <c r="J556" s="523">
        <f t="shared" si="41"/>
        <v>-7.57</v>
      </c>
      <c r="Q556" s="101">
        <f t="shared" si="42"/>
        <v>2017</v>
      </c>
    </row>
    <row r="557" spans="1:17">
      <c r="A557" s="332" t="s">
        <v>318</v>
      </c>
      <c r="B557" s="333" t="s">
        <v>987</v>
      </c>
      <c r="C557" s="423" t="s">
        <v>330</v>
      </c>
      <c r="D557" s="332" t="s">
        <v>988</v>
      </c>
      <c r="E557" s="333">
        <v>201612</v>
      </c>
      <c r="F557" s="334">
        <v>-1.0900000000000001</v>
      </c>
      <c r="G557" s="521">
        <f t="shared" si="39"/>
        <v>4.5</v>
      </c>
      <c r="H557" s="336">
        <v>1.3083000000000001E-3</v>
      </c>
      <c r="I557" s="523">
        <f t="shared" si="40"/>
        <v>-0.01</v>
      </c>
      <c r="J557" s="523">
        <f t="shared" si="41"/>
        <v>-0.02</v>
      </c>
      <c r="Q557" s="101">
        <f t="shared" si="42"/>
        <v>2017</v>
      </c>
    </row>
    <row r="558" spans="1:17" ht="15">
      <c r="A558" s="332" t="s">
        <v>318</v>
      </c>
      <c r="B558" s="333" t="s">
        <v>989</v>
      </c>
      <c r="C558" s="424" t="s">
        <v>330</v>
      </c>
      <c r="D558" s="332" t="s">
        <v>990</v>
      </c>
      <c r="E558" s="333">
        <v>201612</v>
      </c>
      <c r="F558" s="334">
        <v>-13.71</v>
      </c>
      <c r="G558" s="521">
        <f t="shared" si="39"/>
        <v>4.5</v>
      </c>
      <c r="H558" s="336">
        <v>1.3083000000000001E-3</v>
      </c>
      <c r="I558" s="523">
        <f t="shared" si="40"/>
        <v>-0.08</v>
      </c>
      <c r="J558" s="523">
        <f t="shared" si="41"/>
        <v>-0.22</v>
      </c>
      <c r="Q558" s="101">
        <f t="shared" si="42"/>
        <v>2017</v>
      </c>
    </row>
    <row r="559" spans="1:17" ht="15">
      <c r="A559" s="332" t="s">
        <v>318</v>
      </c>
      <c r="B559" s="333" t="s">
        <v>991</v>
      </c>
      <c r="C559" s="424" t="s">
        <v>330</v>
      </c>
      <c r="D559" s="332" t="s">
        <v>992</v>
      </c>
      <c r="E559" s="333">
        <v>201612</v>
      </c>
      <c r="F559" s="334">
        <v>20.11</v>
      </c>
      <c r="G559" s="521">
        <f t="shared" si="39"/>
        <v>4.5</v>
      </c>
      <c r="H559" s="336">
        <v>1.3083000000000001E-3</v>
      </c>
      <c r="I559" s="523">
        <f t="shared" si="40"/>
        <v>0.12</v>
      </c>
      <c r="J559" s="523">
        <f t="shared" si="41"/>
        <v>0.32</v>
      </c>
      <c r="Q559" s="101">
        <f t="shared" si="42"/>
        <v>2017</v>
      </c>
    </row>
    <row r="560" spans="1:17" ht="15">
      <c r="A560" s="332" t="s">
        <v>318</v>
      </c>
      <c r="B560" s="333" t="s">
        <v>880</v>
      </c>
      <c r="C560" s="424" t="s">
        <v>330</v>
      </c>
      <c r="D560" s="332" t="s">
        <v>881</v>
      </c>
      <c r="E560" s="333">
        <v>201612</v>
      </c>
      <c r="F560" s="334">
        <v>628.88</v>
      </c>
      <c r="G560" s="521">
        <f t="shared" si="39"/>
        <v>4.5</v>
      </c>
      <c r="H560" s="336">
        <v>1.3083000000000001E-3</v>
      </c>
      <c r="I560" s="523">
        <f t="shared" si="40"/>
        <v>3.7</v>
      </c>
      <c r="J560" s="523">
        <f t="shared" si="41"/>
        <v>9.8699999999999992</v>
      </c>
      <c r="Q560" s="101">
        <f t="shared" si="42"/>
        <v>2017</v>
      </c>
    </row>
    <row r="561" spans="1:17">
      <c r="A561" s="332" t="s">
        <v>318</v>
      </c>
      <c r="B561" s="333" t="s">
        <v>993</v>
      </c>
      <c r="C561" s="423" t="s">
        <v>330</v>
      </c>
      <c r="D561" s="332" t="s">
        <v>994</v>
      </c>
      <c r="E561" s="333">
        <v>201612</v>
      </c>
      <c r="F561" s="334">
        <v>30</v>
      </c>
      <c r="G561" s="521">
        <f t="shared" si="39"/>
        <v>4.5</v>
      </c>
      <c r="H561" s="336">
        <v>1.3083000000000001E-3</v>
      </c>
      <c r="I561" s="523">
        <f t="shared" si="40"/>
        <v>0.18</v>
      </c>
      <c r="J561" s="523">
        <f t="shared" si="41"/>
        <v>0.47</v>
      </c>
      <c r="Q561" s="101">
        <f t="shared" si="42"/>
        <v>2017</v>
      </c>
    </row>
    <row r="562" spans="1:17">
      <c r="A562" s="332" t="s">
        <v>318</v>
      </c>
      <c r="B562" s="333" t="s">
        <v>891</v>
      </c>
      <c r="C562" s="423" t="s">
        <v>331</v>
      </c>
      <c r="D562" s="332" t="s">
        <v>892</v>
      </c>
      <c r="E562" s="333">
        <v>201612</v>
      </c>
      <c r="F562" s="334">
        <v>10.07</v>
      </c>
      <c r="G562" s="521">
        <f t="shared" si="39"/>
        <v>4.5</v>
      </c>
      <c r="H562" s="336">
        <v>1.3083000000000001E-3</v>
      </c>
      <c r="I562" s="523">
        <f t="shared" si="40"/>
        <v>0.06</v>
      </c>
      <c r="J562" s="523">
        <f t="shared" si="41"/>
        <v>0.16</v>
      </c>
      <c r="Q562" s="101">
        <f t="shared" si="42"/>
        <v>2017</v>
      </c>
    </row>
    <row r="563" spans="1:17" ht="15">
      <c r="A563" s="332" t="s">
        <v>318</v>
      </c>
      <c r="B563" s="333" t="s">
        <v>882</v>
      </c>
      <c r="C563" s="424" t="s">
        <v>330</v>
      </c>
      <c r="D563" s="332" t="s">
        <v>995</v>
      </c>
      <c r="E563" s="333">
        <v>201612</v>
      </c>
      <c r="F563" s="334">
        <v>-32432.13</v>
      </c>
      <c r="G563" s="521">
        <f t="shared" si="39"/>
        <v>4.5</v>
      </c>
      <c r="H563" s="336">
        <v>1.3083000000000001E-3</v>
      </c>
      <c r="I563" s="523">
        <f t="shared" si="40"/>
        <v>-190.94</v>
      </c>
      <c r="J563" s="523">
        <f t="shared" si="41"/>
        <v>-509.17</v>
      </c>
      <c r="Q563" s="101">
        <f t="shared" si="42"/>
        <v>2017</v>
      </c>
    </row>
    <row r="564" spans="1:17">
      <c r="A564" s="332" t="s">
        <v>318</v>
      </c>
      <c r="B564" s="333" t="s">
        <v>882</v>
      </c>
      <c r="C564" s="423" t="s">
        <v>330</v>
      </c>
      <c r="D564" s="332" t="s">
        <v>995</v>
      </c>
      <c r="E564" s="333">
        <v>201612</v>
      </c>
      <c r="F564" s="334">
        <v>30044.97</v>
      </c>
      <c r="G564" s="521">
        <f t="shared" si="39"/>
        <v>4.5</v>
      </c>
      <c r="H564" s="336">
        <v>1.3083000000000001E-3</v>
      </c>
      <c r="I564" s="523">
        <f t="shared" si="40"/>
        <v>176.89</v>
      </c>
      <c r="J564" s="523">
        <f t="shared" si="41"/>
        <v>471.69</v>
      </c>
      <c r="Q564" s="101">
        <f t="shared" si="42"/>
        <v>2017</v>
      </c>
    </row>
    <row r="565" spans="1:17" ht="15">
      <c r="A565" s="332" t="s">
        <v>318</v>
      </c>
      <c r="B565" s="333" t="s">
        <v>996</v>
      </c>
      <c r="C565" s="424" t="s">
        <v>330</v>
      </c>
      <c r="D565" s="332" t="s">
        <v>997</v>
      </c>
      <c r="E565" s="333">
        <v>201612</v>
      </c>
      <c r="F565" s="334">
        <v>1534.86</v>
      </c>
      <c r="G565" s="521">
        <f t="shared" si="39"/>
        <v>4.5</v>
      </c>
      <c r="H565" s="336">
        <v>1.3083000000000001E-3</v>
      </c>
      <c r="I565" s="523">
        <f t="shared" si="40"/>
        <v>9.0399999999999991</v>
      </c>
      <c r="J565" s="523">
        <f t="shared" si="41"/>
        <v>24.1</v>
      </c>
      <c r="Q565" s="101">
        <f t="shared" si="42"/>
        <v>2017</v>
      </c>
    </row>
    <row r="566" spans="1:17" ht="15">
      <c r="A566" s="332" t="s">
        <v>318</v>
      </c>
      <c r="B566" s="333" t="s">
        <v>854</v>
      </c>
      <c r="C566" s="424" t="s">
        <v>330</v>
      </c>
      <c r="D566" s="332" t="s">
        <v>855</v>
      </c>
      <c r="E566" s="333">
        <v>201612</v>
      </c>
      <c r="F566" s="334">
        <v>-139763.26</v>
      </c>
      <c r="G566" s="521">
        <f t="shared" si="39"/>
        <v>4.5</v>
      </c>
      <c r="H566" s="336">
        <v>1.3083000000000001E-3</v>
      </c>
      <c r="I566" s="523">
        <f t="shared" si="40"/>
        <v>-822.84</v>
      </c>
      <c r="J566" s="523">
        <f t="shared" si="41"/>
        <v>-2194.23</v>
      </c>
      <c r="Q566" s="101">
        <f t="shared" si="42"/>
        <v>2017</v>
      </c>
    </row>
    <row r="567" spans="1:17" ht="15">
      <c r="A567" s="332" t="s">
        <v>318</v>
      </c>
      <c r="B567" s="333" t="s">
        <v>854</v>
      </c>
      <c r="C567" s="424" t="s">
        <v>330</v>
      </c>
      <c r="D567" s="332" t="s">
        <v>855</v>
      </c>
      <c r="E567" s="333">
        <v>201612</v>
      </c>
      <c r="F567" s="334">
        <v>112430.96</v>
      </c>
      <c r="G567" s="521">
        <f t="shared" si="39"/>
        <v>4.5</v>
      </c>
      <c r="H567" s="336">
        <v>1.3083000000000001E-3</v>
      </c>
      <c r="I567" s="523">
        <f t="shared" si="40"/>
        <v>661.92</v>
      </c>
      <c r="J567" s="523">
        <f t="shared" si="41"/>
        <v>1765.12</v>
      </c>
      <c r="Q567" s="101">
        <f t="shared" si="42"/>
        <v>2017</v>
      </c>
    </row>
    <row r="568" spans="1:17">
      <c r="A568" s="332" t="s">
        <v>318</v>
      </c>
      <c r="B568" s="333" t="s">
        <v>1110</v>
      </c>
      <c r="C568" s="423" t="s">
        <v>330</v>
      </c>
      <c r="D568" s="332" t="s">
        <v>1111</v>
      </c>
      <c r="E568" s="333">
        <v>201612</v>
      </c>
      <c r="F568" s="334">
        <v>92754.53</v>
      </c>
      <c r="G568" s="521">
        <f t="shared" si="39"/>
        <v>4.5</v>
      </c>
      <c r="H568" s="336">
        <v>1.3083000000000001E-3</v>
      </c>
      <c r="I568" s="523">
        <f t="shared" si="40"/>
        <v>546.08000000000004</v>
      </c>
      <c r="J568" s="523">
        <f t="shared" si="41"/>
        <v>1456.21</v>
      </c>
      <c r="Q568" s="101">
        <f t="shared" si="42"/>
        <v>2017</v>
      </c>
    </row>
    <row r="569" spans="1:17" ht="15">
      <c r="A569" s="332" t="s">
        <v>318</v>
      </c>
      <c r="B569" s="333" t="s">
        <v>1112</v>
      </c>
      <c r="C569" s="424" t="s">
        <v>330</v>
      </c>
      <c r="D569" s="332" t="s">
        <v>1113</v>
      </c>
      <c r="E569" s="333">
        <v>201612</v>
      </c>
      <c r="F569" s="334">
        <v>27327.37</v>
      </c>
      <c r="G569" s="521">
        <f t="shared" si="39"/>
        <v>4.5</v>
      </c>
      <c r="H569" s="336">
        <v>1.3083000000000001E-3</v>
      </c>
      <c r="I569" s="523">
        <f t="shared" si="40"/>
        <v>160.88999999999999</v>
      </c>
      <c r="J569" s="523">
        <f t="shared" si="41"/>
        <v>429.03</v>
      </c>
      <c r="Q569" s="101">
        <f t="shared" si="42"/>
        <v>2017</v>
      </c>
    </row>
    <row r="570" spans="1:17" ht="15">
      <c r="A570" s="332" t="s">
        <v>318</v>
      </c>
      <c r="B570" s="333" t="s">
        <v>1114</v>
      </c>
      <c r="C570" s="424" t="s">
        <v>330</v>
      </c>
      <c r="D570" s="332" t="s">
        <v>1115</v>
      </c>
      <c r="E570" s="333">
        <v>201612</v>
      </c>
      <c r="F570" s="334">
        <v>70833.350000000006</v>
      </c>
      <c r="G570" s="521">
        <f t="shared" si="39"/>
        <v>4.5</v>
      </c>
      <c r="H570" s="336">
        <v>1.3083000000000001E-3</v>
      </c>
      <c r="I570" s="523">
        <f t="shared" si="40"/>
        <v>417.02</v>
      </c>
      <c r="J570" s="523">
        <f t="shared" si="41"/>
        <v>1112.06</v>
      </c>
      <c r="Q570" s="101">
        <f t="shared" si="42"/>
        <v>2017</v>
      </c>
    </row>
    <row r="571" spans="1:17">
      <c r="A571" s="332" t="s">
        <v>318</v>
      </c>
      <c r="B571" s="333" t="s">
        <v>1000</v>
      </c>
      <c r="C571" s="423" t="s">
        <v>343</v>
      </c>
      <c r="D571" s="332" t="s">
        <v>1001</v>
      </c>
      <c r="E571" s="333">
        <v>201612</v>
      </c>
      <c r="F571" s="334">
        <v>-7.57</v>
      </c>
      <c r="G571" s="521">
        <f t="shared" si="39"/>
        <v>4.5</v>
      </c>
      <c r="H571" s="336">
        <v>1.3083000000000001E-3</v>
      </c>
      <c r="I571" s="523">
        <f t="shared" si="40"/>
        <v>-0.04</v>
      </c>
      <c r="J571" s="523">
        <f t="shared" si="41"/>
        <v>-0.12</v>
      </c>
      <c r="Q571" s="101">
        <f t="shared" si="42"/>
        <v>2017</v>
      </c>
    </row>
    <row r="572" spans="1:17" ht="15">
      <c r="A572" s="332" t="s">
        <v>318</v>
      </c>
      <c r="B572" s="333" t="s">
        <v>1004</v>
      </c>
      <c r="C572" s="424" t="s">
        <v>330</v>
      </c>
      <c r="D572" s="332" t="s">
        <v>1005</v>
      </c>
      <c r="E572" s="333">
        <v>201612</v>
      </c>
      <c r="F572" s="334">
        <v>7.29</v>
      </c>
      <c r="G572" s="521">
        <f t="shared" si="39"/>
        <v>4.5</v>
      </c>
      <c r="H572" s="336">
        <v>1.3083000000000001E-3</v>
      </c>
      <c r="I572" s="523">
        <f t="shared" si="40"/>
        <v>0.04</v>
      </c>
      <c r="J572" s="523">
        <f t="shared" si="41"/>
        <v>0.11</v>
      </c>
      <c r="Q572" s="101">
        <f t="shared" si="42"/>
        <v>2017</v>
      </c>
    </row>
    <row r="573" spans="1:17">
      <c r="A573" s="332" t="s">
        <v>318</v>
      </c>
      <c r="B573" s="333" t="s">
        <v>1116</v>
      </c>
      <c r="C573" s="423" t="s">
        <v>330</v>
      </c>
      <c r="D573" s="332" t="s">
        <v>1117</v>
      </c>
      <c r="E573" s="333">
        <v>201612</v>
      </c>
      <c r="F573" s="334">
        <v>6803.56</v>
      </c>
      <c r="G573" s="521">
        <f t="shared" si="39"/>
        <v>4.5</v>
      </c>
      <c r="H573" s="336">
        <v>1.3083000000000001E-3</v>
      </c>
      <c r="I573" s="523">
        <f t="shared" si="40"/>
        <v>40.049999999999997</v>
      </c>
      <c r="J573" s="523">
        <f t="shared" si="41"/>
        <v>106.81</v>
      </c>
      <c r="Q573" s="101">
        <f t="shared" si="42"/>
        <v>2017</v>
      </c>
    </row>
    <row r="574" spans="1:17">
      <c r="A574" s="332" t="s">
        <v>318</v>
      </c>
      <c r="B574" s="333" t="s">
        <v>1075</v>
      </c>
      <c r="C574" s="423" t="s">
        <v>331</v>
      </c>
      <c r="D574" s="332" t="s">
        <v>1076</v>
      </c>
      <c r="E574" s="333">
        <v>201612</v>
      </c>
      <c r="F574" s="334">
        <v>1910.14</v>
      </c>
      <c r="G574" s="521">
        <f t="shared" si="39"/>
        <v>4.5</v>
      </c>
      <c r="H574" s="336">
        <v>1.3083000000000001E-3</v>
      </c>
      <c r="I574" s="523">
        <f t="shared" si="40"/>
        <v>11.25</v>
      </c>
      <c r="J574" s="523">
        <f t="shared" si="41"/>
        <v>29.99</v>
      </c>
      <c r="Q574" s="101">
        <f t="shared" si="42"/>
        <v>2017</v>
      </c>
    </row>
    <row r="575" spans="1:17">
      <c r="A575" s="332" t="s">
        <v>318</v>
      </c>
      <c r="B575" s="333" t="s">
        <v>1049</v>
      </c>
      <c r="C575" s="423" t="s">
        <v>330</v>
      </c>
      <c r="D575" s="332" t="s">
        <v>1050</v>
      </c>
      <c r="E575" s="333">
        <v>201612</v>
      </c>
      <c r="F575" s="334">
        <v>60.77</v>
      </c>
      <c r="G575" s="521">
        <f t="shared" si="39"/>
        <v>4.5</v>
      </c>
      <c r="H575" s="336">
        <v>1.3083000000000001E-3</v>
      </c>
      <c r="I575" s="523">
        <f t="shared" si="40"/>
        <v>0.36</v>
      </c>
      <c r="J575" s="523">
        <f t="shared" si="41"/>
        <v>0.95</v>
      </c>
      <c r="Q575" s="101">
        <f t="shared" si="42"/>
        <v>2017</v>
      </c>
    </row>
    <row r="576" spans="1:17" ht="15">
      <c r="A576" s="332" t="s">
        <v>318</v>
      </c>
      <c r="B576" s="333" t="s">
        <v>1077</v>
      </c>
      <c r="C576" s="424" t="s">
        <v>330</v>
      </c>
      <c r="D576" s="332" t="s">
        <v>1078</v>
      </c>
      <c r="E576" s="333">
        <v>201612</v>
      </c>
      <c r="F576" s="334">
        <v>306.54000000000002</v>
      </c>
      <c r="G576" s="521">
        <f t="shared" si="39"/>
        <v>4.5</v>
      </c>
      <c r="H576" s="336">
        <v>1.3083000000000001E-3</v>
      </c>
      <c r="I576" s="523">
        <f t="shared" si="40"/>
        <v>1.8</v>
      </c>
      <c r="J576" s="523">
        <f t="shared" si="41"/>
        <v>4.8099999999999996</v>
      </c>
      <c r="Q576" s="101">
        <f t="shared" si="42"/>
        <v>2017</v>
      </c>
    </row>
    <row r="577" spans="1:17">
      <c r="A577" s="332" t="s">
        <v>318</v>
      </c>
      <c r="B577" s="333" t="s">
        <v>1079</v>
      </c>
      <c r="C577" s="423" t="s">
        <v>330</v>
      </c>
      <c r="D577" s="332" t="s">
        <v>1080</v>
      </c>
      <c r="E577" s="333">
        <v>201612</v>
      </c>
      <c r="F577" s="334">
        <v>1501.83</v>
      </c>
      <c r="G577" s="521">
        <f t="shared" si="39"/>
        <v>4.5</v>
      </c>
      <c r="H577" s="336">
        <v>1.3083000000000001E-3</v>
      </c>
      <c r="I577" s="523">
        <f t="shared" si="40"/>
        <v>8.84</v>
      </c>
      <c r="J577" s="523">
        <f t="shared" si="41"/>
        <v>23.58</v>
      </c>
      <c r="Q577" s="101">
        <f t="shared" si="42"/>
        <v>2017</v>
      </c>
    </row>
    <row r="578" spans="1:17">
      <c r="A578" s="332" t="s">
        <v>318</v>
      </c>
      <c r="B578" s="333" t="s">
        <v>1118</v>
      </c>
      <c r="C578" s="423" t="s">
        <v>330</v>
      </c>
      <c r="D578" s="332" t="s">
        <v>1119</v>
      </c>
      <c r="E578" s="333">
        <v>201612</v>
      </c>
      <c r="F578" s="334">
        <v>19160.87</v>
      </c>
      <c r="G578" s="521">
        <f t="shared" si="39"/>
        <v>4.5</v>
      </c>
      <c r="H578" s="336">
        <v>1.3083000000000001E-3</v>
      </c>
      <c r="I578" s="523">
        <f t="shared" si="40"/>
        <v>112.81</v>
      </c>
      <c r="J578" s="523">
        <f t="shared" si="41"/>
        <v>300.82</v>
      </c>
      <c r="Q578" s="101">
        <f t="shared" si="42"/>
        <v>2017</v>
      </c>
    </row>
    <row r="579" spans="1:17">
      <c r="A579" s="332" t="s">
        <v>318</v>
      </c>
      <c r="B579" s="333" t="s">
        <v>1053</v>
      </c>
      <c r="C579" s="423" t="s">
        <v>331</v>
      </c>
      <c r="D579" s="332" t="s">
        <v>1054</v>
      </c>
      <c r="E579" s="333">
        <v>201612</v>
      </c>
      <c r="F579" s="334">
        <v>-0.15</v>
      </c>
      <c r="G579" s="521">
        <f t="shared" si="39"/>
        <v>4.5</v>
      </c>
      <c r="H579" s="336">
        <v>1.3083000000000001E-3</v>
      </c>
      <c r="I579" s="523">
        <f t="shared" ref="I579:I634" si="43">ROUND(F579*G579*H579,2)</f>
        <v>0</v>
      </c>
      <c r="J579" s="523">
        <f t="shared" ref="J579:J634" si="44">ROUND(F579*H579*12,2)</f>
        <v>0</v>
      </c>
      <c r="Q579" s="101">
        <f t="shared" si="42"/>
        <v>2017</v>
      </c>
    </row>
    <row r="580" spans="1:17" s="559" customFormat="1" ht="15">
      <c r="A580" s="813" t="s">
        <v>318</v>
      </c>
      <c r="B580" s="813" t="s">
        <v>941</v>
      </c>
      <c r="C580" s="811" t="s">
        <v>330</v>
      </c>
      <c r="D580" s="813" t="s">
        <v>942</v>
      </c>
      <c r="E580" s="814">
        <v>201701</v>
      </c>
      <c r="F580" s="815">
        <v>-3.27</v>
      </c>
      <c r="G580" s="521">
        <f t="shared" si="39"/>
        <v>3.5</v>
      </c>
      <c r="H580" s="812">
        <v>1.3083000000000001E-3</v>
      </c>
      <c r="I580" s="523">
        <f t="shared" si="43"/>
        <v>-0.01</v>
      </c>
      <c r="J580" s="523">
        <f t="shared" si="44"/>
        <v>-0.05</v>
      </c>
      <c r="Q580" s="559">
        <f t="shared" si="42"/>
        <v>2017</v>
      </c>
    </row>
    <row r="581" spans="1:17" s="559" customFormat="1" ht="15">
      <c r="A581" s="813" t="s">
        <v>318</v>
      </c>
      <c r="B581" s="813" t="s">
        <v>856</v>
      </c>
      <c r="C581" s="811" t="s">
        <v>330</v>
      </c>
      <c r="D581" s="813" t="s">
        <v>857</v>
      </c>
      <c r="E581" s="814">
        <v>201701</v>
      </c>
      <c r="F581" s="815">
        <v>-395.68</v>
      </c>
      <c r="G581" s="521">
        <f t="shared" si="39"/>
        <v>3.5</v>
      </c>
      <c r="H581" s="812">
        <v>1.3083000000000001E-3</v>
      </c>
      <c r="I581" s="523">
        <f t="shared" si="43"/>
        <v>-1.81</v>
      </c>
      <c r="J581" s="523">
        <f t="shared" si="44"/>
        <v>-6.21</v>
      </c>
      <c r="Q581" s="559">
        <f t="shared" si="42"/>
        <v>2017</v>
      </c>
    </row>
    <row r="582" spans="1:17" s="559" customFormat="1" ht="15">
      <c r="A582" s="813" t="s">
        <v>318</v>
      </c>
      <c r="B582" s="813" t="s">
        <v>800</v>
      </c>
      <c r="C582" s="811" t="s">
        <v>330</v>
      </c>
      <c r="D582" s="813" t="s">
        <v>830</v>
      </c>
      <c r="E582" s="814">
        <v>201701</v>
      </c>
      <c r="F582" s="815">
        <v>-14.45</v>
      </c>
      <c r="G582" s="521">
        <f t="shared" si="39"/>
        <v>3.5</v>
      </c>
      <c r="H582" s="812">
        <v>1.3083000000000001E-3</v>
      </c>
      <c r="I582" s="523">
        <f t="shared" si="43"/>
        <v>-7.0000000000000007E-2</v>
      </c>
      <c r="J582" s="523">
        <f t="shared" si="44"/>
        <v>-0.23</v>
      </c>
      <c r="Q582" s="559">
        <f t="shared" si="42"/>
        <v>2017</v>
      </c>
    </row>
    <row r="583" spans="1:17" s="559" customFormat="1" ht="15">
      <c r="A583" s="813" t="s">
        <v>318</v>
      </c>
      <c r="B583" s="813" t="s">
        <v>629</v>
      </c>
      <c r="C583" s="811" t="s">
        <v>330</v>
      </c>
      <c r="D583" s="813" t="s">
        <v>630</v>
      </c>
      <c r="E583" s="814">
        <v>201701</v>
      </c>
      <c r="F583" s="815">
        <v>17.899999999999999</v>
      </c>
      <c r="G583" s="521">
        <f t="shared" si="39"/>
        <v>3.5</v>
      </c>
      <c r="H583" s="812">
        <v>1.3083000000000001E-3</v>
      </c>
      <c r="I583" s="523">
        <f t="shared" si="43"/>
        <v>0.08</v>
      </c>
      <c r="J583" s="523">
        <f t="shared" si="44"/>
        <v>0.28000000000000003</v>
      </c>
      <c r="Q583" s="559">
        <f t="shared" si="42"/>
        <v>2017</v>
      </c>
    </row>
    <row r="584" spans="1:17" s="559" customFormat="1" ht="15">
      <c r="A584" s="813" t="s">
        <v>318</v>
      </c>
      <c r="B584" s="813" t="s">
        <v>838</v>
      </c>
      <c r="C584" s="811" t="s">
        <v>330</v>
      </c>
      <c r="D584" s="813" t="s">
        <v>1015</v>
      </c>
      <c r="E584" s="814">
        <v>201701</v>
      </c>
      <c r="F584" s="815">
        <v>0.04</v>
      </c>
      <c r="G584" s="521">
        <f t="shared" si="39"/>
        <v>3.5</v>
      </c>
      <c r="H584" s="812">
        <v>1.3083000000000001E-3</v>
      </c>
      <c r="I584" s="523">
        <f t="shared" si="43"/>
        <v>0</v>
      </c>
      <c r="J584" s="523">
        <f t="shared" si="44"/>
        <v>0</v>
      </c>
      <c r="Q584" s="559">
        <f t="shared" si="42"/>
        <v>2017</v>
      </c>
    </row>
    <row r="585" spans="1:17" s="559" customFormat="1" ht="15">
      <c r="A585" s="813" t="s">
        <v>318</v>
      </c>
      <c r="B585" s="813" t="s">
        <v>801</v>
      </c>
      <c r="C585" s="811" t="s">
        <v>330</v>
      </c>
      <c r="D585" s="813" t="s">
        <v>802</v>
      </c>
      <c r="E585" s="814">
        <v>201701</v>
      </c>
      <c r="F585" s="815">
        <v>0.28000000000000003</v>
      </c>
      <c r="G585" s="521">
        <f t="shared" si="39"/>
        <v>3.5</v>
      </c>
      <c r="H585" s="812">
        <v>1.3083000000000001E-3</v>
      </c>
      <c r="I585" s="523">
        <f t="shared" si="43"/>
        <v>0</v>
      </c>
      <c r="J585" s="523">
        <f t="shared" si="44"/>
        <v>0</v>
      </c>
      <c r="Q585" s="559">
        <f t="shared" si="42"/>
        <v>2017</v>
      </c>
    </row>
    <row r="586" spans="1:17" s="559" customFormat="1" ht="15">
      <c r="A586" s="813" t="s">
        <v>318</v>
      </c>
      <c r="B586" s="813" t="s">
        <v>803</v>
      </c>
      <c r="C586" s="811" t="s">
        <v>330</v>
      </c>
      <c r="D586" s="813" t="s">
        <v>804</v>
      </c>
      <c r="E586" s="814">
        <v>201701</v>
      </c>
      <c r="F586" s="815">
        <v>2.79</v>
      </c>
      <c r="G586" s="521">
        <f t="shared" si="39"/>
        <v>3.5</v>
      </c>
      <c r="H586" s="812">
        <v>1.3083000000000001E-3</v>
      </c>
      <c r="I586" s="523">
        <f t="shared" si="43"/>
        <v>0.01</v>
      </c>
      <c r="J586" s="523">
        <f t="shared" si="44"/>
        <v>0.04</v>
      </c>
      <c r="Q586" s="559">
        <f t="shared" si="42"/>
        <v>2017</v>
      </c>
    </row>
    <row r="587" spans="1:17" s="559" customFormat="1" ht="15">
      <c r="A587" s="813" t="s">
        <v>318</v>
      </c>
      <c r="B587" s="813" t="s">
        <v>805</v>
      </c>
      <c r="C587" s="811" t="s">
        <v>330</v>
      </c>
      <c r="D587" s="813" t="s">
        <v>806</v>
      </c>
      <c r="E587" s="814">
        <v>201701</v>
      </c>
      <c r="F587" s="815">
        <v>-0.11</v>
      </c>
      <c r="G587" s="521">
        <f t="shared" si="39"/>
        <v>3.5</v>
      </c>
      <c r="H587" s="812">
        <v>1.3083000000000001E-3</v>
      </c>
      <c r="I587" s="523">
        <f t="shared" si="43"/>
        <v>0</v>
      </c>
      <c r="J587" s="523">
        <f t="shared" si="44"/>
        <v>0</v>
      </c>
      <c r="Q587" s="559">
        <f t="shared" si="42"/>
        <v>2017</v>
      </c>
    </row>
    <row r="588" spans="1:17" s="559" customFormat="1" ht="15">
      <c r="A588" s="813" t="s">
        <v>318</v>
      </c>
      <c r="B588" s="813" t="s">
        <v>1033</v>
      </c>
      <c r="C588" s="811" t="s">
        <v>330</v>
      </c>
      <c r="D588" s="813" t="s">
        <v>1034</v>
      </c>
      <c r="E588" s="814">
        <v>201701</v>
      </c>
      <c r="F588" s="815">
        <v>122.93</v>
      </c>
      <c r="G588" s="521">
        <f t="shared" si="39"/>
        <v>3.5</v>
      </c>
      <c r="H588" s="812">
        <v>1.3083000000000001E-3</v>
      </c>
      <c r="I588" s="523">
        <f t="shared" si="43"/>
        <v>0.56000000000000005</v>
      </c>
      <c r="J588" s="523">
        <f t="shared" si="44"/>
        <v>1.93</v>
      </c>
      <c r="Q588" s="559">
        <f t="shared" si="42"/>
        <v>2017</v>
      </c>
    </row>
    <row r="589" spans="1:17" s="559" customFormat="1" ht="15">
      <c r="A589" s="813" t="s">
        <v>318</v>
      </c>
      <c r="B589" s="813" t="s">
        <v>832</v>
      </c>
      <c r="C589" s="811" t="s">
        <v>330</v>
      </c>
      <c r="D589" s="813" t="s">
        <v>833</v>
      </c>
      <c r="E589" s="814">
        <v>201701</v>
      </c>
      <c r="F589" s="815">
        <v>-19757.349999999999</v>
      </c>
      <c r="G589" s="521">
        <f t="shared" si="39"/>
        <v>3.5</v>
      </c>
      <c r="H589" s="812">
        <v>1.3083000000000001E-3</v>
      </c>
      <c r="I589" s="523">
        <f t="shared" si="43"/>
        <v>-90.47</v>
      </c>
      <c r="J589" s="523">
        <f t="shared" si="44"/>
        <v>-310.18</v>
      </c>
      <c r="Q589" s="559">
        <f t="shared" si="42"/>
        <v>2017</v>
      </c>
    </row>
    <row r="590" spans="1:17" s="559" customFormat="1" ht="15">
      <c r="A590" s="813" t="s">
        <v>318</v>
      </c>
      <c r="B590" s="813" t="s">
        <v>947</v>
      </c>
      <c r="C590" s="811" t="s">
        <v>330</v>
      </c>
      <c r="D590" s="813" t="s">
        <v>948</v>
      </c>
      <c r="E590" s="814">
        <v>201701</v>
      </c>
      <c r="F590" s="815">
        <v>129263.42</v>
      </c>
      <c r="G590" s="521">
        <f t="shared" si="39"/>
        <v>3.5</v>
      </c>
      <c r="H590" s="812">
        <v>1.3083000000000001E-3</v>
      </c>
      <c r="I590" s="523">
        <f t="shared" si="43"/>
        <v>591.9</v>
      </c>
      <c r="J590" s="523">
        <f t="shared" si="44"/>
        <v>2029.38</v>
      </c>
      <c r="Q590" s="559">
        <f t="shared" si="42"/>
        <v>2017</v>
      </c>
    </row>
    <row r="591" spans="1:17" s="559" customFormat="1" ht="15">
      <c r="A591" s="813" t="s">
        <v>318</v>
      </c>
      <c r="B591" s="813" t="s">
        <v>949</v>
      </c>
      <c r="C591" s="811" t="s">
        <v>330</v>
      </c>
      <c r="D591" s="813" t="s">
        <v>950</v>
      </c>
      <c r="E591" s="814">
        <v>201701</v>
      </c>
      <c r="F591" s="815">
        <v>9015.57</v>
      </c>
      <c r="G591" s="521">
        <f t="shared" si="39"/>
        <v>3.5</v>
      </c>
      <c r="H591" s="812">
        <v>1.3083000000000001E-3</v>
      </c>
      <c r="I591" s="523">
        <f t="shared" si="43"/>
        <v>41.28</v>
      </c>
      <c r="J591" s="523">
        <f t="shared" si="44"/>
        <v>141.54</v>
      </c>
      <c r="Q591" s="559">
        <f t="shared" si="42"/>
        <v>2017</v>
      </c>
    </row>
    <row r="592" spans="1:17" s="559" customFormat="1" ht="15">
      <c r="A592" s="813" t="s">
        <v>318</v>
      </c>
      <c r="B592" s="813" t="s">
        <v>951</v>
      </c>
      <c r="C592" s="811" t="s">
        <v>330</v>
      </c>
      <c r="D592" s="813" t="s">
        <v>952</v>
      </c>
      <c r="E592" s="814">
        <v>201701</v>
      </c>
      <c r="F592" s="815">
        <v>55598.76</v>
      </c>
      <c r="G592" s="521">
        <f t="shared" si="39"/>
        <v>3.5</v>
      </c>
      <c r="H592" s="812">
        <v>1.3083000000000001E-3</v>
      </c>
      <c r="I592" s="523">
        <f t="shared" si="43"/>
        <v>254.59</v>
      </c>
      <c r="J592" s="523">
        <f t="shared" si="44"/>
        <v>872.88</v>
      </c>
      <c r="Q592" s="559">
        <f t="shared" si="42"/>
        <v>2017</v>
      </c>
    </row>
    <row r="593" spans="1:17" s="559" customFormat="1" ht="15">
      <c r="A593" s="813" t="s">
        <v>318</v>
      </c>
      <c r="B593" s="813" t="s">
        <v>955</v>
      </c>
      <c r="C593" s="811" t="s">
        <v>330</v>
      </c>
      <c r="D593" s="813" t="s">
        <v>956</v>
      </c>
      <c r="E593" s="814">
        <v>201701</v>
      </c>
      <c r="F593" s="815">
        <v>-3271.4</v>
      </c>
      <c r="G593" s="521">
        <f t="shared" si="39"/>
        <v>3.5</v>
      </c>
      <c r="H593" s="812">
        <v>1.3083000000000001E-3</v>
      </c>
      <c r="I593" s="523">
        <f t="shared" si="43"/>
        <v>-14.98</v>
      </c>
      <c r="J593" s="523">
        <f t="shared" si="44"/>
        <v>-51.36</v>
      </c>
      <c r="Q593" s="559">
        <f t="shared" si="42"/>
        <v>2017</v>
      </c>
    </row>
    <row r="594" spans="1:17" s="559" customFormat="1" ht="15">
      <c r="A594" s="813" t="s">
        <v>318</v>
      </c>
      <c r="B594" s="813" t="s">
        <v>893</v>
      </c>
      <c r="C594" s="811" t="s">
        <v>331</v>
      </c>
      <c r="D594" s="813" t="s">
        <v>894</v>
      </c>
      <c r="E594" s="814">
        <v>201701</v>
      </c>
      <c r="F594" s="815">
        <v>11.21</v>
      </c>
      <c r="G594" s="521">
        <f t="shared" si="39"/>
        <v>3.5</v>
      </c>
      <c r="H594" s="812">
        <v>1.3083000000000001E-3</v>
      </c>
      <c r="I594" s="523">
        <f t="shared" si="43"/>
        <v>0.05</v>
      </c>
      <c r="J594" s="523">
        <f t="shared" si="44"/>
        <v>0.18</v>
      </c>
      <c r="Q594" s="559">
        <f t="shared" si="42"/>
        <v>2017</v>
      </c>
    </row>
    <row r="595" spans="1:17" s="559" customFormat="1" ht="15">
      <c r="A595" s="813" t="s">
        <v>318</v>
      </c>
      <c r="B595" s="813" t="s">
        <v>963</v>
      </c>
      <c r="C595" s="811" t="s">
        <v>330</v>
      </c>
      <c r="D595" s="813" t="s">
        <v>964</v>
      </c>
      <c r="E595" s="814">
        <v>201701</v>
      </c>
      <c r="F595" s="815">
        <v>19.04</v>
      </c>
      <c r="G595" s="521">
        <f t="shared" si="39"/>
        <v>3.5</v>
      </c>
      <c r="H595" s="812">
        <v>1.3083000000000001E-3</v>
      </c>
      <c r="I595" s="523">
        <f t="shared" si="43"/>
        <v>0.09</v>
      </c>
      <c r="J595" s="523">
        <f t="shared" si="44"/>
        <v>0.3</v>
      </c>
      <c r="Q595" s="559">
        <f t="shared" si="42"/>
        <v>2017</v>
      </c>
    </row>
    <row r="596" spans="1:17" s="559" customFormat="1" ht="15">
      <c r="A596" s="813" t="s">
        <v>318</v>
      </c>
      <c r="B596" s="813" t="s">
        <v>844</v>
      </c>
      <c r="C596" s="811" t="s">
        <v>329</v>
      </c>
      <c r="D596" s="813" t="s">
        <v>845</v>
      </c>
      <c r="E596" s="814">
        <v>201701</v>
      </c>
      <c r="F596" s="815">
        <v>1.52</v>
      </c>
      <c r="G596" s="521">
        <f t="shared" si="39"/>
        <v>3.5</v>
      </c>
      <c r="H596" s="812">
        <v>1.3083000000000001E-3</v>
      </c>
      <c r="I596" s="523">
        <f t="shared" si="43"/>
        <v>0.01</v>
      </c>
      <c r="J596" s="523">
        <f t="shared" si="44"/>
        <v>0.02</v>
      </c>
      <c r="Q596" s="559">
        <f t="shared" si="42"/>
        <v>2017</v>
      </c>
    </row>
    <row r="597" spans="1:17" s="559" customFormat="1" ht="15">
      <c r="A597" s="813" t="s">
        <v>318</v>
      </c>
      <c r="B597" s="813" t="s">
        <v>682</v>
      </c>
      <c r="C597" s="811" t="s">
        <v>330</v>
      </c>
      <c r="D597" s="813" t="s">
        <v>683</v>
      </c>
      <c r="E597" s="814">
        <v>201701</v>
      </c>
      <c r="F597" s="815">
        <v>3150.15</v>
      </c>
      <c r="G597" s="521">
        <f t="shared" si="39"/>
        <v>3.5</v>
      </c>
      <c r="H597" s="812">
        <v>1.3083000000000001E-3</v>
      </c>
      <c r="I597" s="523">
        <f t="shared" si="43"/>
        <v>14.42</v>
      </c>
      <c r="J597" s="523">
        <f t="shared" si="44"/>
        <v>49.46</v>
      </c>
      <c r="Q597" s="559">
        <f t="shared" si="42"/>
        <v>2017</v>
      </c>
    </row>
    <row r="598" spans="1:17" s="559" customFormat="1" ht="15">
      <c r="A598" s="813" t="s">
        <v>318</v>
      </c>
      <c r="B598" s="813" t="s">
        <v>1106</v>
      </c>
      <c r="C598" s="811" t="s">
        <v>330</v>
      </c>
      <c r="D598" s="813" t="s">
        <v>1107</v>
      </c>
      <c r="E598" s="814">
        <v>201701</v>
      </c>
      <c r="F598" s="815">
        <v>2036.16</v>
      </c>
      <c r="G598" s="521">
        <f t="shared" si="39"/>
        <v>3.5</v>
      </c>
      <c r="H598" s="812">
        <v>1.3083000000000001E-3</v>
      </c>
      <c r="I598" s="523">
        <f t="shared" si="43"/>
        <v>9.32</v>
      </c>
      <c r="J598" s="523">
        <f t="shared" si="44"/>
        <v>31.97</v>
      </c>
      <c r="Q598" s="559">
        <f t="shared" si="42"/>
        <v>2017</v>
      </c>
    </row>
    <row r="599" spans="1:17" s="559" customFormat="1" ht="15">
      <c r="A599" s="813" t="s">
        <v>318</v>
      </c>
      <c r="B599" s="813" t="s">
        <v>822</v>
      </c>
      <c r="C599" s="811" t="s">
        <v>330</v>
      </c>
      <c r="D599" s="813" t="s">
        <v>823</v>
      </c>
      <c r="E599" s="814">
        <v>201701</v>
      </c>
      <c r="F599" s="815">
        <v>0.51</v>
      </c>
      <c r="G599" s="521">
        <f t="shared" si="39"/>
        <v>3.5</v>
      </c>
      <c r="H599" s="812">
        <v>1.3083000000000001E-3</v>
      </c>
      <c r="I599" s="523">
        <f t="shared" si="43"/>
        <v>0</v>
      </c>
      <c r="J599" s="523">
        <f t="shared" si="44"/>
        <v>0.01</v>
      </c>
      <c r="Q599" s="559">
        <f t="shared" si="42"/>
        <v>2017</v>
      </c>
    </row>
    <row r="600" spans="1:17" s="559" customFormat="1" ht="15">
      <c r="A600" s="813" t="s">
        <v>318</v>
      </c>
      <c r="B600" s="813" t="s">
        <v>973</v>
      </c>
      <c r="C600" s="811" t="s">
        <v>330</v>
      </c>
      <c r="D600" s="813" t="s">
        <v>974</v>
      </c>
      <c r="E600" s="814">
        <v>201701</v>
      </c>
      <c r="F600" s="815">
        <v>101.71</v>
      </c>
      <c r="G600" s="521">
        <f t="shared" si="39"/>
        <v>3.5</v>
      </c>
      <c r="H600" s="812">
        <v>1.3083000000000001E-3</v>
      </c>
      <c r="I600" s="523">
        <f t="shared" si="43"/>
        <v>0.47</v>
      </c>
      <c r="J600" s="523">
        <f t="shared" si="44"/>
        <v>1.6</v>
      </c>
      <c r="Q600" s="559">
        <f t="shared" si="42"/>
        <v>2017</v>
      </c>
    </row>
    <row r="601" spans="1:17" s="559" customFormat="1" ht="15">
      <c r="A601" s="813" t="s">
        <v>318</v>
      </c>
      <c r="B601" s="813" t="s">
        <v>868</v>
      </c>
      <c r="C601" s="811" t="s">
        <v>330</v>
      </c>
      <c r="D601" s="813" t="s">
        <v>869</v>
      </c>
      <c r="E601" s="814">
        <v>201701</v>
      </c>
      <c r="F601" s="815">
        <v>-0.13</v>
      </c>
      <c r="G601" s="521">
        <f t="shared" si="39"/>
        <v>3.5</v>
      </c>
      <c r="H601" s="812">
        <v>1.3083000000000001E-3</v>
      </c>
      <c r="I601" s="523">
        <f t="shared" si="43"/>
        <v>0</v>
      </c>
      <c r="J601" s="523">
        <f t="shared" si="44"/>
        <v>0</v>
      </c>
      <c r="Q601" s="559">
        <f t="shared" si="42"/>
        <v>2017</v>
      </c>
    </row>
    <row r="602" spans="1:17" s="559" customFormat="1" ht="15">
      <c r="A602" s="813" t="s">
        <v>318</v>
      </c>
      <c r="B602" s="813" t="s">
        <v>1108</v>
      </c>
      <c r="C602" s="811" t="s">
        <v>330</v>
      </c>
      <c r="D602" s="813" t="s">
        <v>1109</v>
      </c>
      <c r="E602" s="814">
        <v>201701</v>
      </c>
      <c r="F602" s="815">
        <v>6327.79</v>
      </c>
      <c r="G602" s="521">
        <f t="shared" si="39"/>
        <v>3.5</v>
      </c>
      <c r="H602" s="812">
        <v>1.3083000000000001E-3</v>
      </c>
      <c r="I602" s="523">
        <f t="shared" si="43"/>
        <v>28.98</v>
      </c>
      <c r="J602" s="523">
        <f t="shared" si="44"/>
        <v>99.34</v>
      </c>
      <c r="Q602" s="559">
        <f t="shared" si="42"/>
        <v>2017</v>
      </c>
    </row>
    <row r="603" spans="1:17" s="559" customFormat="1" ht="15">
      <c r="A603" s="813" t="s">
        <v>318</v>
      </c>
      <c r="B603" s="813" t="s">
        <v>1069</v>
      </c>
      <c r="C603" s="811" t="s">
        <v>330</v>
      </c>
      <c r="D603" s="813" t="s">
        <v>1105</v>
      </c>
      <c r="E603" s="814">
        <v>201701</v>
      </c>
      <c r="F603" s="815">
        <v>111.56</v>
      </c>
      <c r="G603" s="521">
        <f t="shared" si="39"/>
        <v>3.5</v>
      </c>
      <c r="H603" s="812">
        <v>1.3083000000000001E-3</v>
      </c>
      <c r="I603" s="523">
        <f t="shared" si="43"/>
        <v>0.51</v>
      </c>
      <c r="J603" s="523">
        <f t="shared" si="44"/>
        <v>1.75</v>
      </c>
      <c r="Q603" s="559">
        <f t="shared" si="42"/>
        <v>2017</v>
      </c>
    </row>
    <row r="604" spans="1:17" s="559" customFormat="1" ht="15">
      <c r="A604" s="813" t="s">
        <v>318</v>
      </c>
      <c r="B604" s="813" t="s">
        <v>975</v>
      </c>
      <c r="C604" s="811" t="s">
        <v>330</v>
      </c>
      <c r="D604" s="813" t="s">
        <v>976</v>
      </c>
      <c r="E604" s="814">
        <v>201701</v>
      </c>
      <c r="F604" s="815">
        <v>44.87</v>
      </c>
      <c r="G604" s="521">
        <f t="shared" si="39"/>
        <v>3.5</v>
      </c>
      <c r="H604" s="812">
        <v>1.3083000000000001E-3</v>
      </c>
      <c r="I604" s="523">
        <f t="shared" si="43"/>
        <v>0.21</v>
      </c>
      <c r="J604" s="523">
        <f t="shared" si="44"/>
        <v>0.7</v>
      </c>
      <c r="Q604" s="559">
        <f t="shared" si="42"/>
        <v>2017</v>
      </c>
    </row>
    <row r="605" spans="1:17" s="559" customFormat="1" ht="15">
      <c r="A605" s="813" t="s">
        <v>318</v>
      </c>
      <c r="B605" s="813" t="s">
        <v>870</v>
      </c>
      <c r="C605" s="811" t="s">
        <v>330</v>
      </c>
      <c r="D605" s="813" t="s">
        <v>871</v>
      </c>
      <c r="E605" s="814">
        <v>201701</v>
      </c>
      <c r="F605" s="815">
        <v>-117.66</v>
      </c>
      <c r="G605" s="521">
        <f t="shared" si="39"/>
        <v>3.5</v>
      </c>
      <c r="H605" s="812">
        <v>1.3083000000000001E-3</v>
      </c>
      <c r="I605" s="523">
        <f t="shared" si="43"/>
        <v>-0.54</v>
      </c>
      <c r="J605" s="523">
        <f t="shared" si="44"/>
        <v>-1.85</v>
      </c>
      <c r="Q605" s="559">
        <f t="shared" si="42"/>
        <v>2017</v>
      </c>
    </row>
    <row r="606" spans="1:17" s="559" customFormat="1" ht="15">
      <c r="A606" s="813" t="s">
        <v>318</v>
      </c>
      <c r="B606" s="813" t="s">
        <v>1039</v>
      </c>
      <c r="C606" s="811" t="s">
        <v>330</v>
      </c>
      <c r="D606" s="813" t="s">
        <v>1040</v>
      </c>
      <c r="E606" s="814">
        <v>201701</v>
      </c>
      <c r="F606" s="815">
        <v>2482.06</v>
      </c>
      <c r="G606" s="521">
        <f t="shared" si="39"/>
        <v>3.5</v>
      </c>
      <c r="H606" s="812">
        <v>1.3083000000000001E-3</v>
      </c>
      <c r="I606" s="523">
        <f t="shared" si="43"/>
        <v>11.37</v>
      </c>
      <c r="J606" s="523">
        <f t="shared" si="44"/>
        <v>38.97</v>
      </c>
      <c r="Q606" s="559">
        <f t="shared" si="42"/>
        <v>2017</v>
      </c>
    </row>
    <row r="607" spans="1:17" s="559" customFormat="1" ht="15">
      <c r="A607" s="813" t="s">
        <v>318</v>
      </c>
      <c r="B607" s="813" t="s">
        <v>872</v>
      </c>
      <c r="C607" s="811" t="s">
        <v>330</v>
      </c>
      <c r="D607" s="813" t="s">
        <v>873</v>
      </c>
      <c r="E607" s="814">
        <v>201701</v>
      </c>
      <c r="F607" s="815">
        <v>11.73</v>
      </c>
      <c r="G607" s="521">
        <f t="shared" si="39"/>
        <v>3.5</v>
      </c>
      <c r="H607" s="812">
        <v>1.3083000000000001E-3</v>
      </c>
      <c r="I607" s="523">
        <f t="shared" si="43"/>
        <v>0.05</v>
      </c>
      <c r="J607" s="523">
        <f t="shared" si="44"/>
        <v>0.18</v>
      </c>
      <c r="Q607" s="559">
        <f t="shared" si="42"/>
        <v>2017</v>
      </c>
    </row>
    <row r="608" spans="1:17" s="559" customFormat="1" ht="15">
      <c r="A608" s="813" t="s">
        <v>318</v>
      </c>
      <c r="B608" s="813" t="s">
        <v>977</v>
      </c>
      <c r="C608" s="811" t="s">
        <v>330</v>
      </c>
      <c r="D608" s="813" t="s">
        <v>978</v>
      </c>
      <c r="E608" s="814">
        <v>201701</v>
      </c>
      <c r="F608" s="815">
        <v>190.99</v>
      </c>
      <c r="G608" s="521">
        <f t="shared" si="39"/>
        <v>3.5</v>
      </c>
      <c r="H608" s="812">
        <v>1.3083000000000001E-3</v>
      </c>
      <c r="I608" s="523">
        <f t="shared" si="43"/>
        <v>0.87</v>
      </c>
      <c r="J608" s="523">
        <f t="shared" si="44"/>
        <v>3</v>
      </c>
      <c r="Q608" s="559">
        <f t="shared" si="42"/>
        <v>2017</v>
      </c>
    </row>
    <row r="609" spans="1:17" s="559" customFormat="1" ht="15">
      <c r="A609" s="813" t="s">
        <v>318</v>
      </c>
      <c r="B609" s="813" t="s">
        <v>1041</v>
      </c>
      <c r="C609" s="811" t="s">
        <v>330</v>
      </c>
      <c r="D609" s="813" t="s">
        <v>1042</v>
      </c>
      <c r="E609" s="814">
        <v>201701</v>
      </c>
      <c r="F609" s="815">
        <v>-9.6999999999999993</v>
      </c>
      <c r="G609" s="521">
        <f t="shared" si="39"/>
        <v>3.5</v>
      </c>
      <c r="H609" s="812">
        <v>1.3083000000000001E-3</v>
      </c>
      <c r="I609" s="523">
        <f t="shared" si="43"/>
        <v>-0.04</v>
      </c>
      <c r="J609" s="523">
        <f t="shared" si="44"/>
        <v>-0.15</v>
      </c>
      <c r="Q609" s="559">
        <f t="shared" si="42"/>
        <v>2017</v>
      </c>
    </row>
    <row r="610" spans="1:17" s="559" customFormat="1" ht="15">
      <c r="A610" s="813" t="s">
        <v>318</v>
      </c>
      <c r="B610" s="813" t="s">
        <v>979</v>
      </c>
      <c r="C610" s="811" t="s">
        <v>330</v>
      </c>
      <c r="D610" s="813" t="s">
        <v>980</v>
      </c>
      <c r="E610" s="814">
        <v>201701</v>
      </c>
      <c r="F610" s="815">
        <v>38.75</v>
      </c>
      <c r="G610" s="521">
        <f t="shared" si="39"/>
        <v>3.5</v>
      </c>
      <c r="H610" s="812">
        <v>1.3083000000000001E-3</v>
      </c>
      <c r="I610" s="523">
        <f t="shared" si="43"/>
        <v>0.18</v>
      </c>
      <c r="J610" s="523">
        <f t="shared" si="44"/>
        <v>0.61</v>
      </c>
      <c r="Q610" s="559">
        <f t="shared" si="42"/>
        <v>2017</v>
      </c>
    </row>
    <row r="611" spans="1:17" s="559" customFormat="1" ht="15">
      <c r="A611" s="813" t="s">
        <v>318</v>
      </c>
      <c r="B611" s="813" t="s">
        <v>981</v>
      </c>
      <c r="C611" s="811" t="s">
        <v>330</v>
      </c>
      <c r="D611" s="813" t="s">
        <v>1014</v>
      </c>
      <c r="E611" s="814">
        <v>201701</v>
      </c>
      <c r="F611" s="815">
        <v>706.9</v>
      </c>
      <c r="G611" s="521">
        <f t="shared" si="39"/>
        <v>3.5</v>
      </c>
      <c r="H611" s="812">
        <v>1.3083000000000001E-3</v>
      </c>
      <c r="I611" s="523">
        <f t="shared" si="43"/>
        <v>3.24</v>
      </c>
      <c r="J611" s="523">
        <f t="shared" si="44"/>
        <v>11.1</v>
      </c>
      <c r="Q611" s="559">
        <f t="shared" si="42"/>
        <v>2017</v>
      </c>
    </row>
    <row r="612" spans="1:17" s="559" customFormat="1" ht="15">
      <c r="A612" s="813" t="s">
        <v>318</v>
      </c>
      <c r="B612" s="813" t="s">
        <v>983</v>
      </c>
      <c r="C612" s="811" t="s">
        <v>330</v>
      </c>
      <c r="D612" s="813" t="s">
        <v>984</v>
      </c>
      <c r="E612" s="814">
        <v>201701</v>
      </c>
      <c r="F612" s="815">
        <v>34.619999999999997</v>
      </c>
      <c r="G612" s="521">
        <f t="shared" si="39"/>
        <v>3.5</v>
      </c>
      <c r="H612" s="812">
        <v>1.3083000000000001E-3</v>
      </c>
      <c r="I612" s="523">
        <f t="shared" si="43"/>
        <v>0.16</v>
      </c>
      <c r="J612" s="523">
        <f t="shared" si="44"/>
        <v>0.54</v>
      </c>
      <c r="Q612" s="559">
        <f t="shared" si="42"/>
        <v>2017</v>
      </c>
    </row>
    <row r="613" spans="1:17" s="559" customFormat="1" ht="15">
      <c r="A613" s="813" t="s">
        <v>318</v>
      </c>
      <c r="B613" s="813" t="s">
        <v>1043</v>
      </c>
      <c r="C613" s="811" t="s">
        <v>330</v>
      </c>
      <c r="D613" s="813" t="s">
        <v>1044</v>
      </c>
      <c r="E613" s="814">
        <v>201701</v>
      </c>
      <c r="F613" s="815">
        <v>-0.8</v>
      </c>
      <c r="G613" s="521">
        <f t="shared" si="39"/>
        <v>3.5</v>
      </c>
      <c r="H613" s="812">
        <v>1.3083000000000001E-3</v>
      </c>
      <c r="I613" s="523">
        <f t="shared" si="43"/>
        <v>0</v>
      </c>
      <c r="J613" s="523">
        <f t="shared" si="44"/>
        <v>-0.01</v>
      </c>
      <c r="Q613" s="559">
        <f t="shared" si="42"/>
        <v>2017</v>
      </c>
    </row>
    <row r="614" spans="1:17" s="559" customFormat="1" ht="15">
      <c r="A614" s="813" t="s">
        <v>318</v>
      </c>
      <c r="B614" s="813" t="s">
        <v>876</v>
      </c>
      <c r="C614" s="811" t="s">
        <v>330</v>
      </c>
      <c r="D614" s="813" t="s">
        <v>877</v>
      </c>
      <c r="E614" s="814">
        <v>201701</v>
      </c>
      <c r="F614" s="815">
        <v>-0.88</v>
      </c>
      <c r="G614" s="521">
        <f t="shared" si="39"/>
        <v>3.5</v>
      </c>
      <c r="H614" s="812">
        <v>1.3083000000000001E-3</v>
      </c>
      <c r="I614" s="523">
        <f t="shared" si="43"/>
        <v>0</v>
      </c>
      <c r="J614" s="523">
        <f t="shared" si="44"/>
        <v>-0.01</v>
      </c>
      <c r="Q614" s="559">
        <f t="shared" si="42"/>
        <v>2017</v>
      </c>
    </row>
    <row r="615" spans="1:17" s="559" customFormat="1" ht="15">
      <c r="A615" s="813" t="s">
        <v>318</v>
      </c>
      <c r="B615" s="813" t="s">
        <v>1045</v>
      </c>
      <c r="C615" s="811" t="s">
        <v>330</v>
      </c>
      <c r="D615" s="813" t="s">
        <v>1046</v>
      </c>
      <c r="E615" s="814">
        <v>201701</v>
      </c>
      <c r="F615" s="815">
        <v>-2.31</v>
      </c>
      <c r="G615" s="521">
        <f t="shared" si="39"/>
        <v>3.5</v>
      </c>
      <c r="H615" s="812">
        <v>1.3083000000000001E-3</v>
      </c>
      <c r="I615" s="523">
        <f t="shared" si="43"/>
        <v>-0.01</v>
      </c>
      <c r="J615" s="523">
        <f t="shared" si="44"/>
        <v>-0.04</v>
      </c>
      <c r="Q615" s="559">
        <f t="shared" si="42"/>
        <v>2017</v>
      </c>
    </row>
    <row r="616" spans="1:17" s="559" customFormat="1" ht="15">
      <c r="A616" s="813" t="s">
        <v>318</v>
      </c>
      <c r="B616" s="813" t="s">
        <v>878</v>
      </c>
      <c r="C616" s="811" t="s">
        <v>330</v>
      </c>
      <c r="D616" s="813" t="s">
        <v>879</v>
      </c>
      <c r="E616" s="814">
        <v>201701</v>
      </c>
      <c r="F616" s="815">
        <v>-10311.15</v>
      </c>
      <c r="G616" s="521">
        <f t="shared" si="39"/>
        <v>3.5</v>
      </c>
      <c r="H616" s="812">
        <v>1.3083000000000001E-3</v>
      </c>
      <c r="I616" s="523">
        <f t="shared" si="43"/>
        <v>-47.22</v>
      </c>
      <c r="J616" s="523">
        <f t="shared" si="44"/>
        <v>-161.88</v>
      </c>
      <c r="Q616" s="559">
        <f t="shared" si="42"/>
        <v>2017</v>
      </c>
    </row>
    <row r="617" spans="1:17" s="559" customFormat="1" ht="15">
      <c r="A617" s="813" t="s">
        <v>318</v>
      </c>
      <c r="B617" s="813" t="s">
        <v>987</v>
      </c>
      <c r="C617" s="811" t="s">
        <v>330</v>
      </c>
      <c r="D617" s="813" t="s">
        <v>988</v>
      </c>
      <c r="E617" s="814">
        <v>201701</v>
      </c>
      <c r="F617" s="815">
        <v>-926.04</v>
      </c>
      <c r="G617" s="521">
        <f t="shared" si="39"/>
        <v>3.5</v>
      </c>
      <c r="H617" s="812">
        <v>1.3083000000000001E-3</v>
      </c>
      <c r="I617" s="523">
        <f t="shared" si="43"/>
        <v>-4.24</v>
      </c>
      <c r="J617" s="523">
        <f t="shared" si="44"/>
        <v>-14.54</v>
      </c>
      <c r="Q617" s="559">
        <f t="shared" si="42"/>
        <v>2017</v>
      </c>
    </row>
    <row r="618" spans="1:17" s="559" customFormat="1" ht="15">
      <c r="A618" s="813" t="s">
        <v>318</v>
      </c>
      <c r="B618" s="813" t="s">
        <v>989</v>
      </c>
      <c r="C618" s="811" t="s">
        <v>330</v>
      </c>
      <c r="D618" s="813" t="s">
        <v>990</v>
      </c>
      <c r="E618" s="814">
        <v>201701</v>
      </c>
      <c r="F618" s="815">
        <v>0.63</v>
      </c>
      <c r="G618" s="521">
        <f t="shared" si="39"/>
        <v>3.5</v>
      </c>
      <c r="H618" s="812">
        <v>1.3083000000000001E-3</v>
      </c>
      <c r="I618" s="523">
        <f t="shared" si="43"/>
        <v>0</v>
      </c>
      <c r="J618" s="523">
        <f t="shared" si="44"/>
        <v>0.01</v>
      </c>
      <c r="Q618" s="559">
        <f t="shared" si="42"/>
        <v>2017</v>
      </c>
    </row>
    <row r="619" spans="1:17" s="559" customFormat="1" ht="15">
      <c r="A619" s="813" t="s">
        <v>318</v>
      </c>
      <c r="B619" s="813" t="s">
        <v>880</v>
      </c>
      <c r="C619" s="811" t="s">
        <v>330</v>
      </c>
      <c r="D619" s="813" t="s">
        <v>881</v>
      </c>
      <c r="E619" s="814">
        <v>201701</v>
      </c>
      <c r="F619" s="815">
        <v>-11.58</v>
      </c>
      <c r="G619" s="521">
        <f t="shared" si="39"/>
        <v>3.5</v>
      </c>
      <c r="H619" s="812">
        <v>1.3083000000000001E-3</v>
      </c>
      <c r="I619" s="523">
        <f t="shared" si="43"/>
        <v>-0.05</v>
      </c>
      <c r="J619" s="523">
        <f t="shared" si="44"/>
        <v>-0.18</v>
      </c>
      <c r="Q619" s="559">
        <f t="shared" si="42"/>
        <v>2017</v>
      </c>
    </row>
    <row r="620" spans="1:17" s="559" customFormat="1" ht="15">
      <c r="A620" s="813" t="s">
        <v>318</v>
      </c>
      <c r="B620" s="813" t="s">
        <v>993</v>
      </c>
      <c r="C620" s="811" t="s">
        <v>330</v>
      </c>
      <c r="D620" s="813" t="s">
        <v>994</v>
      </c>
      <c r="E620" s="814">
        <v>201701</v>
      </c>
      <c r="F620" s="815">
        <v>8.32</v>
      </c>
      <c r="G620" s="521">
        <f t="shared" si="39"/>
        <v>3.5</v>
      </c>
      <c r="H620" s="812">
        <v>1.3083000000000001E-3</v>
      </c>
      <c r="I620" s="523">
        <f t="shared" si="43"/>
        <v>0.04</v>
      </c>
      <c r="J620" s="523">
        <f t="shared" si="44"/>
        <v>0.13</v>
      </c>
      <c r="Q620" s="559">
        <f t="shared" si="42"/>
        <v>2017</v>
      </c>
    </row>
    <row r="621" spans="1:17" s="559" customFormat="1" ht="15">
      <c r="A621" s="813" t="s">
        <v>318</v>
      </c>
      <c r="B621" s="813" t="s">
        <v>996</v>
      </c>
      <c r="C621" s="811" t="s">
        <v>330</v>
      </c>
      <c r="D621" s="813" t="s">
        <v>997</v>
      </c>
      <c r="E621" s="814">
        <v>201701</v>
      </c>
      <c r="F621" s="815">
        <v>234.41</v>
      </c>
      <c r="G621" s="521">
        <f t="shared" si="39"/>
        <v>3.5</v>
      </c>
      <c r="H621" s="812">
        <v>1.3083000000000001E-3</v>
      </c>
      <c r="I621" s="523">
        <f t="shared" si="43"/>
        <v>1.07</v>
      </c>
      <c r="J621" s="523">
        <f t="shared" si="44"/>
        <v>3.68</v>
      </c>
      <c r="Q621" s="559">
        <f t="shared" si="42"/>
        <v>2017</v>
      </c>
    </row>
    <row r="622" spans="1:17" s="559" customFormat="1" ht="15">
      <c r="A622" s="813" t="s">
        <v>318</v>
      </c>
      <c r="B622" s="813" t="s">
        <v>1110</v>
      </c>
      <c r="C622" s="811" t="s">
        <v>330</v>
      </c>
      <c r="D622" s="813" t="s">
        <v>1111</v>
      </c>
      <c r="E622" s="814">
        <v>201701</v>
      </c>
      <c r="F622" s="815">
        <v>923.17</v>
      </c>
      <c r="G622" s="521">
        <f t="shared" si="39"/>
        <v>3.5</v>
      </c>
      <c r="H622" s="812">
        <v>1.3083000000000001E-3</v>
      </c>
      <c r="I622" s="523">
        <f t="shared" si="43"/>
        <v>4.2300000000000004</v>
      </c>
      <c r="J622" s="523">
        <f t="shared" si="44"/>
        <v>14.49</v>
      </c>
      <c r="Q622" s="559">
        <f t="shared" si="42"/>
        <v>2017</v>
      </c>
    </row>
    <row r="623" spans="1:17" s="559" customFormat="1" ht="15">
      <c r="A623" s="813" t="s">
        <v>318</v>
      </c>
      <c r="B623" s="813" t="s">
        <v>1112</v>
      </c>
      <c r="C623" s="811" t="s">
        <v>330</v>
      </c>
      <c r="D623" s="813" t="s">
        <v>1113</v>
      </c>
      <c r="E623" s="814">
        <v>201701</v>
      </c>
      <c r="F623" s="815">
        <v>74.77</v>
      </c>
      <c r="G623" s="521">
        <f t="shared" si="39"/>
        <v>3.5</v>
      </c>
      <c r="H623" s="812">
        <v>1.3083000000000001E-3</v>
      </c>
      <c r="I623" s="523">
        <f t="shared" si="43"/>
        <v>0.34</v>
      </c>
      <c r="J623" s="523">
        <f t="shared" si="44"/>
        <v>1.17</v>
      </c>
      <c r="Q623" s="559">
        <f t="shared" si="42"/>
        <v>2017</v>
      </c>
    </row>
    <row r="624" spans="1:17" s="559" customFormat="1" ht="15">
      <c r="A624" s="813" t="s">
        <v>318</v>
      </c>
      <c r="B624" s="813" t="s">
        <v>1114</v>
      </c>
      <c r="C624" s="811" t="s">
        <v>330</v>
      </c>
      <c r="D624" s="813" t="s">
        <v>1115</v>
      </c>
      <c r="E624" s="814">
        <v>201701</v>
      </c>
      <c r="F624" s="815">
        <v>39.51</v>
      </c>
      <c r="G624" s="521">
        <f t="shared" si="39"/>
        <v>3.5</v>
      </c>
      <c r="H624" s="812">
        <v>1.3083000000000001E-3</v>
      </c>
      <c r="I624" s="523">
        <f t="shared" si="43"/>
        <v>0.18</v>
      </c>
      <c r="J624" s="523">
        <f t="shared" si="44"/>
        <v>0.62</v>
      </c>
      <c r="Q624" s="559">
        <f t="shared" si="42"/>
        <v>2017</v>
      </c>
    </row>
    <row r="625" spans="1:17" s="559" customFormat="1" ht="15">
      <c r="A625" s="813" t="s">
        <v>318</v>
      </c>
      <c r="B625" s="813" t="s">
        <v>1000</v>
      </c>
      <c r="C625" s="811" t="s">
        <v>343</v>
      </c>
      <c r="D625" s="813" t="s">
        <v>1001</v>
      </c>
      <c r="E625" s="814">
        <v>201701</v>
      </c>
      <c r="F625" s="815">
        <v>0.04</v>
      </c>
      <c r="G625" s="521">
        <f t="shared" si="39"/>
        <v>3.5</v>
      </c>
      <c r="H625" s="812">
        <v>1.3083000000000001E-3</v>
      </c>
      <c r="I625" s="523">
        <f t="shared" si="43"/>
        <v>0</v>
      </c>
      <c r="J625" s="523">
        <f t="shared" si="44"/>
        <v>0</v>
      </c>
      <c r="Q625" s="559">
        <f t="shared" si="42"/>
        <v>2017</v>
      </c>
    </row>
    <row r="626" spans="1:17" s="559" customFormat="1" ht="15">
      <c r="A626" s="813" t="s">
        <v>318</v>
      </c>
      <c r="B626" s="813" t="s">
        <v>1116</v>
      </c>
      <c r="C626" s="811" t="s">
        <v>330</v>
      </c>
      <c r="D626" s="813" t="s">
        <v>1117</v>
      </c>
      <c r="E626" s="814">
        <v>201701</v>
      </c>
      <c r="F626" s="815">
        <v>369.35</v>
      </c>
      <c r="G626" s="521">
        <f t="shared" si="39"/>
        <v>3.5</v>
      </c>
      <c r="H626" s="812">
        <v>1.3083000000000001E-3</v>
      </c>
      <c r="I626" s="523">
        <f t="shared" si="43"/>
        <v>1.69</v>
      </c>
      <c r="J626" s="523">
        <f t="shared" si="44"/>
        <v>5.8</v>
      </c>
      <c r="Q626" s="559">
        <f t="shared" si="42"/>
        <v>2017</v>
      </c>
    </row>
    <row r="627" spans="1:17" s="559" customFormat="1" ht="15">
      <c r="A627" s="813" t="s">
        <v>318</v>
      </c>
      <c r="B627" s="813" t="s">
        <v>1075</v>
      </c>
      <c r="C627" s="811" t="s">
        <v>331</v>
      </c>
      <c r="D627" s="813" t="s">
        <v>1076</v>
      </c>
      <c r="E627" s="814">
        <v>201701</v>
      </c>
      <c r="F627" s="815">
        <v>2031.99</v>
      </c>
      <c r="G627" s="521">
        <f t="shared" si="39"/>
        <v>3.5</v>
      </c>
      <c r="H627" s="812">
        <v>1.3083000000000001E-3</v>
      </c>
      <c r="I627" s="523">
        <f t="shared" si="43"/>
        <v>9.3000000000000007</v>
      </c>
      <c r="J627" s="523">
        <f t="shared" si="44"/>
        <v>31.9</v>
      </c>
      <c r="Q627" s="559">
        <f t="shared" si="42"/>
        <v>2017</v>
      </c>
    </row>
    <row r="628" spans="1:17" s="559" customFormat="1" ht="15">
      <c r="A628" s="813" t="s">
        <v>318</v>
      </c>
      <c r="B628" s="813" t="s">
        <v>1049</v>
      </c>
      <c r="C628" s="811" t="s">
        <v>330</v>
      </c>
      <c r="D628" s="813" t="s">
        <v>1050</v>
      </c>
      <c r="E628" s="814">
        <v>201701</v>
      </c>
      <c r="F628" s="815">
        <v>34.29</v>
      </c>
      <c r="G628" s="521">
        <f t="shared" si="39"/>
        <v>3.5</v>
      </c>
      <c r="H628" s="812">
        <v>1.3083000000000001E-3</v>
      </c>
      <c r="I628" s="523">
        <f t="shared" si="43"/>
        <v>0.16</v>
      </c>
      <c r="J628" s="523">
        <f t="shared" si="44"/>
        <v>0.54</v>
      </c>
      <c r="Q628" s="559">
        <f t="shared" si="42"/>
        <v>2017</v>
      </c>
    </row>
    <row r="629" spans="1:17" s="559" customFormat="1" ht="15">
      <c r="A629" s="813" t="s">
        <v>318</v>
      </c>
      <c r="B629" s="813" t="s">
        <v>1077</v>
      </c>
      <c r="C629" s="811" t="s">
        <v>330</v>
      </c>
      <c r="D629" s="813" t="s">
        <v>1078</v>
      </c>
      <c r="E629" s="814">
        <v>201701</v>
      </c>
      <c r="F629" s="815">
        <v>371.2</v>
      </c>
      <c r="G629" s="521">
        <f t="shared" si="39"/>
        <v>3.5</v>
      </c>
      <c r="H629" s="812">
        <v>1.3083000000000001E-3</v>
      </c>
      <c r="I629" s="523">
        <f t="shared" si="43"/>
        <v>1.7</v>
      </c>
      <c r="J629" s="523">
        <f t="shared" si="44"/>
        <v>5.83</v>
      </c>
      <c r="Q629" s="559">
        <f t="shared" si="42"/>
        <v>2017</v>
      </c>
    </row>
    <row r="630" spans="1:17" s="559" customFormat="1" ht="15">
      <c r="A630" s="813" t="s">
        <v>318</v>
      </c>
      <c r="B630" s="813" t="s">
        <v>1079</v>
      </c>
      <c r="C630" s="811" t="s">
        <v>330</v>
      </c>
      <c r="D630" s="813" t="s">
        <v>1080</v>
      </c>
      <c r="E630" s="814">
        <v>201701</v>
      </c>
      <c r="F630" s="815">
        <v>1698.84</v>
      </c>
      <c r="G630" s="521">
        <f t="shared" si="39"/>
        <v>3.5</v>
      </c>
      <c r="H630" s="812">
        <v>1.3083000000000001E-3</v>
      </c>
      <c r="I630" s="523">
        <f t="shared" si="43"/>
        <v>7.78</v>
      </c>
      <c r="J630" s="523">
        <f t="shared" si="44"/>
        <v>26.67</v>
      </c>
      <c r="Q630" s="559">
        <f t="shared" si="42"/>
        <v>2017</v>
      </c>
    </row>
    <row r="631" spans="1:17" s="559" customFormat="1" ht="15">
      <c r="A631" s="813" t="s">
        <v>318</v>
      </c>
      <c r="B631" s="813" t="s">
        <v>1118</v>
      </c>
      <c r="C631" s="811" t="s">
        <v>330</v>
      </c>
      <c r="D631" s="813" t="s">
        <v>1119</v>
      </c>
      <c r="E631" s="814">
        <v>201701</v>
      </c>
      <c r="F631" s="815">
        <v>3025.82</v>
      </c>
      <c r="G631" s="521">
        <f t="shared" si="39"/>
        <v>3.5</v>
      </c>
      <c r="H631" s="812">
        <v>1.3083000000000001E-3</v>
      </c>
      <c r="I631" s="523">
        <f t="shared" si="43"/>
        <v>13.86</v>
      </c>
      <c r="J631" s="523">
        <f t="shared" si="44"/>
        <v>47.5</v>
      </c>
      <c r="Q631" s="559">
        <f t="shared" si="42"/>
        <v>2017</v>
      </c>
    </row>
    <row r="632" spans="1:17" s="559" customFormat="1" ht="15">
      <c r="A632" s="813" t="s">
        <v>318</v>
      </c>
      <c r="B632" s="813" t="s">
        <v>1053</v>
      </c>
      <c r="C632" s="811" t="s">
        <v>331</v>
      </c>
      <c r="D632" s="813" t="s">
        <v>1054</v>
      </c>
      <c r="E632" s="814">
        <v>201701</v>
      </c>
      <c r="F632" s="815">
        <v>-0.08</v>
      </c>
      <c r="G632" s="521">
        <f t="shared" si="39"/>
        <v>3.5</v>
      </c>
      <c r="H632" s="812">
        <v>1.3083000000000001E-3</v>
      </c>
      <c r="I632" s="523">
        <f t="shared" si="43"/>
        <v>0</v>
      </c>
      <c r="J632" s="523">
        <f t="shared" si="44"/>
        <v>0</v>
      </c>
      <c r="Q632" s="559">
        <f t="shared" si="42"/>
        <v>2017</v>
      </c>
    </row>
    <row r="633" spans="1:17" s="559" customFormat="1" ht="15">
      <c r="A633" s="813" t="s">
        <v>318</v>
      </c>
      <c r="B633" s="813" t="s">
        <v>1142</v>
      </c>
      <c r="C633" s="811" t="s">
        <v>331</v>
      </c>
      <c r="D633" s="813" t="s">
        <v>1143</v>
      </c>
      <c r="E633" s="814">
        <v>201701</v>
      </c>
      <c r="F633" s="815">
        <v>3262.84</v>
      </c>
      <c r="G633" s="521">
        <f t="shared" si="39"/>
        <v>3.5</v>
      </c>
      <c r="H633" s="812">
        <v>1.3083000000000001E-3</v>
      </c>
      <c r="I633" s="523">
        <f t="shared" si="43"/>
        <v>14.94</v>
      </c>
      <c r="J633" s="523">
        <f t="shared" si="44"/>
        <v>51.23</v>
      </c>
      <c r="Q633" s="559">
        <f t="shared" si="42"/>
        <v>2017</v>
      </c>
    </row>
    <row r="634" spans="1:17" s="559" customFormat="1" ht="15">
      <c r="A634" s="813" t="s">
        <v>318</v>
      </c>
      <c r="B634" s="813" t="s">
        <v>1140</v>
      </c>
      <c r="C634" s="811" t="s">
        <v>330</v>
      </c>
      <c r="D634" s="813" t="s">
        <v>1141</v>
      </c>
      <c r="E634" s="814">
        <v>201701</v>
      </c>
      <c r="F634" s="815">
        <v>7854.51</v>
      </c>
      <c r="G634" s="521">
        <f t="shared" si="39"/>
        <v>3.5</v>
      </c>
      <c r="H634" s="812">
        <v>1.3083000000000001E-3</v>
      </c>
      <c r="I634" s="523">
        <f t="shared" si="43"/>
        <v>35.97</v>
      </c>
      <c r="J634" s="523">
        <f t="shared" si="44"/>
        <v>123.31</v>
      </c>
      <c r="Q634" s="559">
        <f t="shared" si="42"/>
        <v>2017</v>
      </c>
    </row>
    <row r="635" spans="1:17" s="559" customFormat="1" ht="15">
      <c r="A635" s="521"/>
      <c r="B635" s="424"/>
      <c r="C635" s="490"/>
      <c r="D635" s="745"/>
      <c r="E635" s="522"/>
      <c r="F635" s="746"/>
      <c r="G635" s="521"/>
      <c r="H635" s="524"/>
      <c r="I635" s="523">
        <f t="shared" ref="I635:I637" si="45">ROUND(F635*G635*H635,2)</f>
        <v>0</v>
      </c>
      <c r="J635" s="448">
        <f t="shared" ref="J635:J637" si="46">ROUND(F635*H635*12,2)</f>
        <v>0</v>
      </c>
      <c r="Q635" s="559">
        <f t="shared" si="42"/>
        <v>2016</v>
      </c>
    </row>
    <row r="636" spans="1:17">
      <c r="A636" s="492"/>
      <c r="B636" s="460"/>
      <c r="C636" s="495"/>
      <c r="D636" s="492" t="str">
        <f>+A466</f>
        <v>SERVICE TRANSFER WORK ORDERS</v>
      </c>
      <c r="E636" s="460">
        <v>201701</v>
      </c>
      <c r="F636" s="493">
        <v>0</v>
      </c>
      <c r="G636" s="492">
        <f t="shared" si="39"/>
        <v>3.5</v>
      </c>
      <c r="H636" s="494">
        <v>1.3083000000000001E-3</v>
      </c>
      <c r="I636" s="493">
        <f t="shared" si="45"/>
        <v>0</v>
      </c>
      <c r="J636" s="454">
        <f t="shared" si="46"/>
        <v>0</v>
      </c>
      <c r="Q636" s="559">
        <f t="shared" ref="Q636:Q637" si="47">IF(E636&lt;=$Q$1,$S$5,$S$6)</f>
        <v>2017</v>
      </c>
    </row>
    <row r="637" spans="1:17">
      <c r="A637" s="492"/>
      <c r="B637" s="460"/>
      <c r="C637" s="495"/>
      <c r="D637" s="492" t="str">
        <f>+D636</f>
        <v>SERVICE TRANSFER WORK ORDERS</v>
      </c>
      <c r="E637" s="460">
        <v>201702</v>
      </c>
      <c r="F637" s="493">
        <v>1250000</v>
      </c>
      <c r="G637" s="492">
        <f t="shared" si="39"/>
        <v>2.5</v>
      </c>
      <c r="H637" s="494">
        <v>1.3083000000000001E-3</v>
      </c>
      <c r="I637" s="493">
        <f t="shared" si="45"/>
        <v>4088.44</v>
      </c>
      <c r="J637" s="454">
        <f t="shared" si="46"/>
        <v>19624.5</v>
      </c>
      <c r="Q637" s="101">
        <f t="shared" si="47"/>
        <v>2017</v>
      </c>
    </row>
    <row r="638" spans="1:17">
      <c r="A638" s="113"/>
      <c r="B638" s="267"/>
      <c r="C638" s="267"/>
      <c r="D638" s="169"/>
      <c r="E638" s="164"/>
      <c r="F638" s="115"/>
      <c r="G638" s="166"/>
      <c r="H638" s="121"/>
      <c r="I638" s="334">
        <f t="shared" ref="I638" si="48">ROUND(F638*G638*H638,2)</f>
        <v>0</v>
      </c>
      <c r="J638" s="334">
        <f t="shared" ref="J638" si="49">ROUND(F638*H638*12,2)</f>
        <v>0</v>
      </c>
    </row>
    <row r="639" spans="1:17" ht="13.5" thickBot="1">
      <c r="B639" s="118"/>
      <c r="E639" s="73" t="s">
        <v>107</v>
      </c>
      <c r="F639" s="120">
        <f>SUM(F470:F637)</f>
        <v>2304437.9800000004</v>
      </c>
      <c r="I639" s="120">
        <f>SUM(I470:I637)</f>
        <v>10011.25</v>
      </c>
      <c r="J639" s="120">
        <f>SUM(J470:J637)</f>
        <v>36178.740000000005</v>
      </c>
    </row>
    <row r="640" spans="1:17" ht="13.5" thickTop="1">
      <c r="A640" s="103"/>
      <c r="B640" s="267"/>
      <c r="C640" s="267"/>
      <c r="D640" s="267"/>
      <c r="E640" s="164"/>
      <c r="F640" s="115"/>
      <c r="G640" s="166"/>
      <c r="H640" s="121"/>
      <c r="I640" s="103"/>
      <c r="J640" s="103"/>
    </row>
    <row r="641" spans="1:17">
      <c r="A641" s="88" t="s">
        <v>341</v>
      </c>
      <c r="B641" s="102"/>
      <c r="C641" s="102"/>
      <c r="F641" s="123"/>
    </row>
    <row r="642" spans="1:17">
      <c r="A642" s="102"/>
      <c r="B642" s="102"/>
      <c r="C642" s="102"/>
      <c r="F642" s="123"/>
    </row>
    <row r="643" spans="1:17">
      <c r="A643" s="81" t="s">
        <v>86</v>
      </c>
      <c r="B643" s="81" t="s">
        <v>87</v>
      </c>
      <c r="C643" s="81" t="s">
        <v>88</v>
      </c>
      <c r="D643" s="81"/>
      <c r="E643" s="146" t="s">
        <v>89</v>
      </c>
      <c r="F643" s="90" t="s">
        <v>90</v>
      </c>
      <c r="G643" s="147"/>
      <c r="H643" s="81" t="s">
        <v>91</v>
      </c>
      <c r="I643" s="81" t="s">
        <v>92</v>
      </c>
      <c r="J643" s="81" t="s">
        <v>106</v>
      </c>
    </row>
    <row r="644" spans="1:17">
      <c r="A644" s="86" t="s">
        <v>94</v>
      </c>
      <c r="B644" s="86" t="s">
        <v>95</v>
      </c>
      <c r="C644" s="86" t="s">
        <v>96</v>
      </c>
      <c r="D644" s="86" t="s">
        <v>97</v>
      </c>
      <c r="E644" s="148" t="s">
        <v>98</v>
      </c>
      <c r="F644" s="92" t="s">
        <v>99</v>
      </c>
      <c r="G644" s="149" t="s">
        <v>100</v>
      </c>
      <c r="H644" s="86" t="s">
        <v>101</v>
      </c>
      <c r="I644" s="86" t="s">
        <v>93</v>
      </c>
      <c r="J644" s="86" t="s">
        <v>102</v>
      </c>
    </row>
    <row r="645" spans="1:17">
      <c r="A645" s="332" t="s">
        <v>332</v>
      </c>
      <c r="B645" s="333" t="s">
        <v>333</v>
      </c>
      <c r="C645" s="423" t="s">
        <v>334</v>
      </c>
      <c r="D645" s="332" t="s">
        <v>335</v>
      </c>
      <c r="E645" s="333">
        <v>201611</v>
      </c>
      <c r="F645" s="334">
        <v>97763.71</v>
      </c>
      <c r="G645" s="521">
        <f t="shared" ref="G645:G648" si="50">VLOOKUP(E645,$N$6:$O$49,2,FALSE)</f>
        <v>5.5</v>
      </c>
      <c r="H645" s="336">
        <v>2.7583E-3</v>
      </c>
      <c r="I645" s="334">
        <f t="shared" ref="I645:I647" si="51">ROUND(F645*G645*H645,2)</f>
        <v>1483.14</v>
      </c>
      <c r="J645" s="334">
        <f t="shared" ref="J645:J647" si="52">ROUND(F645*H645*12,2)</f>
        <v>3235.94</v>
      </c>
      <c r="Q645" s="101">
        <f t="shared" ref="Q645:Q651" si="53">IF(E645&lt;=$Q$1,$S$5,$S$6)</f>
        <v>2017</v>
      </c>
    </row>
    <row r="646" spans="1:17" ht="15">
      <c r="A646" s="332" t="s">
        <v>332</v>
      </c>
      <c r="B646" s="333" t="s">
        <v>336</v>
      </c>
      <c r="C646" s="424" t="s">
        <v>334</v>
      </c>
      <c r="D646" s="332" t="s">
        <v>337</v>
      </c>
      <c r="E646" s="333">
        <v>201611</v>
      </c>
      <c r="F646" s="334">
        <v>4140.63</v>
      </c>
      <c r="G646" s="521">
        <f t="shared" si="50"/>
        <v>5.5</v>
      </c>
      <c r="H646" s="336">
        <v>2.7583E-3</v>
      </c>
      <c r="I646" s="523">
        <f t="shared" si="51"/>
        <v>62.82</v>
      </c>
      <c r="J646" s="523">
        <f t="shared" si="52"/>
        <v>137.05000000000001</v>
      </c>
      <c r="K646" s="559"/>
      <c r="L646" s="559"/>
      <c r="M646" s="559"/>
      <c r="N646" s="559"/>
      <c r="O646" s="559"/>
      <c r="P646" s="559"/>
      <c r="Q646" s="559">
        <f t="shared" ref="Q646:Q648" si="54">IF(E646&lt;=$Q$1,$S$5,$S$6)</f>
        <v>2017</v>
      </c>
    </row>
    <row r="647" spans="1:17" ht="15">
      <c r="A647" s="332" t="s">
        <v>332</v>
      </c>
      <c r="B647" s="333" t="s">
        <v>333</v>
      </c>
      <c r="C647" s="424" t="s">
        <v>334</v>
      </c>
      <c r="D647" s="332" t="s">
        <v>335</v>
      </c>
      <c r="E647" s="333">
        <v>201612</v>
      </c>
      <c r="F647" s="334">
        <v>132102.07</v>
      </c>
      <c r="G647" s="521">
        <f t="shared" si="50"/>
        <v>4.5</v>
      </c>
      <c r="H647" s="336">
        <v>2.7583E-3</v>
      </c>
      <c r="I647" s="523">
        <f t="shared" si="51"/>
        <v>1639.7</v>
      </c>
      <c r="J647" s="523">
        <f t="shared" si="52"/>
        <v>4372.53</v>
      </c>
      <c r="K647" s="559"/>
      <c r="L647" s="559"/>
      <c r="M647" s="559"/>
      <c r="N647" s="559"/>
      <c r="O647" s="559"/>
      <c r="P647" s="559"/>
      <c r="Q647" s="559">
        <f t="shared" si="54"/>
        <v>2017</v>
      </c>
    </row>
    <row r="648" spans="1:17" s="559" customFormat="1" ht="15">
      <c r="A648" s="818" t="s">
        <v>332</v>
      </c>
      <c r="B648" s="818" t="s">
        <v>333</v>
      </c>
      <c r="C648" s="816" t="s">
        <v>334</v>
      </c>
      <c r="D648" s="818" t="s">
        <v>335</v>
      </c>
      <c r="E648" s="819">
        <v>201701</v>
      </c>
      <c r="F648" s="820">
        <v>63467.78</v>
      </c>
      <c r="G648" s="521">
        <f t="shared" si="50"/>
        <v>3.5</v>
      </c>
      <c r="H648" s="817">
        <v>2.7583E-3</v>
      </c>
      <c r="I648" s="523">
        <f t="shared" ref="I648" si="55">ROUND(F648*G648*H648,2)</f>
        <v>612.72</v>
      </c>
      <c r="J648" s="523">
        <f t="shared" ref="J648" si="56">ROUND(F648*H648*12,2)</f>
        <v>2100.7600000000002</v>
      </c>
      <c r="Q648" s="559">
        <f t="shared" si="54"/>
        <v>2017</v>
      </c>
    </row>
    <row r="649" spans="1:17" s="559" customFormat="1">
      <c r="A649" s="481"/>
      <c r="B649" s="485"/>
      <c r="C649" s="587"/>
      <c r="D649" s="481"/>
      <c r="E649" s="485"/>
      <c r="F649" s="482"/>
      <c r="G649" s="521"/>
      <c r="H649" s="524"/>
      <c r="I649" s="523">
        <f t="shared" ref="I649:I651" si="57">ROUND(F649*G649*H649,2)</f>
        <v>0</v>
      </c>
      <c r="J649" s="523">
        <f t="shared" ref="J649:J651" si="58">ROUND(F649*H649*12,2)</f>
        <v>0</v>
      </c>
    </row>
    <row r="650" spans="1:17">
      <c r="A650" s="492"/>
      <c r="B650" s="495"/>
      <c r="C650" s="460"/>
      <c r="D650" s="479" t="str">
        <f>+A641</f>
        <v>ACCOUNT 37620 MAINS CAST IRON LEAK CLAMPS</v>
      </c>
      <c r="E650" s="460">
        <v>201701</v>
      </c>
      <c r="F650" s="493">
        <v>0</v>
      </c>
      <c r="G650" s="492">
        <f t="shared" ref="G650:G651" si="59">VLOOKUP(E650,$N$6:$O$49,2,FALSE)</f>
        <v>3.5</v>
      </c>
      <c r="H650" s="765">
        <v>2.7583E-3</v>
      </c>
      <c r="I650" s="493">
        <f t="shared" si="57"/>
        <v>0</v>
      </c>
      <c r="J650" s="493">
        <f t="shared" si="58"/>
        <v>0</v>
      </c>
      <c r="Q650" s="101">
        <f t="shared" si="53"/>
        <v>2017</v>
      </c>
    </row>
    <row r="651" spans="1:17">
      <c r="A651" s="492"/>
      <c r="B651" s="495"/>
      <c r="C651" s="460"/>
      <c r="D651" s="479" t="str">
        <f>+D650</f>
        <v>ACCOUNT 37620 MAINS CAST IRON LEAK CLAMPS</v>
      </c>
      <c r="E651" s="460">
        <v>201702</v>
      </c>
      <c r="F651" s="493">
        <v>150000</v>
      </c>
      <c r="G651" s="492">
        <f t="shared" si="59"/>
        <v>2.5</v>
      </c>
      <c r="H651" s="765">
        <v>2.7583E-3</v>
      </c>
      <c r="I651" s="493">
        <f t="shared" si="57"/>
        <v>1034.3599999999999</v>
      </c>
      <c r="J651" s="493">
        <f t="shared" si="58"/>
        <v>4964.9399999999996</v>
      </c>
      <c r="Q651" s="101">
        <f t="shared" si="53"/>
        <v>2017</v>
      </c>
    </row>
    <row r="652" spans="1:17">
      <c r="A652" s="267"/>
      <c r="B652" s="267"/>
      <c r="C652" s="267"/>
      <c r="D652" s="267"/>
      <c r="E652" s="164"/>
      <c r="F652" s="103"/>
      <c r="G652" s="166"/>
      <c r="H652" s="132"/>
      <c r="I652" s="103"/>
      <c r="J652" s="103"/>
    </row>
    <row r="653" spans="1:17" ht="13.5" thickBot="1">
      <c r="A653" s="102"/>
      <c r="B653" s="102"/>
      <c r="C653" s="102"/>
      <c r="E653" s="73" t="s">
        <v>107</v>
      </c>
      <c r="F653" s="130">
        <f>SUM(F645:F652)</f>
        <v>447474.19000000006</v>
      </c>
      <c r="I653" s="130">
        <f>SUM(I645:I652)</f>
        <v>4832.74</v>
      </c>
      <c r="J653" s="130">
        <f>SUM(J645:J652)</f>
        <v>14811.220000000001</v>
      </c>
    </row>
    <row r="654" spans="1:17" ht="13.5" thickTop="1">
      <c r="A654" s="102"/>
      <c r="B654" s="102"/>
      <c r="C654" s="102"/>
      <c r="E654" s="73"/>
      <c r="F654" s="103"/>
      <c r="I654" s="103"/>
      <c r="J654" s="103"/>
    </row>
    <row r="655" spans="1:17">
      <c r="A655" s="102"/>
      <c r="B655" s="102"/>
      <c r="C655" s="102"/>
      <c r="E655" s="73"/>
      <c r="F655" s="103"/>
      <c r="I655" s="103"/>
      <c r="J655" s="103"/>
    </row>
    <row r="656" spans="1:17">
      <c r="A656" s="88" t="s">
        <v>342</v>
      </c>
      <c r="B656" s="102"/>
      <c r="C656" s="102"/>
      <c r="F656" s="123"/>
    </row>
    <row r="657" spans="1:17">
      <c r="A657" s="102"/>
      <c r="B657" s="102"/>
      <c r="C657" s="102"/>
      <c r="F657" s="123"/>
    </row>
    <row r="658" spans="1:17">
      <c r="A658" s="81" t="s">
        <v>86</v>
      </c>
      <c r="B658" s="81" t="s">
        <v>87</v>
      </c>
      <c r="C658" s="81" t="s">
        <v>88</v>
      </c>
      <c r="D658" s="81"/>
      <c r="E658" s="146" t="s">
        <v>89</v>
      </c>
      <c r="F658" s="90" t="s">
        <v>90</v>
      </c>
      <c r="G658" s="147"/>
      <c r="H658" s="81" t="s">
        <v>91</v>
      </c>
      <c r="I658" s="81" t="s">
        <v>92</v>
      </c>
      <c r="J658" s="81" t="s">
        <v>106</v>
      </c>
    </row>
    <row r="659" spans="1:17">
      <c r="A659" s="86" t="s">
        <v>94</v>
      </c>
      <c r="B659" s="86" t="s">
        <v>95</v>
      </c>
      <c r="C659" s="86" t="s">
        <v>96</v>
      </c>
      <c r="D659" s="86" t="s">
        <v>97</v>
      </c>
      <c r="E659" s="148" t="s">
        <v>98</v>
      </c>
      <c r="F659" s="92" t="s">
        <v>99</v>
      </c>
      <c r="G659" s="149" t="s">
        <v>100</v>
      </c>
      <c r="H659" s="86" t="s">
        <v>101</v>
      </c>
      <c r="I659" s="86" t="s">
        <v>93</v>
      </c>
      <c r="J659" s="86" t="s">
        <v>102</v>
      </c>
    </row>
    <row r="660" spans="1:17" ht="15">
      <c r="A660" s="823" t="s">
        <v>322</v>
      </c>
      <c r="B660" s="823" t="s">
        <v>338</v>
      </c>
      <c r="C660" s="821" t="s">
        <v>339</v>
      </c>
      <c r="D660" s="823" t="s">
        <v>340</v>
      </c>
      <c r="E660" s="824">
        <v>201701</v>
      </c>
      <c r="F660" s="825">
        <v>2212.1999999999998</v>
      </c>
      <c r="G660" s="823">
        <f t="shared" ref="G660" si="60">VLOOKUP(E660,$N$6:$O$49,2,FALSE)</f>
        <v>3.5</v>
      </c>
      <c r="H660" s="822">
        <v>1.1999999999999999E-3</v>
      </c>
      <c r="I660" s="334">
        <f t="shared" ref="I660" si="61">ROUND(F660*G660*H660,2)</f>
        <v>9.2899999999999991</v>
      </c>
      <c r="J660" s="334">
        <f t="shared" ref="J660" si="62">ROUND(F660*H660*12,2)</f>
        <v>31.86</v>
      </c>
      <c r="Q660" s="101">
        <f t="shared" ref="Q660:Q663" si="63">IF(E660&lt;=$Q$1,$S$5,$S$6)</f>
        <v>2017</v>
      </c>
    </row>
    <row r="661" spans="1:17" s="559" customFormat="1" ht="13.5" customHeight="1">
      <c r="A661" s="521"/>
      <c r="B661" s="424"/>
      <c r="C661" s="490"/>
      <c r="D661" s="745"/>
      <c r="E661" s="522"/>
      <c r="F661" s="746"/>
      <c r="G661" s="521"/>
      <c r="H661" s="524"/>
      <c r="I661" s="523"/>
      <c r="J661" s="523"/>
    </row>
    <row r="662" spans="1:17" s="559" customFormat="1" ht="13.5" customHeight="1">
      <c r="A662" s="492"/>
      <c r="B662" s="495"/>
      <c r="C662" s="460"/>
      <c r="D662" s="479"/>
      <c r="E662" s="460"/>
      <c r="F662" s="493"/>
      <c r="G662" s="492"/>
      <c r="H662" s="494"/>
      <c r="I662" s="493">
        <f t="shared" ref="I662:I663" si="64">ROUND(F662*G662*H662,2)</f>
        <v>0</v>
      </c>
      <c r="J662" s="493">
        <f t="shared" ref="J662:J663" si="65">ROUND(F662*H662*12,2)</f>
        <v>0</v>
      </c>
      <c r="Q662" s="559">
        <f t="shared" si="63"/>
        <v>2016</v>
      </c>
    </row>
    <row r="663" spans="1:17">
      <c r="A663" s="405"/>
      <c r="B663" s="411"/>
      <c r="C663" s="406"/>
      <c r="D663" s="410"/>
      <c r="E663" s="406"/>
      <c r="F663" s="407"/>
      <c r="G663" s="405"/>
      <c r="H663" s="408"/>
      <c r="I663" s="407">
        <f t="shared" si="64"/>
        <v>0</v>
      </c>
      <c r="J663" s="407">
        <f t="shared" si="65"/>
        <v>0</v>
      </c>
      <c r="Q663" s="559">
        <f t="shared" si="63"/>
        <v>2016</v>
      </c>
    </row>
    <row r="664" spans="1:17">
      <c r="A664" s="267"/>
      <c r="B664" s="267"/>
      <c r="C664" s="267"/>
      <c r="D664" s="267"/>
      <c r="E664" s="164"/>
      <c r="F664" s="129"/>
      <c r="G664" s="166"/>
      <c r="H664" s="132"/>
      <c r="I664" s="129"/>
      <c r="J664" s="129"/>
    </row>
    <row r="665" spans="1:17" ht="13.5" thickBot="1">
      <c r="A665" s="102"/>
      <c r="B665" s="102"/>
      <c r="C665" s="102"/>
      <c r="E665" s="73" t="s">
        <v>107</v>
      </c>
      <c r="F665" s="130">
        <f>SUM(F660:F664)</f>
        <v>2212.1999999999998</v>
      </c>
      <c r="I665" s="130">
        <f>SUM(I660:I664)</f>
        <v>9.2899999999999991</v>
      </c>
      <c r="J665" s="130">
        <f>SUM(J660:J664)</f>
        <v>31.86</v>
      </c>
    </row>
    <row r="666" spans="1:17" ht="13.5" thickTop="1">
      <c r="A666" s="102"/>
      <c r="B666" s="102"/>
      <c r="C666" s="102"/>
      <c r="E666" s="73"/>
      <c r="F666" s="103"/>
      <c r="I666" s="103"/>
      <c r="J666" s="103"/>
    </row>
    <row r="667" spans="1:17">
      <c r="A667" s="102"/>
      <c r="B667" s="102"/>
      <c r="C667" s="102"/>
      <c r="E667" s="73"/>
      <c r="F667" s="103"/>
      <c r="I667" s="103"/>
      <c r="J667" s="103"/>
    </row>
    <row r="668" spans="1:17" ht="13.5" thickBot="1">
      <c r="A668" s="95" t="s">
        <v>108</v>
      </c>
      <c r="B668" s="102"/>
      <c r="C668" s="102"/>
      <c r="E668" s="73"/>
      <c r="F668" s="130">
        <f>+F653+F639+F464+F665</f>
        <v>7441367.3500000006</v>
      </c>
      <c r="I668" s="130">
        <f>+I653+I639+I464+I665</f>
        <v>35385.870000000003</v>
      </c>
      <c r="J668" s="130">
        <f>+J653+J639+J464+J665</f>
        <v>124612.19000000003</v>
      </c>
    </row>
    <row r="669" spans="1:17" ht="13.5" thickTop="1">
      <c r="A669" s="102"/>
      <c r="B669" s="102"/>
      <c r="C669" s="102"/>
      <c r="E669" s="73"/>
      <c r="F669" s="103"/>
      <c r="I669" s="103"/>
      <c r="J669" s="103"/>
    </row>
    <row r="670" spans="1:17">
      <c r="A670" s="95" t="s">
        <v>109</v>
      </c>
      <c r="B670" s="102"/>
      <c r="C670" s="102"/>
      <c r="E670" s="73"/>
      <c r="F670" s="103"/>
      <c r="I670" s="103"/>
      <c r="J670" s="103"/>
    </row>
    <row r="671" spans="1:17">
      <c r="A671" s="102"/>
      <c r="B671" s="102"/>
      <c r="C671" s="102"/>
      <c r="E671" s="73"/>
      <c r="F671" s="103"/>
      <c r="I671" s="103"/>
      <c r="J671" s="103"/>
    </row>
    <row r="672" spans="1:17">
      <c r="A672" s="88" t="s">
        <v>408</v>
      </c>
      <c r="B672" s="102"/>
      <c r="C672" s="102"/>
      <c r="F672" s="123"/>
      <c r="I672" s="123"/>
      <c r="J672" s="123"/>
    </row>
    <row r="673" spans="1:17">
      <c r="A673" s="102"/>
      <c r="B673" s="102"/>
      <c r="C673" s="102"/>
      <c r="F673" s="123"/>
      <c r="I673" s="123"/>
      <c r="J673" s="123"/>
    </row>
    <row r="674" spans="1:17">
      <c r="A674" s="81" t="s">
        <v>86</v>
      </c>
      <c r="B674" s="81" t="s">
        <v>87</v>
      </c>
      <c r="C674" s="81" t="s">
        <v>88</v>
      </c>
      <c r="D674" s="81"/>
      <c r="E674" s="146" t="s">
        <v>89</v>
      </c>
      <c r="F674" s="90" t="s">
        <v>90</v>
      </c>
      <c r="G674" s="147"/>
      <c r="H674" s="81" t="s">
        <v>91</v>
      </c>
      <c r="I674" s="90" t="s">
        <v>92</v>
      </c>
      <c r="J674" s="90" t="s">
        <v>93</v>
      </c>
    </row>
    <row r="675" spans="1:17">
      <c r="A675" s="86" t="s">
        <v>94</v>
      </c>
      <c r="B675" s="96" t="s">
        <v>95</v>
      </c>
      <c r="C675" s="96" t="s">
        <v>96</v>
      </c>
      <c r="D675" s="96" t="s">
        <v>97</v>
      </c>
      <c r="E675" s="150" t="s">
        <v>98</v>
      </c>
      <c r="F675" s="98" t="s">
        <v>99</v>
      </c>
      <c r="G675" s="151" t="s">
        <v>100</v>
      </c>
      <c r="H675" s="96" t="s">
        <v>101</v>
      </c>
      <c r="I675" s="98" t="s">
        <v>93</v>
      </c>
      <c r="J675" s="98" t="s">
        <v>102</v>
      </c>
    </row>
    <row r="676" spans="1:17">
      <c r="A676" s="332" t="s">
        <v>405</v>
      </c>
      <c r="B676" s="333" t="s">
        <v>548</v>
      </c>
      <c r="C676" s="333"/>
      <c r="D676" s="332" t="s">
        <v>549</v>
      </c>
      <c r="E676" s="333">
        <v>201611</v>
      </c>
      <c r="F676" s="334">
        <v>-732.84</v>
      </c>
      <c r="G676" s="521">
        <f t="shared" ref="G676:G693" si="66">VLOOKUP(E676,$N$6:$O$49,2,FALSE)</f>
        <v>5.5</v>
      </c>
      <c r="H676" s="332">
        <v>4.3582999999999998E-3</v>
      </c>
      <c r="I676" s="334">
        <f t="shared" ref="I676:I686" si="67">ROUND(F676*G676*H676,2)</f>
        <v>-17.57</v>
      </c>
      <c r="J676" s="334">
        <f t="shared" ref="J676:J686" si="68">ROUND(F676*H676*12,2)</f>
        <v>-38.33</v>
      </c>
      <c r="Q676" s="101">
        <f t="shared" ref="Q676" si="69">IF(E676&lt;=$Q$1,$S$5,$S$6)</f>
        <v>2017</v>
      </c>
    </row>
    <row r="677" spans="1:17">
      <c r="A677" s="399" t="s">
        <v>405</v>
      </c>
      <c r="B677" s="333" t="s">
        <v>397</v>
      </c>
      <c r="C677" s="333"/>
      <c r="D677" s="399" t="s">
        <v>398</v>
      </c>
      <c r="E677" s="333">
        <v>201611</v>
      </c>
      <c r="F677" s="431">
        <v>36833.01</v>
      </c>
      <c r="G677" s="521">
        <f t="shared" si="66"/>
        <v>5.5</v>
      </c>
      <c r="H677" s="332">
        <v>4.3582999999999998E-3</v>
      </c>
      <c r="I677" s="523">
        <f t="shared" si="67"/>
        <v>882.91</v>
      </c>
      <c r="J677" s="523">
        <f t="shared" si="68"/>
        <v>1926.35</v>
      </c>
      <c r="K677" s="559"/>
      <c r="L677" s="559"/>
      <c r="M677" s="559"/>
      <c r="N677" s="559"/>
      <c r="O677" s="559"/>
      <c r="P677" s="559"/>
      <c r="Q677" s="559">
        <f t="shared" ref="Q677:Q693" si="70">IF(E677&lt;=$Q$1,$S$5,$S$6)</f>
        <v>2017</v>
      </c>
    </row>
    <row r="678" spans="1:17">
      <c r="A678" s="332" t="s">
        <v>405</v>
      </c>
      <c r="B678" s="333" t="s">
        <v>401</v>
      </c>
      <c r="C678" s="333"/>
      <c r="D678" s="399" t="s">
        <v>402</v>
      </c>
      <c r="E678" s="333">
        <v>201611</v>
      </c>
      <c r="F678" s="431">
        <v>3003.12</v>
      </c>
      <c r="G678" s="521">
        <f t="shared" si="66"/>
        <v>5.5</v>
      </c>
      <c r="H678" s="332">
        <v>4.3582999999999998E-3</v>
      </c>
      <c r="I678" s="523">
        <f t="shared" si="67"/>
        <v>71.989999999999995</v>
      </c>
      <c r="J678" s="523">
        <f t="shared" si="68"/>
        <v>157.06</v>
      </c>
      <c r="K678" s="559"/>
      <c r="L678" s="559"/>
      <c r="M678" s="559"/>
      <c r="N678" s="559"/>
      <c r="O678" s="559"/>
      <c r="P678" s="559"/>
      <c r="Q678" s="559">
        <f t="shared" si="70"/>
        <v>2017</v>
      </c>
    </row>
    <row r="679" spans="1:17">
      <c r="A679" s="332" t="s">
        <v>405</v>
      </c>
      <c r="B679" s="333" t="s">
        <v>403</v>
      </c>
      <c r="C679" s="333"/>
      <c r="D679" s="332" t="s">
        <v>404</v>
      </c>
      <c r="E679" s="333">
        <v>201611</v>
      </c>
      <c r="F679" s="334">
        <v>9061.08</v>
      </c>
      <c r="G679" s="521">
        <f t="shared" si="66"/>
        <v>5.5</v>
      </c>
      <c r="H679" s="332">
        <v>4.3582999999999998E-3</v>
      </c>
      <c r="I679" s="523">
        <f t="shared" si="67"/>
        <v>217.2</v>
      </c>
      <c r="J679" s="523">
        <f t="shared" si="68"/>
        <v>473.89</v>
      </c>
      <c r="K679" s="559"/>
      <c r="L679" s="559"/>
      <c r="M679" s="559"/>
      <c r="N679" s="559"/>
      <c r="O679" s="559"/>
      <c r="P679" s="559"/>
      <c r="Q679" s="559">
        <f t="shared" si="70"/>
        <v>2017</v>
      </c>
    </row>
    <row r="680" spans="1:17">
      <c r="A680" s="332" t="s">
        <v>405</v>
      </c>
      <c r="B680" s="333" t="s">
        <v>951</v>
      </c>
      <c r="C680" s="333"/>
      <c r="D680" s="332" t="s">
        <v>952</v>
      </c>
      <c r="E680" s="333">
        <v>201611</v>
      </c>
      <c r="F680" s="334">
        <v>-68.84</v>
      </c>
      <c r="G680" s="521">
        <f t="shared" si="66"/>
        <v>5.5</v>
      </c>
      <c r="H680" s="332">
        <v>4.3582999999999998E-3</v>
      </c>
      <c r="I680" s="523">
        <f t="shared" si="67"/>
        <v>-1.65</v>
      </c>
      <c r="J680" s="523">
        <f t="shared" si="68"/>
        <v>-3.6</v>
      </c>
      <c r="K680" s="559"/>
      <c r="L680" s="559"/>
      <c r="M680" s="559"/>
      <c r="N680" s="559"/>
      <c r="O680" s="559"/>
      <c r="P680" s="559"/>
      <c r="Q680" s="559">
        <f t="shared" si="70"/>
        <v>2017</v>
      </c>
    </row>
    <row r="681" spans="1:17">
      <c r="A681" s="332" t="s">
        <v>405</v>
      </c>
      <c r="B681" s="333" t="s">
        <v>1106</v>
      </c>
      <c r="C681" s="333"/>
      <c r="D681" s="332" t="s">
        <v>1107</v>
      </c>
      <c r="E681" s="333">
        <v>201612</v>
      </c>
      <c r="F681" s="334">
        <v>11004.77</v>
      </c>
      <c r="G681" s="521">
        <f t="shared" si="66"/>
        <v>4.5</v>
      </c>
      <c r="H681" s="332">
        <v>4.3582999999999998E-3</v>
      </c>
      <c r="I681" s="523">
        <f t="shared" si="67"/>
        <v>215.83</v>
      </c>
      <c r="J681" s="523">
        <f t="shared" si="68"/>
        <v>575.54999999999995</v>
      </c>
      <c r="K681" s="559"/>
      <c r="L681" s="559"/>
      <c r="M681" s="559"/>
      <c r="N681" s="559"/>
      <c r="O681" s="559"/>
      <c r="P681" s="559"/>
      <c r="Q681" s="559">
        <f t="shared" si="70"/>
        <v>2017</v>
      </c>
    </row>
    <row r="682" spans="1:17">
      <c r="A682" s="332" t="s">
        <v>405</v>
      </c>
      <c r="B682" s="333" t="s">
        <v>401</v>
      </c>
      <c r="C682" s="333"/>
      <c r="D682" s="332" t="s">
        <v>402</v>
      </c>
      <c r="E682" s="333">
        <v>201612</v>
      </c>
      <c r="F682" s="334">
        <v>1109.4000000000001</v>
      </c>
      <c r="G682" s="521">
        <f t="shared" si="66"/>
        <v>4.5</v>
      </c>
      <c r="H682" s="332">
        <v>4.3582999999999998E-3</v>
      </c>
      <c r="I682" s="523">
        <f t="shared" si="67"/>
        <v>21.76</v>
      </c>
      <c r="J682" s="523">
        <f t="shared" si="68"/>
        <v>58.02</v>
      </c>
      <c r="K682" s="559"/>
      <c r="L682" s="559"/>
      <c r="M682" s="559"/>
      <c r="N682" s="559"/>
      <c r="O682" s="559"/>
      <c r="P682" s="559"/>
      <c r="Q682" s="559">
        <f t="shared" si="70"/>
        <v>2017</v>
      </c>
    </row>
    <row r="683" spans="1:17">
      <c r="A683" s="332" t="s">
        <v>405</v>
      </c>
      <c r="B683" s="333" t="s">
        <v>403</v>
      </c>
      <c r="C683" s="333"/>
      <c r="D683" s="399" t="s">
        <v>404</v>
      </c>
      <c r="E683" s="333">
        <v>201612</v>
      </c>
      <c r="F683" s="431">
        <v>7594.28</v>
      </c>
      <c r="G683" s="521">
        <f t="shared" si="66"/>
        <v>4.5</v>
      </c>
      <c r="H683" s="332">
        <v>4.3582999999999998E-3</v>
      </c>
      <c r="I683" s="523">
        <f t="shared" si="67"/>
        <v>148.94</v>
      </c>
      <c r="J683" s="523">
        <f t="shared" si="68"/>
        <v>397.18</v>
      </c>
      <c r="K683" s="559"/>
      <c r="L683" s="559"/>
      <c r="M683" s="559"/>
      <c r="N683" s="559"/>
      <c r="O683" s="559"/>
      <c r="P683" s="559"/>
      <c r="Q683" s="559">
        <f t="shared" si="70"/>
        <v>2017</v>
      </c>
    </row>
    <row r="684" spans="1:17">
      <c r="A684" s="332" t="s">
        <v>405</v>
      </c>
      <c r="B684" s="333" t="s">
        <v>548</v>
      </c>
      <c r="C684" s="333"/>
      <c r="D684" s="332" t="s">
        <v>549</v>
      </c>
      <c r="E684" s="333">
        <v>201612</v>
      </c>
      <c r="F684" s="334">
        <v>601.65</v>
      </c>
      <c r="G684" s="521">
        <f t="shared" si="66"/>
        <v>4.5</v>
      </c>
      <c r="H684" s="332">
        <v>4.3582999999999998E-3</v>
      </c>
      <c r="I684" s="523">
        <f t="shared" si="67"/>
        <v>11.8</v>
      </c>
      <c r="J684" s="523">
        <f t="shared" si="68"/>
        <v>31.47</v>
      </c>
      <c r="K684" s="559"/>
      <c r="L684" s="559"/>
      <c r="M684" s="559"/>
      <c r="N684" s="559"/>
      <c r="O684" s="559"/>
      <c r="P684" s="559"/>
      <c r="Q684" s="559">
        <f t="shared" si="70"/>
        <v>2017</v>
      </c>
    </row>
    <row r="685" spans="1:17">
      <c r="A685" s="332" t="s">
        <v>405</v>
      </c>
      <c r="B685" s="333" t="s">
        <v>397</v>
      </c>
      <c r="C685" s="333"/>
      <c r="D685" s="332" t="s">
        <v>398</v>
      </c>
      <c r="E685" s="333">
        <v>201612</v>
      </c>
      <c r="F685" s="334">
        <v>11043.42</v>
      </c>
      <c r="G685" s="521">
        <f t="shared" si="66"/>
        <v>4.5</v>
      </c>
      <c r="H685" s="332">
        <v>4.3582999999999998E-3</v>
      </c>
      <c r="I685" s="523">
        <f t="shared" si="67"/>
        <v>216.59</v>
      </c>
      <c r="J685" s="523">
        <f t="shared" si="68"/>
        <v>577.57000000000005</v>
      </c>
      <c r="K685" s="559"/>
      <c r="L685" s="559"/>
      <c r="M685" s="559"/>
      <c r="N685" s="559"/>
      <c r="O685" s="559"/>
      <c r="P685" s="559"/>
      <c r="Q685" s="559">
        <f t="shared" si="70"/>
        <v>2017</v>
      </c>
    </row>
    <row r="686" spans="1:17">
      <c r="A686" s="332" t="s">
        <v>405</v>
      </c>
      <c r="B686" s="333" t="s">
        <v>951</v>
      </c>
      <c r="C686" s="333"/>
      <c r="D686" s="399" t="s">
        <v>952</v>
      </c>
      <c r="E686" s="333">
        <v>201612</v>
      </c>
      <c r="F686" s="431">
        <v>-28.29</v>
      </c>
      <c r="G686" s="521">
        <f t="shared" si="66"/>
        <v>4.5</v>
      </c>
      <c r="H686" s="332">
        <v>4.3582999999999998E-3</v>
      </c>
      <c r="I686" s="523">
        <f t="shared" si="67"/>
        <v>-0.55000000000000004</v>
      </c>
      <c r="J686" s="523">
        <f t="shared" si="68"/>
        <v>-1.48</v>
      </c>
      <c r="K686" s="559"/>
      <c r="L686" s="559"/>
      <c r="M686" s="559"/>
      <c r="N686" s="559"/>
      <c r="O686" s="559"/>
      <c r="P686" s="559"/>
      <c r="Q686" s="559">
        <f t="shared" si="70"/>
        <v>2017</v>
      </c>
    </row>
    <row r="687" spans="1:17" s="559" customFormat="1">
      <c r="A687" s="833" t="s">
        <v>405</v>
      </c>
      <c r="B687" s="833" t="s">
        <v>397</v>
      </c>
      <c r="C687" s="833"/>
      <c r="D687" s="833" t="s">
        <v>398</v>
      </c>
      <c r="E687" s="832">
        <v>201701</v>
      </c>
      <c r="F687" s="834">
        <v>13663.72</v>
      </c>
      <c r="G687" s="833">
        <f t="shared" si="66"/>
        <v>3.5</v>
      </c>
      <c r="H687" s="833">
        <v>4.3582999999999998E-3</v>
      </c>
      <c r="I687" s="834">
        <f t="shared" ref="I687:I693" si="71">ROUND(F687*G687*H687,2)</f>
        <v>208.43</v>
      </c>
      <c r="J687" s="834">
        <f t="shared" ref="J687:J693" si="72">ROUND(F687*H687*12,2)</f>
        <v>714.61</v>
      </c>
      <c r="Q687" s="559">
        <f t="shared" si="70"/>
        <v>2017</v>
      </c>
    </row>
    <row r="688" spans="1:17" s="559" customFormat="1">
      <c r="A688" s="833" t="s">
        <v>405</v>
      </c>
      <c r="B688" s="833" t="s">
        <v>406</v>
      </c>
      <c r="C688" s="833"/>
      <c r="D688" s="833" t="s">
        <v>407</v>
      </c>
      <c r="E688" s="832">
        <v>201701</v>
      </c>
      <c r="F688" s="834">
        <v>213.7</v>
      </c>
      <c r="G688" s="833">
        <f t="shared" si="66"/>
        <v>3.5</v>
      </c>
      <c r="H688" s="833">
        <v>4.3582999999999998E-3</v>
      </c>
      <c r="I688" s="834">
        <f t="shared" si="71"/>
        <v>3.26</v>
      </c>
      <c r="J688" s="834">
        <f t="shared" si="72"/>
        <v>11.18</v>
      </c>
      <c r="Q688" s="559">
        <f t="shared" si="70"/>
        <v>2017</v>
      </c>
    </row>
    <row r="689" spans="1:17" s="559" customFormat="1">
      <c r="A689" s="833" t="s">
        <v>405</v>
      </c>
      <c r="B689" s="833" t="s">
        <v>548</v>
      </c>
      <c r="C689" s="833"/>
      <c r="D689" s="833" t="s">
        <v>549</v>
      </c>
      <c r="E689" s="832">
        <v>201701</v>
      </c>
      <c r="F689" s="834">
        <v>-153.30000000000001</v>
      </c>
      <c r="G689" s="833">
        <f t="shared" si="66"/>
        <v>3.5</v>
      </c>
      <c r="H689" s="833">
        <v>4.3582999999999998E-3</v>
      </c>
      <c r="I689" s="834">
        <f t="shared" si="71"/>
        <v>-2.34</v>
      </c>
      <c r="J689" s="834">
        <f t="shared" si="72"/>
        <v>-8.02</v>
      </c>
      <c r="Q689" s="559">
        <f t="shared" si="70"/>
        <v>2017</v>
      </c>
    </row>
    <row r="690" spans="1:17" s="559" customFormat="1">
      <c r="A690" s="833" t="s">
        <v>405</v>
      </c>
      <c r="B690" s="833" t="s">
        <v>401</v>
      </c>
      <c r="C690" s="833"/>
      <c r="D690" s="833" t="s">
        <v>402</v>
      </c>
      <c r="E690" s="832">
        <v>201701</v>
      </c>
      <c r="F690" s="834">
        <v>2073.13</v>
      </c>
      <c r="G690" s="833">
        <f t="shared" si="66"/>
        <v>3.5</v>
      </c>
      <c r="H690" s="833">
        <v>4.3582999999999998E-3</v>
      </c>
      <c r="I690" s="834">
        <f t="shared" si="71"/>
        <v>31.62</v>
      </c>
      <c r="J690" s="834">
        <f t="shared" si="72"/>
        <v>108.42</v>
      </c>
      <c r="Q690" s="559">
        <f t="shared" si="70"/>
        <v>2017</v>
      </c>
    </row>
    <row r="691" spans="1:17" s="559" customFormat="1">
      <c r="A691" s="833" t="s">
        <v>405</v>
      </c>
      <c r="B691" s="833" t="s">
        <v>403</v>
      </c>
      <c r="C691" s="833"/>
      <c r="D691" s="833" t="s">
        <v>404</v>
      </c>
      <c r="E691" s="832">
        <v>201701</v>
      </c>
      <c r="F691" s="834">
        <v>7143.2</v>
      </c>
      <c r="G691" s="833">
        <f t="shared" si="66"/>
        <v>3.5</v>
      </c>
      <c r="H691" s="833">
        <v>4.3582999999999998E-3</v>
      </c>
      <c r="I691" s="834">
        <f t="shared" si="71"/>
        <v>108.96</v>
      </c>
      <c r="J691" s="834">
        <f t="shared" si="72"/>
        <v>373.59</v>
      </c>
      <c r="Q691" s="559">
        <f t="shared" si="70"/>
        <v>2017</v>
      </c>
    </row>
    <row r="692" spans="1:17" s="559" customFormat="1">
      <c r="A692" s="833" t="s">
        <v>405</v>
      </c>
      <c r="B692" s="833" t="s">
        <v>951</v>
      </c>
      <c r="C692" s="833"/>
      <c r="D692" s="833" t="s">
        <v>952</v>
      </c>
      <c r="E692" s="832">
        <v>201701</v>
      </c>
      <c r="F692" s="834">
        <v>-36133.08</v>
      </c>
      <c r="G692" s="833">
        <f t="shared" si="66"/>
        <v>3.5</v>
      </c>
      <c r="H692" s="833">
        <v>4.3582999999999998E-3</v>
      </c>
      <c r="I692" s="834">
        <f t="shared" si="71"/>
        <v>-551.17999999999995</v>
      </c>
      <c r="J692" s="834">
        <f t="shared" si="72"/>
        <v>-1889.75</v>
      </c>
      <c r="Q692" s="559">
        <f t="shared" si="70"/>
        <v>2017</v>
      </c>
    </row>
    <row r="693" spans="1:17" s="559" customFormat="1">
      <c r="A693" s="833" t="s">
        <v>405</v>
      </c>
      <c r="B693" s="833" t="s">
        <v>1106</v>
      </c>
      <c r="C693" s="833"/>
      <c r="D693" s="833" t="s">
        <v>1107</v>
      </c>
      <c r="E693" s="832">
        <v>201701</v>
      </c>
      <c r="F693" s="834">
        <v>386.69</v>
      </c>
      <c r="G693" s="833">
        <f t="shared" si="66"/>
        <v>3.5</v>
      </c>
      <c r="H693" s="833">
        <v>4.3582999999999998E-3</v>
      </c>
      <c r="I693" s="834">
        <f t="shared" si="71"/>
        <v>5.9</v>
      </c>
      <c r="J693" s="834">
        <f t="shared" si="72"/>
        <v>20.22</v>
      </c>
      <c r="Q693" s="559">
        <f t="shared" si="70"/>
        <v>2017</v>
      </c>
    </row>
    <row r="694" spans="1:17" s="559" customFormat="1">
      <c r="A694" s="521"/>
      <c r="B694" s="522"/>
      <c r="C694" s="522"/>
      <c r="D694" s="521"/>
      <c r="E694" s="522"/>
      <c r="F694" s="523"/>
      <c r="G694" s="521"/>
      <c r="H694" s="521"/>
      <c r="I694" s="523">
        <f t="shared" ref="I694:I696" si="73">ROUND(F694*G694*H694,2)</f>
        <v>0</v>
      </c>
      <c r="J694" s="523">
        <f t="shared" ref="J694:J696" si="74">ROUND(F694*H694*12,2)</f>
        <v>0</v>
      </c>
      <c r="Q694" s="559">
        <f t="shared" ref="Q694:Q696" si="75">IF(E694&lt;=$Q$1,$S$5,$S$6)</f>
        <v>2016</v>
      </c>
    </row>
    <row r="695" spans="1:17">
      <c r="A695" s="426"/>
      <c r="B695" s="243"/>
      <c r="C695" s="435"/>
      <c r="D695" s="242"/>
      <c r="E695" s="435"/>
      <c r="F695" s="427"/>
      <c r="G695" s="426"/>
      <c r="H695" s="426"/>
      <c r="I695" s="427">
        <f t="shared" si="73"/>
        <v>0</v>
      </c>
      <c r="J695" s="427">
        <f t="shared" si="74"/>
        <v>0</v>
      </c>
      <c r="Q695" s="559">
        <f t="shared" si="75"/>
        <v>2016</v>
      </c>
    </row>
    <row r="696" spans="1:17">
      <c r="A696" s="426"/>
      <c r="B696" s="243"/>
      <c r="C696" s="435"/>
      <c r="D696" s="242"/>
      <c r="E696" s="435"/>
      <c r="F696" s="427"/>
      <c r="G696" s="426"/>
      <c r="H696" s="426"/>
      <c r="I696" s="427">
        <f t="shared" si="73"/>
        <v>0</v>
      </c>
      <c r="J696" s="427">
        <f t="shared" si="74"/>
        <v>0</v>
      </c>
      <c r="Q696" s="559">
        <f t="shared" si="75"/>
        <v>2016</v>
      </c>
    </row>
    <row r="697" spans="1:17">
      <c r="A697" s="267"/>
      <c r="B697" s="267"/>
      <c r="C697" s="267"/>
      <c r="D697" s="267"/>
      <c r="E697" s="164"/>
      <c r="F697" s="129"/>
      <c r="G697" s="166"/>
      <c r="H697" s="121"/>
      <c r="I697" s="129"/>
      <c r="J697" s="129"/>
    </row>
    <row r="698" spans="1:17" ht="13.5" thickBot="1">
      <c r="A698" s="102"/>
      <c r="B698" s="102"/>
      <c r="C698" s="102"/>
      <c r="E698" s="73" t="s">
        <v>107</v>
      </c>
      <c r="F698" s="130">
        <f>SUM(F676:F697)</f>
        <v>66614.820000000022</v>
      </c>
      <c r="I698" s="130">
        <f>SUM(I676:I697)</f>
        <v>1571.9</v>
      </c>
      <c r="J698" s="130">
        <f>SUM(J676:J697)</f>
        <v>3483.93</v>
      </c>
    </row>
    <row r="699" spans="1:17" ht="13.5" thickTop="1">
      <c r="A699" s="102"/>
      <c r="B699" s="102"/>
      <c r="C699" s="102"/>
      <c r="F699" s="123"/>
      <c r="I699" s="123"/>
      <c r="J699" s="123"/>
    </row>
    <row r="700" spans="1:17">
      <c r="A700" s="88" t="s">
        <v>345</v>
      </c>
      <c r="B700" s="102"/>
      <c r="C700" s="102"/>
      <c r="F700" s="123"/>
    </row>
    <row r="701" spans="1:17">
      <c r="A701" s="102"/>
      <c r="B701" s="102"/>
      <c r="C701" s="102"/>
      <c r="F701" s="123"/>
    </row>
    <row r="702" spans="1:17">
      <c r="A702" s="81" t="s">
        <v>86</v>
      </c>
      <c r="B702" s="81" t="s">
        <v>87</v>
      </c>
      <c r="C702" s="81" t="s">
        <v>88</v>
      </c>
      <c r="D702" s="81"/>
      <c r="E702" s="146" t="s">
        <v>89</v>
      </c>
      <c r="F702" s="90" t="s">
        <v>90</v>
      </c>
      <c r="G702" s="147"/>
      <c r="H702" s="81" t="s">
        <v>91</v>
      </c>
      <c r="I702" s="81" t="s">
        <v>92</v>
      </c>
      <c r="J702" s="81" t="s">
        <v>106</v>
      </c>
    </row>
    <row r="703" spans="1:17">
      <c r="A703" s="86" t="s">
        <v>94</v>
      </c>
      <c r="B703" s="86" t="s">
        <v>95</v>
      </c>
      <c r="C703" s="86" t="s">
        <v>96</v>
      </c>
      <c r="D703" s="86" t="s">
        <v>97</v>
      </c>
      <c r="E703" s="148" t="s">
        <v>98</v>
      </c>
      <c r="F703" s="92" t="s">
        <v>99</v>
      </c>
      <c r="G703" s="149" t="s">
        <v>100</v>
      </c>
      <c r="H703" s="86" t="s">
        <v>101</v>
      </c>
      <c r="I703" s="86" t="s">
        <v>93</v>
      </c>
      <c r="J703" s="86" t="s">
        <v>102</v>
      </c>
    </row>
    <row r="704" spans="1:17">
      <c r="A704" s="332" t="s">
        <v>346</v>
      </c>
      <c r="B704" s="333" t="s">
        <v>880</v>
      </c>
      <c r="C704" s="333"/>
      <c r="D704" s="332" t="s">
        <v>881</v>
      </c>
      <c r="E704" s="333">
        <v>201611</v>
      </c>
      <c r="F704" s="334">
        <v>-101474.25</v>
      </c>
      <c r="G704" s="521">
        <f t="shared" ref="G704:G766" si="76">VLOOKUP(E704,$N$6:$O$49,2,FALSE)</f>
        <v>5.5</v>
      </c>
      <c r="H704" s="381">
        <v>3.1250000000000002E-3</v>
      </c>
      <c r="I704" s="334">
        <f t="shared" ref="I704:I766" si="77">ROUND(F704*G704*H704,2)</f>
        <v>-1744.09</v>
      </c>
      <c r="J704" s="334">
        <f t="shared" ref="J704:J766" si="78">ROUND(F704*H704*12,2)</f>
        <v>-3805.28</v>
      </c>
      <c r="Q704" s="101">
        <f t="shared" ref="Q704:Q722" si="79">IF(E704&lt;=$Q$1,$S$5,$S$6)</f>
        <v>2017</v>
      </c>
    </row>
    <row r="705" spans="1:17">
      <c r="A705" s="332" t="s">
        <v>346</v>
      </c>
      <c r="B705" s="333" t="s">
        <v>979</v>
      </c>
      <c r="C705" s="333"/>
      <c r="D705" s="332" t="s">
        <v>980</v>
      </c>
      <c r="E705" s="333">
        <v>201611</v>
      </c>
      <c r="F705" s="334">
        <v>27.42</v>
      </c>
      <c r="G705" s="521">
        <f t="shared" si="76"/>
        <v>5.5</v>
      </c>
      <c r="H705" s="381">
        <v>3.1250000000000002E-3</v>
      </c>
      <c r="I705" s="334">
        <f t="shared" si="77"/>
        <v>0.47</v>
      </c>
      <c r="J705" s="334">
        <f t="shared" si="78"/>
        <v>1.03</v>
      </c>
      <c r="Q705" s="101">
        <f t="shared" si="79"/>
        <v>2017</v>
      </c>
    </row>
    <row r="706" spans="1:17">
      <c r="A706" s="332" t="s">
        <v>346</v>
      </c>
      <c r="B706" s="333" t="s">
        <v>973</v>
      </c>
      <c r="C706" s="333"/>
      <c r="D706" s="332" t="s">
        <v>974</v>
      </c>
      <c r="E706" s="333">
        <v>201611</v>
      </c>
      <c r="F706" s="334">
        <v>-1.88</v>
      </c>
      <c r="G706" s="521">
        <f t="shared" si="76"/>
        <v>5.5</v>
      </c>
      <c r="H706" s="381">
        <v>3.1250000000000002E-3</v>
      </c>
      <c r="I706" s="334">
        <f t="shared" si="77"/>
        <v>-0.03</v>
      </c>
      <c r="J706" s="334">
        <f t="shared" si="78"/>
        <v>-7.0000000000000007E-2</v>
      </c>
      <c r="Q706" s="101">
        <f t="shared" si="79"/>
        <v>2017</v>
      </c>
    </row>
    <row r="707" spans="1:17">
      <c r="A707" s="399" t="s">
        <v>346</v>
      </c>
      <c r="B707" s="333" t="s">
        <v>1057</v>
      </c>
      <c r="C707" s="333"/>
      <c r="D707" s="399" t="s">
        <v>1058</v>
      </c>
      <c r="E707" s="333">
        <v>201611</v>
      </c>
      <c r="F707" s="431">
        <v>540.54</v>
      </c>
      <c r="G707" s="521">
        <f t="shared" si="76"/>
        <v>5.5</v>
      </c>
      <c r="H707" s="381">
        <v>3.1250000000000002E-3</v>
      </c>
      <c r="I707" s="334">
        <f t="shared" si="77"/>
        <v>9.2899999999999991</v>
      </c>
      <c r="J707" s="334">
        <f t="shared" si="78"/>
        <v>20.27</v>
      </c>
      <c r="Q707" s="101">
        <f t="shared" si="79"/>
        <v>2017</v>
      </c>
    </row>
    <row r="708" spans="1:17">
      <c r="A708" s="332" t="s">
        <v>346</v>
      </c>
      <c r="B708" s="333" t="s">
        <v>1077</v>
      </c>
      <c r="C708" s="333"/>
      <c r="D708" s="399" t="s">
        <v>1078</v>
      </c>
      <c r="E708" s="333">
        <v>201611</v>
      </c>
      <c r="F708" s="431">
        <v>-364.26</v>
      </c>
      <c r="G708" s="521">
        <f t="shared" si="76"/>
        <v>5.5</v>
      </c>
      <c r="H708" s="381">
        <v>3.1250000000000002E-3</v>
      </c>
      <c r="I708" s="334">
        <f t="shared" si="77"/>
        <v>-6.26</v>
      </c>
      <c r="J708" s="334">
        <f t="shared" si="78"/>
        <v>-13.66</v>
      </c>
      <c r="Q708" s="101">
        <f t="shared" si="79"/>
        <v>2017</v>
      </c>
    </row>
    <row r="709" spans="1:17">
      <c r="A709" s="332" t="s">
        <v>346</v>
      </c>
      <c r="B709" s="333" t="s">
        <v>389</v>
      </c>
      <c r="C709" s="333"/>
      <c r="D709" s="332" t="s">
        <v>390</v>
      </c>
      <c r="E709" s="333">
        <v>201611</v>
      </c>
      <c r="F709" s="334">
        <v>1.78</v>
      </c>
      <c r="G709" s="521">
        <f t="shared" si="76"/>
        <v>5.5</v>
      </c>
      <c r="H709" s="381">
        <v>3.1250000000000002E-3</v>
      </c>
      <c r="I709" s="334">
        <f t="shared" si="77"/>
        <v>0.03</v>
      </c>
      <c r="J709" s="334">
        <f t="shared" si="78"/>
        <v>7.0000000000000007E-2</v>
      </c>
      <c r="Q709" s="101">
        <f t="shared" si="79"/>
        <v>2017</v>
      </c>
    </row>
    <row r="710" spans="1:17">
      <c r="A710" s="332" t="s">
        <v>346</v>
      </c>
      <c r="B710" s="333" t="s">
        <v>367</v>
      </c>
      <c r="C710" s="333"/>
      <c r="D710" s="332" t="s">
        <v>368</v>
      </c>
      <c r="E710" s="333">
        <v>201611</v>
      </c>
      <c r="F710" s="334">
        <v>10836.2</v>
      </c>
      <c r="G710" s="521">
        <f t="shared" si="76"/>
        <v>5.5</v>
      </c>
      <c r="H710" s="381">
        <v>3.1250000000000002E-3</v>
      </c>
      <c r="I710" s="334">
        <f t="shared" si="77"/>
        <v>186.25</v>
      </c>
      <c r="J710" s="334">
        <f t="shared" si="78"/>
        <v>406.36</v>
      </c>
      <c r="Q710" s="101">
        <f t="shared" si="79"/>
        <v>2017</v>
      </c>
    </row>
    <row r="711" spans="1:17">
      <c r="A711" s="399" t="s">
        <v>346</v>
      </c>
      <c r="B711" s="333" t="s">
        <v>357</v>
      </c>
      <c r="C711" s="333"/>
      <c r="D711" s="399" t="s">
        <v>358</v>
      </c>
      <c r="E711" s="333">
        <v>201611</v>
      </c>
      <c r="F711" s="431">
        <v>3519.42</v>
      </c>
      <c r="G711" s="521">
        <f t="shared" si="76"/>
        <v>5.5</v>
      </c>
      <c r="H711" s="381">
        <v>3.1250000000000002E-3</v>
      </c>
      <c r="I711" s="334">
        <f t="shared" si="77"/>
        <v>60.49</v>
      </c>
      <c r="J711" s="334">
        <f t="shared" si="78"/>
        <v>131.97999999999999</v>
      </c>
      <c r="Q711" s="101">
        <f t="shared" si="79"/>
        <v>2017</v>
      </c>
    </row>
    <row r="712" spans="1:17">
      <c r="A712" s="332" t="s">
        <v>346</v>
      </c>
      <c r="B712" s="333" t="s">
        <v>731</v>
      </c>
      <c r="C712" s="333"/>
      <c r="D712" s="399" t="s">
        <v>732</v>
      </c>
      <c r="E712" s="333">
        <v>201611</v>
      </c>
      <c r="F712" s="431">
        <v>-25.09</v>
      </c>
      <c r="G712" s="521">
        <f t="shared" si="76"/>
        <v>5.5</v>
      </c>
      <c r="H712" s="381">
        <v>3.1250000000000002E-3</v>
      </c>
      <c r="I712" s="334">
        <f t="shared" si="77"/>
        <v>-0.43</v>
      </c>
      <c r="J712" s="334">
        <f t="shared" si="78"/>
        <v>-0.94</v>
      </c>
      <c r="Q712" s="101">
        <f t="shared" si="79"/>
        <v>2017</v>
      </c>
    </row>
    <row r="713" spans="1:17">
      <c r="A713" s="332" t="s">
        <v>346</v>
      </c>
      <c r="B713" s="333" t="s">
        <v>1043</v>
      </c>
      <c r="C713" s="333"/>
      <c r="D713" s="332" t="s">
        <v>1044</v>
      </c>
      <c r="E713" s="333">
        <v>201611</v>
      </c>
      <c r="F713" s="334">
        <v>37.950000000000003</v>
      </c>
      <c r="G713" s="521">
        <f t="shared" si="76"/>
        <v>5.5</v>
      </c>
      <c r="H713" s="381">
        <v>3.1250000000000002E-3</v>
      </c>
      <c r="I713" s="334">
        <f t="shared" si="77"/>
        <v>0.65</v>
      </c>
      <c r="J713" s="334">
        <f t="shared" si="78"/>
        <v>1.42</v>
      </c>
      <c r="Q713" s="101">
        <f t="shared" si="79"/>
        <v>2017</v>
      </c>
    </row>
    <row r="714" spans="1:17">
      <c r="A714" s="332" t="s">
        <v>346</v>
      </c>
      <c r="B714" s="333" t="s">
        <v>967</v>
      </c>
      <c r="C714" s="333"/>
      <c r="D714" s="332" t="s">
        <v>968</v>
      </c>
      <c r="E714" s="333">
        <v>201611</v>
      </c>
      <c r="F714" s="334">
        <v>52.48</v>
      </c>
      <c r="G714" s="521">
        <f t="shared" si="76"/>
        <v>5.5</v>
      </c>
      <c r="H714" s="381">
        <v>3.1250000000000002E-3</v>
      </c>
      <c r="I714" s="334">
        <f t="shared" si="77"/>
        <v>0.9</v>
      </c>
      <c r="J714" s="334">
        <f t="shared" si="78"/>
        <v>1.97</v>
      </c>
      <c r="Q714" s="101">
        <f t="shared" si="79"/>
        <v>2017</v>
      </c>
    </row>
    <row r="715" spans="1:17">
      <c r="A715" s="399" t="s">
        <v>346</v>
      </c>
      <c r="B715" s="333" t="s">
        <v>1006</v>
      </c>
      <c r="C715" s="333"/>
      <c r="D715" s="399" t="s">
        <v>1007</v>
      </c>
      <c r="E715" s="333">
        <v>201611</v>
      </c>
      <c r="F715" s="431">
        <v>-11.64</v>
      </c>
      <c r="G715" s="521">
        <f t="shared" si="76"/>
        <v>5.5</v>
      </c>
      <c r="H715" s="381">
        <v>3.1250000000000002E-3</v>
      </c>
      <c r="I715" s="334">
        <f t="shared" si="77"/>
        <v>-0.2</v>
      </c>
      <c r="J715" s="334">
        <f t="shared" si="78"/>
        <v>-0.44</v>
      </c>
      <c r="Q715" s="101">
        <f t="shared" si="79"/>
        <v>2017</v>
      </c>
    </row>
    <row r="716" spans="1:17">
      <c r="A716" s="332" t="s">
        <v>346</v>
      </c>
      <c r="B716" s="333" t="s">
        <v>862</v>
      </c>
      <c r="C716" s="333"/>
      <c r="D716" s="332" t="s">
        <v>863</v>
      </c>
      <c r="E716" s="333">
        <v>201611</v>
      </c>
      <c r="F716" s="334">
        <v>-12.13</v>
      </c>
      <c r="G716" s="521">
        <f t="shared" si="76"/>
        <v>5.5</v>
      </c>
      <c r="H716" s="381">
        <v>3.1250000000000002E-3</v>
      </c>
      <c r="I716" s="334">
        <f t="shared" si="77"/>
        <v>-0.21</v>
      </c>
      <c r="J716" s="334">
        <f t="shared" si="78"/>
        <v>-0.45</v>
      </c>
      <c r="Q716" s="101">
        <f t="shared" si="79"/>
        <v>2017</v>
      </c>
    </row>
    <row r="717" spans="1:17">
      <c r="A717" s="332" t="s">
        <v>346</v>
      </c>
      <c r="B717" s="333" t="s">
        <v>379</v>
      </c>
      <c r="C717" s="333"/>
      <c r="D717" s="332" t="s">
        <v>380</v>
      </c>
      <c r="E717" s="333">
        <v>201611</v>
      </c>
      <c r="F717" s="334">
        <v>-1435.18</v>
      </c>
      <c r="G717" s="521">
        <f t="shared" si="76"/>
        <v>5.5</v>
      </c>
      <c r="H717" s="381">
        <v>3.1250000000000002E-3</v>
      </c>
      <c r="I717" s="334">
        <f t="shared" si="77"/>
        <v>-24.67</v>
      </c>
      <c r="J717" s="334">
        <f t="shared" si="78"/>
        <v>-53.82</v>
      </c>
      <c r="Q717" s="101">
        <f t="shared" si="79"/>
        <v>2017</v>
      </c>
    </row>
    <row r="718" spans="1:17">
      <c r="A718" s="332" t="s">
        <v>346</v>
      </c>
      <c r="B718" s="333" t="s">
        <v>375</v>
      </c>
      <c r="C718" s="333"/>
      <c r="D718" s="399" t="s">
        <v>376</v>
      </c>
      <c r="E718" s="333">
        <v>201611</v>
      </c>
      <c r="F718" s="431">
        <v>-9439</v>
      </c>
      <c r="G718" s="521">
        <f t="shared" si="76"/>
        <v>5.5</v>
      </c>
      <c r="H718" s="381">
        <v>3.1250000000000002E-3</v>
      </c>
      <c r="I718" s="334">
        <f t="shared" si="77"/>
        <v>-162.22999999999999</v>
      </c>
      <c r="J718" s="334">
        <f t="shared" si="78"/>
        <v>-353.96</v>
      </c>
      <c r="Q718" s="101">
        <f t="shared" si="79"/>
        <v>2017</v>
      </c>
    </row>
    <row r="719" spans="1:17">
      <c r="A719" s="332" t="s">
        <v>346</v>
      </c>
      <c r="B719" s="333" t="s">
        <v>359</v>
      </c>
      <c r="C719" s="333"/>
      <c r="D719" s="332" t="s">
        <v>360</v>
      </c>
      <c r="E719" s="333">
        <v>201611</v>
      </c>
      <c r="F719" s="334">
        <v>6.3</v>
      </c>
      <c r="G719" s="521">
        <f t="shared" si="76"/>
        <v>5.5</v>
      </c>
      <c r="H719" s="381">
        <v>3.1250000000000002E-3</v>
      </c>
      <c r="I719" s="334">
        <f t="shared" si="77"/>
        <v>0.11</v>
      </c>
      <c r="J719" s="334">
        <f t="shared" si="78"/>
        <v>0.24</v>
      </c>
      <c r="Q719" s="101">
        <f t="shared" si="79"/>
        <v>2017</v>
      </c>
    </row>
    <row r="720" spans="1:17">
      <c r="A720" s="332" t="s">
        <v>346</v>
      </c>
      <c r="B720" s="333" t="s">
        <v>347</v>
      </c>
      <c r="C720" s="333"/>
      <c r="D720" s="332" t="s">
        <v>348</v>
      </c>
      <c r="E720" s="333">
        <v>201611</v>
      </c>
      <c r="F720" s="334">
        <v>678141.71</v>
      </c>
      <c r="G720" s="521">
        <f t="shared" si="76"/>
        <v>5.5</v>
      </c>
      <c r="H720" s="381">
        <v>3.1250000000000002E-3</v>
      </c>
      <c r="I720" s="334">
        <f t="shared" si="77"/>
        <v>11655.56</v>
      </c>
      <c r="J720" s="334">
        <f t="shared" si="78"/>
        <v>25430.31</v>
      </c>
      <c r="Q720" s="101">
        <f t="shared" si="79"/>
        <v>2017</v>
      </c>
    </row>
    <row r="721" spans="1:17">
      <c r="A721" s="399" t="s">
        <v>346</v>
      </c>
      <c r="B721" s="333" t="s">
        <v>856</v>
      </c>
      <c r="C721" s="333"/>
      <c r="D721" s="399" t="s">
        <v>857</v>
      </c>
      <c r="E721" s="333">
        <v>201611</v>
      </c>
      <c r="F721" s="431">
        <v>-0.3</v>
      </c>
      <c r="G721" s="521">
        <f t="shared" si="76"/>
        <v>5.5</v>
      </c>
      <c r="H721" s="381">
        <v>3.1250000000000002E-3</v>
      </c>
      <c r="I721" s="334">
        <f t="shared" si="77"/>
        <v>-0.01</v>
      </c>
      <c r="J721" s="334">
        <f t="shared" si="78"/>
        <v>-0.01</v>
      </c>
      <c r="Q721" s="101">
        <f t="shared" si="79"/>
        <v>2017</v>
      </c>
    </row>
    <row r="722" spans="1:17">
      <c r="A722" s="332" t="s">
        <v>346</v>
      </c>
      <c r="B722" s="333" t="s">
        <v>872</v>
      </c>
      <c r="C722" s="333"/>
      <c r="D722" s="399" t="s">
        <v>873</v>
      </c>
      <c r="E722" s="333">
        <v>201611</v>
      </c>
      <c r="F722" s="431">
        <v>-97591.05</v>
      </c>
      <c r="G722" s="521">
        <f t="shared" si="76"/>
        <v>5.5</v>
      </c>
      <c r="H722" s="381">
        <v>3.1250000000000002E-3</v>
      </c>
      <c r="I722" s="334">
        <f t="shared" si="77"/>
        <v>-1677.35</v>
      </c>
      <c r="J722" s="334">
        <f t="shared" si="78"/>
        <v>-3659.66</v>
      </c>
      <c r="Q722" s="101">
        <f t="shared" si="79"/>
        <v>2017</v>
      </c>
    </row>
    <row r="723" spans="1:17">
      <c r="A723" s="332" t="s">
        <v>346</v>
      </c>
      <c r="B723" s="333" t="s">
        <v>1045</v>
      </c>
      <c r="C723" s="333"/>
      <c r="D723" s="332" t="s">
        <v>1046</v>
      </c>
      <c r="E723" s="333">
        <v>201611</v>
      </c>
      <c r="F723" s="334">
        <v>20.28</v>
      </c>
      <c r="G723" s="521">
        <f t="shared" si="76"/>
        <v>5.5</v>
      </c>
      <c r="H723" s="381">
        <v>3.1250000000000002E-3</v>
      </c>
      <c r="I723" s="334">
        <f t="shared" si="77"/>
        <v>0.35</v>
      </c>
      <c r="J723" s="334">
        <f t="shared" si="78"/>
        <v>0.76</v>
      </c>
      <c r="Q723" s="101">
        <f t="shared" ref="Q723:Q785" si="80">IF(E723&lt;=$Q$1,$S$5,$S$6)</f>
        <v>2017</v>
      </c>
    </row>
    <row r="724" spans="1:17">
      <c r="A724" s="332" t="s">
        <v>346</v>
      </c>
      <c r="B724" s="333" t="s">
        <v>963</v>
      </c>
      <c r="C724" s="333"/>
      <c r="D724" s="332" t="s">
        <v>964</v>
      </c>
      <c r="E724" s="333">
        <v>201611</v>
      </c>
      <c r="F724" s="334">
        <v>40.82</v>
      </c>
      <c r="G724" s="521">
        <f t="shared" si="76"/>
        <v>5.5</v>
      </c>
      <c r="H724" s="381">
        <v>3.1250000000000002E-3</v>
      </c>
      <c r="I724" s="334">
        <f t="shared" si="77"/>
        <v>0.7</v>
      </c>
      <c r="J724" s="334">
        <f t="shared" si="78"/>
        <v>1.53</v>
      </c>
      <c r="Q724" s="101">
        <f t="shared" si="80"/>
        <v>2017</v>
      </c>
    </row>
    <row r="725" spans="1:17">
      <c r="A725" s="399" t="s">
        <v>346</v>
      </c>
      <c r="B725" s="333" t="s">
        <v>991</v>
      </c>
      <c r="C725" s="333"/>
      <c r="D725" s="399" t="s">
        <v>992</v>
      </c>
      <c r="E725" s="333">
        <v>201611</v>
      </c>
      <c r="F725" s="431">
        <v>-23955.51</v>
      </c>
      <c r="G725" s="521">
        <f t="shared" si="76"/>
        <v>5.5</v>
      </c>
      <c r="H725" s="381">
        <v>3.1250000000000002E-3</v>
      </c>
      <c r="I725" s="334">
        <f t="shared" si="77"/>
        <v>-411.74</v>
      </c>
      <c r="J725" s="334">
        <f t="shared" si="78"/>
        <v>-898.33</v>
      </c>
      <c r="Q725" s="101">
        <f t="shared" si="80"/>
        <v>2017</v>
      </c>
    </row>
    <row r="726" spans="1:17">
      <c r="A726" s="332" t="s">
        <v>346</v>
      </c>
      <c r="B726" s="333" t="s">
        <v>975</v>
      </c>
      <c r="C726" s="333"/>
      <c r="D726" s="399" t="s">
        <v>976</v>
      </c>
      <c r="E726" s="333">
        <v>201611</v>
      </c>
      <c r="F726" s="431">
        <v>60.01</v>
      </c>
      <c r="G726" s="521">
        <f t="shared" si="76"/>
        <v>5.5</v>
      </c>
      <c r="H726" s="381">
        <v>3.1250000000000002E-3</v>
      </c>
      <c r="I726" s="334">
        <f t="shared" si="77"/>
        <v>1.03</v>
      </c>
      <c r="J726" s="334">
        <f t="shared" si="78"/>
        <v>2.25</v>
      </c>
      <c r="Q726" s="101">
        <f t="shared" si="80"/>
        <v>2017</v>
      </c>
    </row>
    <row r="727" spans="1:17">
      <c r="A727" s="332" t="s">
        <v>346</v>
      </c>
      <c r="B727" s="333" t="s">
        <v>1079</v>
      </c>
      <c r="C727" s="333"/>
      <c r="D727" s="332" t="s">
        <v>1080</v>
      </c>
      <c r="E727" s="333">
        <v>201611</v>
      </c>
      <c r="F727" s="334">
        <v>-2084.75</v>
      </c>
      <c r="G727" s="521">
        <f t="shared" si="76"/>
        <v>5.5</v>
      </c>
      <c r="H727" s="381">
        <v>3.1250000000000002E-3</v>
      </c>
      <c r="I727" s="334">
        <f t="shared" si="77"/>
        <v>-35.83</v>
      </c>
      <c r="J727" s="334">
        <f t="shared" si="78"/>
        <v>-78.180000000000007</v>
      </c>
      <c r="Q727" s="101">
        <f t="shared" si="80"/>
        <v>2017</v>
      </c>
    </row>
    <row r="728" spans="1:17">
      <c r="A728" s="332" t="s">
        <v>346</v>
      </c>
      <c r="B728" s="333" t="s">
        <v>842</v>
      </c>
      <c r="C728" s="333"/>
      <c r="D728" s="332" t="s">
        <v>843</v>
      </c>
      <c r="E728" s="333">
        <v>201611</v>
      </c>
      <c r="F728" s="334">
        <v>0.04</v>
      </c>
      <c r="G728" s="521">
        <f t="shared" si="76"/>
        <v>5.5</v>
      </c>
      <c r="H728" s="381">
        <v>3.1250000000000002E-3</v>
      </c>
      <c r="I728" s="334">
        <f t="shared" si="77"/>
        <v>0</v>
      </c>
      <c r="J728" s="334">
        <f t="shared" si="78"/>
        <v>0</v>
      </c>
      <c r="Q728" s="101">
        <f t="shared" si="80"/>
        <v>2017</v>
      </c>
    </row>
    <row r="729" spans="1:17">
      <c r="A729" s="399" t="s">
        <v>346</v>
      </c>
      <c r="B729" s="333" t="s">
        <v>872</v>
      </c>
      <c r="C729" s="333"/>
      <c r="D729" s="399" t="s">
        <v>873</v>
      </c>
      <c r="E729" s="333">
        <v>201611</v>
      </c>
      <c r="F729" s="431">
        <v>96070.98</v>
      </c>
      <c r="G729" s="521">
        <f t="shared" si="76"/>
        <v>5.5</v>
      </c>
      <c r="H729" s="381">
        <v>3.1250000000000002E-3</v>
      </c>
      <c r="I729" s="334">
        <f t="shared" si="77"/>
        <v>1651.22</v>
      </c>
      <c r="J729" s="334">
        <f t="shared" si="78"/>
        <v>3602.66</v>
      </c>
      <c r="Q729" s="101">
        <f t="shared" si="80"/>
        <v>2017</v>
      </c>
    </row>
    <row r="730" spans="1:17">
      <c r="A730" s="332" t="s">
        <v>346</v>
      </c>
      <c r="B730" s="333" t="s">
        <v>991</v>
      </c>
      <c r="C730" s="333"/>
      <c r="D730" s="399" t="s">
        <v>992</v>
      </c>
      <c r="E730" s="333">
        <v>201611</v>
      </c>
      <c r="F730" s="431">
        <v>24271.49</v>
      </c>
      <c r="G730" s="521">
        <f t="shared" si="76"/>
        <v>5.5</v>
      </c>
      <c r="H730" s="381">
        <v>3.1250000000000002E-3</v>
      </c>
      <c r="I730" s="334">
        <f t="shared" si="77"/>
        <v>417.17</v>
      </c>
      <c r="J730" s="334">
        <f t="shared" si="78"/>
        <v>910.18</v>
      </c>
      <c r="Q730" s="101">
        <f t="shared" si="80"/>
        <v>2017</v>
      </c>
    </row>
    <row r="731" spans="1:17">
      <c r="A731" s="332" t="s">
        <v>346</v>
      </c>
      <c r="B731" s="333" t="s">
        <v>395</v>
      </c>
      <c r="C731" s="333"/>
      <c r="D731" s="332" t="s">
        <v>396</v>
      </c>
      <c r="E731" s="333">
        <v>201611</v>
      </c>
      <c r="F731" s="334">
        <v>-43565.09</v>
      </c>
      <c r="G731" s="521">
        <f t="shared" si="76"/>
        <v>5.5</v>
      </c>
      <c r="H731" s="381">
        <v>3.1250000000000002E-3</v>
      </c>
      <c r="I731" s="334">
        <f t="shared" si="77"/>
        <v>-748.77</v>
      </c>
      <c r="J731" s="334">
        <f t="shared" si="78"/>
        <v>-1633.69</v>
      </c>
      <c r="Q731" s="101">
        <f t="shared" si="80"/>
        <v>2017</v>
      </c>
    </row>
    <row r="732" spans="1:17">
      <c r="A732" s="332" t="s">
        <v>346</v>
      </c>
      <c r="B732" s="333" t="s">
        <v>629</v>
      </c>
      <c r="C732" s="333"/>
      <c r="D732" s="332" t="s">
        <v>630</v>
      </c>
      <c r="E732" s="333">
        <v>201611</v>
      </c>
      <c r="F732" s="334">
        <v>1.65</v>
      </c>
      <c r="G732" s="521">
        <f t="shared" si="76"/>
        <v>5.5</v>
      </c>
      <c r="H732" s="381">
        <v>3.1250000000000002E-3</v>
      </c>
      <c r="I732" s="334">
        <f t="shared" si="77"/>
        <v>0.03</v>
      </c>
      <c r="J732" s="334">
        <f t="shared" si="78"/>
        <v>0.06</v>
      </c>
      <c r="Q732" s="101">
        <f t="shared" si="80"/>
        <v>2017</v>
      </c>
    </row>
    <row r="733" spans="1:17">
      <c r="A733" s="332" t="s">
        <v>346</v>
      </c>
      <c r="B733" s="333" t="s">
        <v>876</v>
      </c>
      <c r="C733" s="333"/>
      <c r="D733" s="399" t="s">
        <v>877</v>
      </c>
      <c r="E733" s="333">
        <v>201611</v>
      </c>
      <c r="F733" s="431">
        <v>-66.17</v>
      </c>
      <c r="G733" s="521">
        <f t="shared" si="76"/>
        <v>5.5</v>
      </c>
      <c r="H733" s="381">
        <v>3.1250000000000002E-3</v>
      </c>
      <c r="I733" s="334">
        <f t="shared" si="77"/>
        <v>-1.1399999999999999</v>
      </c>
      <c r="J733" s="334">
        <f t="shared" si="78"/>
        <v>-2.48</v>
      </c>
      <c r="Q733" s="101">
        <f t="shared" si="80"/>
        <v>2017</v>
      </c>
    </row>
    <row r="734" spans="1:17">
      <c r="A734" s="332" t="s">
        <v>346</v>
      </c>
      <c r="B734" s="333" t="s">
        <v>800</v>
      </c>
      <c r="C734" s="333"/>
      <c r="D734" s="332" t="s">
        <v>830</v>
      </c>
      <c r="E734" s="333">
        <v>201611</v>
      </c>
      <c r="F734" s="334">
        <v>25.05</v>
      </c>
      <c r="G734" s="521">
        <f t="shared" si="76"/>
        <v>5.5</v>
      </c>
      <c r="H734" s="381">
        <v>3.1250000000000002E-3</v>
      </c>
      <c r="I734" s="334">
        <f t="shared" si="77"/>
        <v>0.43</v>
      </c>
      <c r="J734" s="334">
        <f t="shared" si="78"/>
        <v>0.94</v>
      </c>
      <c r="Q734" s="101">
        <f t="shared" si="80"/>
        <v>2017</v>
      </c>
    </row>
    <row r="735" spans="1:17">
      <c r="A735" s="332" t="s">
        <v>346</v>
      </c>
      <c r="B735" s="333" t="s">
        <v>852</v>
      </c>
      <c r="C735" s="333"/>
      <c r="D735" s="332" t="s">
        <v>853</v>
      </c>
      <c r="E735" s="333">
        <v>201611</v>
      </c>
      <c r="F735" s="334">
        <v>-58524.02</v>
      </c>
      <c r="G735" s="521">
        <f t="shared" si="76"/>
        <v>5.5</v>
      </c>
      <c r="H735" s="381">
        <v>3.1250000000000002E-3</v>
      </c>
      <c r="I735" s="334">
        <f t="shared" si="77"/>
        <v>-1005.88</v>
      </c>
      <c r="J735" s="334">
        <f t="shared" si="78"/>
        <v>-2194.65</v>
      </c>
      <c r="Q735" s="101">
        <f t="shared" si="80"/>
        <v>2017</v>
      </c>
    </row>
    <row r="736" spans="1:17">
      <c r="A736" s="399" t="s">
        <v>346</v>
      </c>
      <c r="B736" s="333" t="s">
        <v>385</v>
      </c>
      <c r="C736" s="333"/>
      <c r="D736" s="399" t="s">
        <v>386</v>
      </c>
      <c r="E736" s="333">
        <v>201611</v>
      </c>
      <c r="F736" s="431">
        <v>190255.3</v>
      </c>
      <c r="G736" s="521">
        <f t="shared" si="76"/>
        <v>5.5</v>
      </c>
      <c r="H736" s="381">
        <v>3.1250000000000002E-3</v>
      </c>
      <c r="I736" s="334">
        <f t="shared" si="77"/>
        <v>3270.01</v>
      </c>
      <c r="J736" s="334">
        <f t="shared" si="78"/>
        <v>7134.57</v>
      </c>
      <c r="Q736" s="101">
        <f t="shared" si="80"/>
        <v>2017</v>
      </c>
    </row>
    <row r="737" spans="1:17">
      <c r="A737" s="332" t="s">
        <v>346</v>
      </c>
      <c r="B737" s="333" t="s">
        <v>874</v>
      </c>
      <c r="C737" s="333"/>
      <c r="D737" s="399" t="s">
        <v>875</v>
      </c>
      <c r="E737" s="333">
        <v>201611</v>
      </c>
      <c r="F737" s="431">
        <v>112796.06</v>
      </c>
      <c r="G737" s="521">
        <f t="shared" si="76"/>
        <v>5.5</v>
      </c>
      <c r="H737" s="381">
        <v>3.1250000000000002E-3</v>
      </c>
      <c r="I737" s="334">
        <f t="shared" si="77"/>
        <v>1938.68</v>
      </c>
      <c r="J737" s="334">
        <f t="shared" si="78"/>
        <v>4229.8500000000004</v>
      </c>
      <c r="Q737" s="101">
        <f t="shared" si="80"/>
        <v>2017</v>
      </c>
    </row>
    <row r="738" spans="1:17">
      <c r="A738" s="332" t="s">
        <v>346</v>
      </c>
      <c r="B738" s="333" t="s">
        <v>361</v>
      </c>
      <c r="C738" s="333"/>
      <c r="D738" s="332" t="s">
        <v>362</v>
      </c>
      <c r="E738" s="333">
        <v>201611</v>
      </c>
      <c r="F738" s="334">
        <v>3325.07</v>
      </c>
      <c r="G738" s="521">
        <f t="shared" si="76"/>
        <v>5.5</v>
      </c>
      <c r="H738" s="381">
        <v>3.1250000000000002E-3</v>
      </c>
      <c r="I738" s="334">
        <f t="shared" si="77"/>
        <v>57.15</v>
      </c>
      <c r="J738" s="334">
        <f t="shared" si="78"/>
        <v>124.69</v>
      </c>
      <c r="Q738" s="101">
        <f t="shared" si="80"/>
        <v>2017</v>
      </c>
    </row>
    <row r="739" spans="1:17">
      <c r="A739" s="332" t="s">
        <v>346</v>
      </c>
      <c r="B739" s="333" t="s">
        <v>349</v>
      </c>
      <c r="C739" s="333"/>
      <c r="D739" s="332" t="s">
        <v>350</v>
      </c>
      <c r="E739" s="333">
        <v>201611</v>
      </c>
      <c r="F739" s="334">
        <v>-325.16000000000003</v>
      </c>
      <c r="G739" s="521">
        <f t="shared" si="76"/>
        <v>5.5</v>
      </c>
      <c r="H739" s="381">
        <v>3.1250000000000002E-3</v>
      </c>
      <c r="I739" s="334">
        <f t="shared" si="77"/>
        <v>-5.59</v>
      </c>
      <c r="J739" s="334">
        <f t="shared" si="78"/>
        <v>-12.19</v>
      </c>
      <c r="Q739" s="101">
        <f t="shared" si="80"/>
        <v>2017</v>
      </c>
    </row>
    <row r="740" spans="1:17">
      <c r="A740" s="399" t="s">
        <v>346</v>
      </c>
      <c r="B740" s="333" t="s">
        <v>874</v>
      </c>
      <c r="C740" s="333"/>
      <c r="D740" s="399" t="s">
        <v>875</v>
      </c>
      <c r="E740" s="333">
        <v>201611</v>
      </c>
      <c r="F740" s="431">
        <v>-113235.02</v>
      </c>
      <c r="G740" s="521">
        <f t="shared" si="76"/>
        <v>5.5</v>
      </c>
      <c r="H740" s="381">
        <v>3.1250000000000002E-3</v>
      </c>
      <c r="I740" s="334">
        <f t="shared" si="77"/>
        <v>-1946.23</v>
      </c>
      <c r="J740" s="334">
        <f t="shared" si="78"/>
        <v>-4246.3100000000004</v>
      </c>
      <c r="Q740" s="101">
        <f t="shared" si="80"/>
        <v>2017</v>
      </c>
    </row>
    <row r="741" spans="1:17">
      <c r="A741" s="332" t="s">
        <v>346</v>
      </c>
      <c r="B741" s="333" t="s">
        <v>870</v>
      </c>
      <c r="C741" s="333"/>
      <c r="D741" s="399" t="s">
        <v>871</v>
      </c>
      <c r="E741" s="333">
        <v>201611</v>
      </c>
      <c r="F741" s="431">
        <v>-15006.66</v>
      </c>
      <c r="G741" s="521">
        <f t="shared" si="76"/>
        <v>5.5</v>
      </c>
      <c r="H741" s="381">
        <v>3.1250000000000002E-3</v>
      </c>
      <c r="I741" s="334">
        <f t="shared" si="77"/>
        <v>-257.93</v>
      </c>
      <c r="J741" s="334">
        <f t="shared" si="78"/>
        <v>-562.75</v>
      </c>
      <c r="Q741" s="101">
        <f t="shared" si="80"/>
        <v>2017</v>
      </c>
    </row>
    <row r="742" spans="1:17">
      <c r="A742" s="332" t="s">
        <v>346</v>
      </c>
      <c r="B742" s="333" t="s">
        <v>981</v>
      </c>
      <c r="C742" s="333"/>
      <c r="D742" s="332" t="s">
        <v>1014</v>
      </c>
      <c r="E742" s="333">
        <v>201611</v>
      </c>
      <c r="F742" s="334">
        <v>1000.37</v>
      </c>
      <c r="G742" s="521">
        <f t="shared" si="76"/>
        <v>5.5</v>
      </c>
      <c r="H742" s="381">
        <v>3.1250000000000002E-3</v>
      </c>
      <c r="I742" s="334">
        <f t="shared" si="77"/>
        <v>17.190000000000001</v>
      </c>
      <c r="J742" s="334">
        <f t="shared" si="78"/>
        <v>37.51</v>
      </c>
      <c r="Q742" s="101">
        <f t="shared" si="80"/>
        <v>2017</v>
      </c>
    </row>
    <row r="743" spans="1:17">
      <c r="A743" s="332" t="s">
        <v>346</v>
      </c>
      <c r="B743" s="333" t="s">
        <v>977</v>
      </c>
      <c r="C743" s="333"/>
      <c r="D743" s="332" t="s">
        <v>978</v>
      </c>
      <c r="E743" s="333">
        <v>201611</v>
      </c>
      <c r="F743" s="334">
        <v>72.63</v>
      </c>
      <c r="G743" s="521">
        <f t="shared" si="76"/>
        <v>5.5</v>
      </c>
      <c r="H743" s="381">
        <v>3.1250000000000002E-3</v>
      </c>
      <c r="I743" s="334">
        <f t="shared" si="77"/>
        <v>1.25</v>
      </c>
      <c r="J743" s="334">
        <f t="shared" si="78"/>
        <v>2.72</v>
      </c>
      <c r="Q743" s="101">
        <f t="shared" si="80"/>
        <v>2017</v>
      </c>
    </row>
    <row r="744" spans="1:17">
      <c r="A744" s="332" t="s">
        <v>346</v>
      </c>
      <c r="B744" s="333" t="s">
        <v>1049</v>
      </c>
      <c r="C744" s="333"/>
      <c r="D744" s="332" t="s">
        <v>1050</v>
      </c>
      <c r="E744" s="333">
        <v>201611</v>
      </c>
      <c r="F744" s="334">
        <v>63.23</v>
      </c>
      <c r="G744" s="521">
        <f t="shared" si="76"/>
        <v>5.5</v>
      </c>
      <c r="H744" s="381">
        <v>3.1250000000000002E-3</v>
      </c>
      <c r="I744" s="334">
        <f t="shared" si="77"/>
        <v>1.0900000000000001</v>
      </c>
      <c r="J744" s="334">
        <f t="shared" si="78"/>
        <v>2.37</v>
      </c>
      <c r="Q744" s="101">
        <f t="shared" si="80"/>
        <v>2017</v>
      </c>
    </row>
    <row r="745" spans="1:17">
      <c r="A745" s="332" t="s">
        <v>346</v>
      </c>
      <c r="B745" s="333" t="s">
        <v>393</v>
      </c>
      <c r="C745" s="333"/>
      <c r="D745" s="332" t="s">
        <v>394</v>
      </c>
      <c r="E745" s="333">
        <v>201611</v>
      </c>
      <c r="F745" s="334">
        <v>-12280.45</v>
      </c>
      <c r="G745" s="521">
        <f t="shared" si="76"/>
        <v>5.5</v>
      </c>
      <c r="H745" s="381">
        <v>3.1250000000000002E-3</v>
      </c>
      <c r="I745" s="334">
        <f t="shared" si="77"/>
        <v>-211.07</v>
      </c>
      <c r="J745" s="334">
        <f t="shared" si="78"/>
        <v>-460.52</v>
      </c>
      <c r="Q745" s="101">
        <f t="shared" si="80"/>
        <v>2017</v>
      </c>
    </row>
    <row r="746" spans="1:17">
      <c r="A746" s="399" t="s">
        <v>346</v>
      </c>
      <c r="B746" s="333" t="s">
        <v>391</v>
      </c>
      <c r="C746" s="333"/>
      <c r="D746" s="399" t="s">
        <v>392</v>
      </c>
      <c r="E746" s="333">
        <v>201611</v>
      </c>
      <c r="F746" s="431">
        <v>1100.07</v>
      </c>
      <c r="G746" s="521">
        <f t="shared" si="76"/>
        <v>5.5</v>
      </c>
      <c r="H746" s="381">
        <v>3.1250000000000002E-3</v>
      </c>
      <c r="I746" s="334">
        <f t="shared" si="77"/>
        <v>18.91</v>
      </c>
      <c r="J746" s="334">
        <f t="shared" si="78"/>
        <v>41.25</v>
      </c>
      <c r="Q746" s="101">
        <f t="shared" si="80"/>
        <v>2017</v>
      </c>
    </row>
    <row r="747" spans="1:17">
      <c r="A747" s="332" t="s">
        <v>346</v>
      </c>
      <c r="B747" s="333" t="s">
        <v>852</v>
      </c>
      <c r="C747" s="333"/>
      <c r="D747" s="399" t="s">
        <v>853</v>
      </c>
      <c r="E747" s="333">
        <v>201611</v>
      </c>
      <c r="F747" s="431">
        <v>53675.199999999997</v>
      </c>
      <c r="G747" s="521">
        <f t="shared" si="76"/>
        <v>5.5</v>
      </c>
      <c r="H747" s="381">
        <v>3.1250000000000002E-3</v>
      </c>
      <c r="I747" s="334">
        <f t="shared" si="77"/>
        <v>922.54</v>
      </c>
      <c r="J747" s="334">
        <f t="shared" si="78"/>
        <v>2012.82</v>
      </c>
      <c r="Q747" s="101">
        <f t="shared" si="80"/>
        <v>2017</v>
      </c>
    </row>
    <row r="748" spans="1:17">
      <c r="A748" s="332" t="s">
        <v>346</v>
      </c>
      <c r="B748" s="333" t="s">
        <v>365</v>
      </c>
      <c r="C748" s="333"/>
      <c r="D748" s="332" t="s">
        <v>366</v>
      </c>
      <c r="E748" s="333">
        <v>201611</v>
      </c>
      <c r="F748" s="334">
        <v>-664.84</v>
      </c>
      <c r="G748" s="521">
        <f t="shared" si="76"/>
        <v>5.5</v>
      </c>
      <c r="H748" s="381">
        <v>3.1250000000000002E-3</v>
      </c>
      <c r="I748" s="334">
        <f t="shared" si="77"/>
        <v>-11.43</v>
      </c>
      <c r="J748" s="334">
        <f t="shared" si="78"/>
        <v>-24.93</v>
      </c>
      <c r="Q748" s="101">
        <f t="shared" si="80"/>
        <v>2017</v>
      </c>
    </row>
    <row r="749" spans="1:17">
      <c r="A749" s="332" t="s">
        <v>346</v>
      </c>
      <c r="B749" s="333" t="s">
        <v>353</v>
      </c>
      <c r="C749" s="333"/>
      <c r="D749" s="332" t="s">
        <v>354</v>
      </c>
      <c r="E749" s="333">
        <v>201611</v>
      </c>
      <c r="F749" s="334">
        <v>-2477.5</v>
      </c>
      <c r="G749" s="521">
        <f t="shared" si="76"/>
        <v>5.5</v>
      </c>
      <c r="H749" s="381">
        <v>3.1250000000000002E-3</v>
      </c>
      <c r="I749" s="334">
        <f t="shared" si="77"/>
        <v>-42.58</v>
      </c>
      <c r="J749" s="334">
        <f t="shared" si="78"/>
        <v>-92.91</v>
      </c>
      <c r="Q749" s="101">
        <f t="shared" si="80"/>
        <v>2017</v>
      </c>
    </row>
    <row r="750" spans="1:17">
      <c r="A750" s="399" t="s">
        <v>346</v>
      </c>
      <c r="B750" s="333" t="s">
        <v>351</v>
      </c>
      <c r="C750" s="333"/>
      <c r="D750" s="399" t="s">
        <v>352</v>
      </c>
      <c r="E750" s="333">
        <v>201611</v>
      </c>
      <c r="F750" s="431">
        <v>1227.44</v>
      </c>
      <c r="G750" s="521">
        <f t="shared" si="76"/>
        <v>5.5</v>
      </c>
      <c r="H750" s="381">
        <v>3.1250000000000002E-3</v>
      </c>
      <c r="I750" s="334">
        <f t="shared" si="77"/>
        <v>21.1</v>
      </c>
      <c r="J750" s="334">
        <f t="shared" si="78"/>
        <v>46.03</v>
      </c>
      <c r="Q750" s="101">
        <f t="shared" si="80"/>
        <v>2017</v>
      </c>
    </row>
    <row r="751" spans="1:17">
      <c r="A751" s="332" t="s">
        <v>346</v>
      </c>
      <c r="B751" s="333" t="s">
        <v>1033</v>
      </c>
      <c r="C751" s="333"/>
      <c r="D751" s="399" t="s">
        <v>1034</v>
      </c>
      <c r="E751" s="333">
        <v>201611</v>
      </c>
      <c r="F751" s="431">
        <v>-84.21</v>
      </c>
      <c r="G751" s="521">
        <f t="shared" si="76"/>
        <v>5.5</v>
      </c>
      <c r="H751" s="381">
        <v>3.1250000000000002E-3</v>
      </c>
      <c r="I751" s="334">
        <f t="shared" si="77"/>
        <v>-1.45</v>
      </c>
      <c r="J751" s="334">
        <f t="shared" si="78"/>
        <v>-3.16</v>
      </c>
      <c r="Q751" s="101">
        <f t="shared" si="80"/>
        <v>2017</v>
      </c>
    </row>
    <row r="752" spans="1:17">
      <c r="A752" s="332" t="s">
        <v>346</v>
      </c>
      <c r="B752" s="333" t="s">
        <v>987</v>
      </c>
      <c r="C752" s="333"/>
      <c r="D752" s="332" t="s">
        <v>988</v>
      </c>
      <c r="E752" s="333">
        <v>201611</v>
      </c>
      <c r="F752" s="334">
        <v>2.2200000000000002</v>
      </c>
      <c r="G752" s="521">
        <f t="shared" si="76"/>
        <v>5.5</v>
      </c>
      <c r="H752" s="381">
        <v>3.1250000000000002E-3</v>
      </c>
      <c r="I752" s="334">
        <f t="shared" si="77"/>
        <v>0.04</v>
      </c>
      <c r="J752" s="334">
        <f t="shared" si="78"/>
        <v>0.08</v>
      </c>
      <c r="Q752" s="101">
        <f t="shared" si="80"/>
        <v>2017</v>
      </c>
    </row>
    <row r="753" spans="1:17">
      <c r="A753" s="332" t="s">
        <v>346</v>
      </c>
      <c r="B753" s="333" t="s">
        <v>955</v>
      </c>
      <c r="C753" s="333"/>
      <c r="D753" s="332" t="s">
        <v>956</v>
      </c>
      <c r="E753" s="333">
        <v>201611</v>
      </c>
      <c r="F753" s="334">
        <v>630.47</v>
      </c>
      <c r="G753" s="521">
        <f t="shared" si="76"/>
        <v>5.5</v>
      </c>
      <c r="H753" s="381">
        <v>3.1250000000000002E-3</v>
      </c>
      <c r="I753" s="334">
        <f t="shared" si="77"/>
        <v>10.84</v>
      </c>
      <c r="J753" s="334">
        <f t="shared" si="78"/>
        <v>23.64</v>
      </c>
      <c r="Q753" s="101">
        <f t="shared" si="80"/>
        <v>2017</v>
      </c>
    </row>
    <row r="754" spans="1:17">
      <c r="A754" s="399" t="s">
        <v>346</v>
      </c>
      <c r="B754" s="333" t="s">
        <v>846</v>
      </c>
      <c r="C754" s="333"/>
      <c r="D754" s="399" t="s">
        <v>847</v>
      </c>
      <c r="E754" s="333">
        <v>201611</v>
      </c>
      <c r="F754" s="431">
        <v>-176973.57</v>
      </c>
      <c r="G754" s="521">
        <f t="shared" si="76"/>
        <v>5.5</v>
      </c>
      <c r="H754" s="381">
        <v>3.1250000000000002E-3</v>
      </c>
      <c r="I754" s="334">
        <f t="shared" si="77"/>
        <v>-3041.73</v>
      </c>
      <c r="J754" s="334">
        <f t="shared" si="78"/>
        <v>-6636.51</v>
      </c>
      <c r="Q754" s="101">
        <f t="shared" si="80"/>
        <v>2017</v>
      </c>
    </row>
    <row r="755" spans="1:17">
      <c r="A755" s="332" t="s">
        <v>346</v>
      </c>
      <c r="B755" s="333" t="s">
        <v>887</v>
      </c>
      <c r="C755" s="333"/>
      <c r="D755" s="399" t="s">
        <v>888</v>
      </c>
      <c r="E755" s="333">
        <v>201611</v>
      </c>
      <c r="F755" s="431">
        <v>35.270000000000003</v>
      </c>
      <c r="G755" s="521">
        <f t="shared" si="76"/>
        <v>5.5</v>
      </c>
      <c r="H755" s="381">
        <v>3.1250000000000002E-3</v>
      </c>
      <c r="I755" s="334">
        <f t="shared" si="77"/>
        <v>0.61</v>
      </c>
      <c r="J755" s="334">
        <f t="shared" si="78"/>
        <v>1.32</v>
      </c>
      <c r="Q755" s="101">
        <f t="shared" si="80"/>
        <v>2017</v>
      </c>
    </row>
    <row r="756" spans="1:17">
      <c r="A756" s="332" t="s">
        <v>346</v>
      </c>
      <c r="B756" s="333" t="s">
        <v>805</v>
      </c>
      <c r="C756" s="333"/>
      <c r="D756" s="332" t="s">
        <v>806</v>
      </c>
      <c r="E756" s="333">
        <v>201611</v>
      </c>
      <c r="F756" s="334">
        <v>-4.68</v>
      </c>
      <c r="G756" s="521">
        <f t="shared" si="76"/>
        <v>5.5</v>
      </c>
      <c r="H756" s="381">
        <v>3.1250000000000002E-3</v>
      </c>
      <c r="I756" s="334">
        <f t="shared" si="77"/>
        <v>-0.08</v>
      </c>
      <c r="J756" s="334">
        <f t="shared" si="78"/>
        <v>-0.18</v>
      </c>
      <c r="Q756" s="101">
        <f t="shared" si="80"/>
        <v>2017</v>
      </c>
    </row>
    <row r="757" spans="1:17">
      <c r="A757" s="332" t="s">
        <v>346</v>
      </c>
      <c r="B757" s="333" t="s">
        <v>891</v>
      </c>
      <c r="C757" s="333"/>
      <c r="D757" s="332" t="s">
        <v>892</v>
      </c>
      <c r="E757" s="333">
        <v>201611</v>
      </c>
      <c r="F757" s="334">
        <v>7601.59</v>
      </c>
      <c r="G757" s="521">
        <f t="shared" si="76"/>
        <v>5.5</v>
      </c>
      <c r="H757" s="381">
        <v>3.1250000000000002E-3</v>
      </c>
      <c r="I757" s="334">
        <f t="shared" si="77"/>
        <v>130.65</v>
      </c>
      <c r="J757" s="334">
        <f t="shared" si="78"/>
        <v>285.06</v>
      </c>
      <c r="Q757" s="101">
        <f t="shared" si="80"/>
        <v>2017</v>
      </c>
    </row>
    <row r="758" spans="1:17">
      <c r="A758" s="332" t="s">
        <v>346</v>
      </c>
      <c r="B758" s="333" t="s">
        <v>868</v>
      </c>
      <c r="C758" s="333"/>
      <c r="D758" s="332" t="s">
        <v>869</v>
      </c>
      <c r="E758" s="333">
        <v>201611</v>
      </c>
      <c r="F758" s="334">
        <v>275834.86</v>
      </c>
      <c r="G758" s="521">
        <f t="shared" si="76"/>
        <v>5.5</v>
      </c>
      <c r="H758" s="381">
        <v>3.1250000000000002E-3</v>
      </c>
      <c r="I758" s="334">
        <f t="shared" si="77"/>
        <v>4740.91</v>
      </c>
      <c r="J758" s="334">
        <f t="shared" si="78"/>
        <v>10343.81</v>
      </c>
      <c r="Q758" s="101">
        <f t="shared" si="80"/>
        <v>2017</v>
      </c>
    </row>
    <row r="759" spans="1:17">
      <c r="A759" s="399" t="s">
        <v>346</v>
      </c>
      <c r="B759" s="333" t="s">
        <v>822</v>
      </c>
      <c r="C759" s="333"/>
      <c r="D759" s="399" t="s">
        <v>823</v>
      </c>
      <c r="E759" s="333">
        <v>201611</v>
      </c>
      <c r="F759" s="431">
        <v>0</v>
      </c>
      <c r="G759" s="521">
        <f t="shared" si="76"/>
        <v>5.5</v>
      </c>
      <c r="H759" s="381">
        <v>3.1250000000000002E-3</v>
      </c>
      <c r="I759" s="334">
        <f t="shared" si="77"/>
        <v>0</v>
      </c>
      <c r="J759" s="334">
        <f t="shared" si="78"/>
        <v>0</v>
      </c>
      <c r="Q759" s="101">
        <f t="shared" si="80"/>
        <v>2017</v>
      </c>
    </row>
    <row r="760" spans="1:17">
      <c r="A760" s="332" t="s">
        <v>346</v>
      </c>
      <c r="B760" s="333" t="s">
        <v>868</v>
      </c>
      <c r="C760" s="333"/>
      <c r="D760" s="399" t="s">
        <v>869</v>
      </c>
      <c r="E760" s="333">
        <v>201611</v>
      </c>
      <c r="F760" s="431">
        <v>-312277.46000000002</v>
      </c>
      <c r="G760" s="521">
        <f t="shared" si="76"/>
        <v>5.5</v>
      </c>
      <c r="H760" s="381">
        <v>3.1250000000000002E-3</v>
      </c>
      <c r="I760" s="334">
        <f t="shared" si="77"/>
        <v>-5367.27</v>
      </c>
      <c r="J760" s="334">
        <f t="shared" si="78"/>
        <v>-11710.4</v>
      </c>
      <c r="Q760" s="101">
        <f t="shared" si="80"/>
        <v>2017</v>
      </c>
    </row>
    <row r="761" spans="1:17">
      <c r="A761" s="332" t="s">
        <v>346</v>
      </c>
      <c r="B761" s="333" t="s">
        <v>889</v>
      </c>
      <c r="C761" s="333"/>
      <c r="D761" s="332" t="s">
        <v>890</v>
      </c>
      <c r="E761" s="333">
        <v>201611</v>
      </c>
      <c r="F761" s="334">
        <v>2.0099999999999998</v>
      </c>
      <c r="G761" s="521">
        <f t="shared" si="76"/>
        <v>5.5</v>
      </c>
      <c r="H761" s="381">
        <v>3.1250000000000002E-3</v>
      </c>
      <c r="I761" s="334">
        <f t="shared" si="77"/>
        <v>0.03</v>
      </c>
      <c r="J761" s="334">
        <f t="shared" si="78"/>
        <v>0.08</v>
      </c>
      <c r="Q761" s="101">
        <f t="shared" si="80"/>
        <v>2017</v>
      </c>
    </row>
    <row r="762" spans="1:17">
      <c r="A762" s="332" t="s">
        <v>346</v>
      </c>
      <c r="B762" s="333" t="s">
        <v>1041</v>
      </c>
      <c r="C762" s="333"/>
      <c r="D762" s="332" t="s">
        <v>1042</v>
      </c>
      <c r="E762" s="333">
        <v>201611</v>
      </c>
      <c r="F762" s="334">
        <v>3987.63</v>
      </c>
      <c r="G762" s="521">
        <f t="shared" si="76"/>
        <v>5.5</v>
      </c>
      <c r="H762" s="381">
        <v>3.1250000000000002E-3</v>
      </c>
      <c r="I762" s="334">
        <f t="shared" si="77"/>
        <v>68.540000000000006</v>
      </c>
      <c r="J762" s="334">
        <f t="shared" si="78"/>
        <v>149.54</v>
      </c>
      <c r="Q762" s="101">
        <f t="shared" si="80"/>
        <v>2017</v>
      </c>
    </row>
    <row r="763" spans="1:17">
      <c r="A763" s="399" t="s">
        <v>346</v>
      </c>
      <c r="B763" s="333" t="s">
        <v>1039</v>
      </c>
      <c r="C763" s="333"/>
      <c r="D763" s="399" t="s">
        <v>1040</v>
      </c>
      <c r="E763" s="333">
        <v>201611</v>
      </c>
      <c r="F763" s="431">
        <v>5209.9799999999996</v>
      </c>
      <c r="G763" s="521">
        <f t="shared" si="76"/>
        <v>5.5</v>
      </c>
      <c r="H763" s="381">
        <v>3.1250000000000002E-3</v>
      </c>
      <c r="I763" s="334">
        <f t="shared" si="77"/>
        <v>89.55</v>
      </c>
      <c r="J763" s="334">
        <f t="shared" si="78"/>
        <v>195.37</v>
      </c>
      <c r="Q763" s="101">
        <f t="shared" si="80"/>
        <v>2017</v>
      </c>
    </row>
    <row r="764" spans="1:17">
      <c r="A764" s="332" t="s">
        <v>346</v>
      </c>
      <c r="B764" s="333" t="s">
        <v>996</v>
      </c>
      <c r="C764" s="333"/>
      <c r="D764" s="399" t="s">
        <v>997</v>
      </c>
      <c r="E764" s="333">
        <v>201611</v>
      </c>
      <c r="F764" s="431">
        <v>1529.42</v>
      </c>
      <c r="G764" s="521">
        <f t="shared" si="76"/>
        <v>5.5</v>
      </c>
      <c r="H764" s="381">
        <v>3.1250000000000002E-3</v>
      </c>
      <c r="I764" s="334">
        <f t="shared" si="77"/>
        <v>26.29</v>
      </c>
      <c r="J764" s="334">
        <f t="shared" si="78"/>
        <v>57.35</v>
      </c>
      <c r="Q764" s="101">
        <f t="shared" si="80"/>
        <v>2017</v>
      </c>
    </row>
    <row r="765" spans="1:17">
      <c r="A765" s="332" t="s">
        <v>346</v>
      </c>
      <c r="B765" s="333" t="s">
        <v>1055</v>
      </c>
      <c r="C765" s="333"/>
      <c r="D765" s="332" t="s">
        <v>1056</v>
      </c>
      <c r="E765" s="333">
        <v>201611</v>
      </c>
      <c r="F765" s="334">
        <v>14.53</v>
      </c>
      <c r="G765" s="521">
        <f t="shared" si="76"/>
        <v>5.5</v>
      </c>
      <c r="H765" s="381">
        <v>3.1250000000000002E-3</v>
      </c>
      <c r="I765" s="334">
        <f t="shared" si="77"/>
        <v>0.25</v>
      </c>
      <c r="J765" s="334">
        <f t="shared" si="78"/>
        <v>0.54</v>
      </c>
      <c r="Q765" s="101">
        <f t="shared" si="80"/>
        <v>2017</v>
      </c>
    </row>
    <row r="766" spans="1:17">
      <c r="A766" s="332" t="s">
        <v>346</v>
      </c>
      <c r="B766" s="333" t="s">
        <v>880</v>
      </c>
      <c r="C766" s="333"/>
      <c r="D766" s="332" t="s">
        <v>881</v>
      </c>
      <c r="E766" s="333">
        <v>201611</v>
      </c>
      <c r="F766" s="334">
        <v>79413.95</v>
      </c>
      <c r="G766" s="521">
        <f t="shared" si="76"/>
        <v>5.5</v>
      </c>
      <c r="H766" s="381">
        <v>3.1250000000000002E-3</v>
      </c>
      <c r="I766" s="334">
        <f t="shared" si="77"/>
        <v>1364.93</v>
      </c>
      <c r="J766" s="334">
        <f t="shared" si="78"/>
        <v>2978.02</v>
      </c>
      <c r="Q766" s="101">
        <f t="shared" si="80"/>
        <v>2017</v>
      </c>
    </row>
    <row r="767" spans="1:17">
      <c r="A767" s="399" t="s">
        <v>346</v>
      </c>
      <c r="B767" s="333" t="s">
        <v>846</v>
      </c>
      <c r="C767" s="333"/>
      <c r="D767" s="399" t="s">
        <v>847</v>
      </c>
      <c r="E767" s="333">
        <v>201611</v>
      </c>
      <c r="F767" s="431">
        <v>165035.4</v>
      </c>
      <c r="G767" s="521">
        <f t="shared" ref="G767:G829" si="81">VLOOKUP(E767,$N$6:$O$49,2,FALSE)</f>
        <v>5.5</v>
      </c>
      <c r="H767" s="381">
        <v>3.1250000000000002E-3</v>
      </c>
      <c r="I767" s="334">
        <f t="shared" ref="I767:I829" si="82">ROUND(F767*G767*H767,2)</f>
        <v>2836.55</v>
      </c>
      <c r="J767" s="334">
        <f t="shared" ref="J767:J829" si="83">ROUND(F767*H767*12,2)</f>
        <v>6188.83</v>
      </c>
      <c r="Q767" s="101">
        <f t="shared" si="80"/>
        <v>2017</v>
      </c>
    </row>
    <row r="768" spans="1:17">
      <c r="A768" s="332" t="s">
        <v>346</v>
      </c>
      <c r="B768" s="333" t="s">
        <v>377</v>
      </c>
      <c r="C768" s="333"/>
      <c r="D768" s="399" t="s">
        <v>378</v>
      </c>
      <c r="E768" s="333">
        <v>201611</v>
      </c>
      <c r="F768" s="431">
        <v>93289.17</v>
      </c>
      <c r="G768" s="521">
        <f t="shared" si="81"/>
        <v>5.5</v>
      </c>
      <c r="H768" s="381">
        <v>3.1250000000000002E-3</v>
      </c>
      <c r="I768" s="334">
        <f t="shared" si="82"/>
        <v>1603.41</v>
      </c>
      <c r="J768" s="334">
        <f t="shared" si="83"/>
        <v>3498.34</v>
      </c>
      <c r="Q768" s="101">
        <f t="shared" si="80"/>
        <v>2017</v>
      </c>
    </row>
    <row r="769" spans="1:17">
      <c r="A769" s="332" t="s">
        <v>346</v>
      </c>
      <c r="B769" s="333" t="s">
        <v>401</v>
      </c>
      <c r="C769" s="333"/>
      <c r="D769" s="332" t="s">
        <v>402</v>
      </c>
      <c r="E769" s="333">
        <v>201611</v>
      </c>
      <c r="F769" s="334">
        <v>0</v>
      </c>
      <c r="G769" s="521">
        <f t="shared" si="81"/>
        <v>5.5</v>
      </c>
      <c r="H769" s="381">
        <v>3.1250000000000002E-3</v>
      </c>
      <c r="I769" s="334">
        <f t="shared" si="82"/>
        <v>0</v>
      </c>
      <c r="J769" s="334">
        <f t="shared" si="83"/>
        <v>0</v>
      </c>
      <c r="Q769" s="101">
        <f t="shared" si="80"/>
        <v>2017</v>
      </c>
    </row>
    <row r="770" spans="1:17">
      <c r="A770" s="332" t="s">
        <v>346</v>
      </c>
      <c r="B770" s="333" t="s">
        <v>993</v>
      </c>
      <c r="C770" s="333"/>
      <c r="D770" s="332" t="s">
        <v>994</v>
      </c>
      <c r="E770" s="333">
        <v>201611</v>
      </c>
      <c r="F770" s="334">
        <v>3027.85</v>
      </c>
      <c r="G770" s="521">
        <f t="shared" si="81"/>
        <v>5.5</v>
      </c>
      <c r="H770" s="381">
        <v>3.1250000000000002E-3</v>
      </c>
      <c r="I770" s="334">
        <f t="shared" si="82"/>
        <v>52.04</v>
      </c>
      <c r="J770" s="334">
        <f t="shared" si="83"/>
        <v>113.54</v>
      </c>
      <c r="Q770" s="101">
        <f t="shared" si="80"/>
        <v>2017</v>
      </c>
    </row>
    <row r="771" spans="1:17">
      <c r="A771" s="399" t="s">
        <v>346</v>
      </c>
      <c r="B771" s="333" t="s">
        <v>983</v>
      </c>
      <c r="C771" s="333"/>
      <c r="D771" s="399" t="s">
        <v>984</v>
      </c>
      <c r="E771" s="333">
        <v>201611</v>
      </c>
      <c r="F771" s="431">
        <v>48.42</v>
      </c>
      <c r="G771" s="521">
        <f t="shared" si="81"/>
        <v>5.5</v>
      </c>
      <c r="H771" s="381">
        <v>3.1250000000000002E-3</v>
      </c>
      <c r="I771" s="334">
        <f t="shared" si="82"/>
        <v>0.83</v>
      </c>
      <c r="J771" s="334">
        <f t="shared" si="83"/>
        <v>1.82</v>
      </c>
      <c r="Q771" s="101">
        <f t="shared" si="80"/>
        <v>2017</v>
      </c>
    </row>
    <row r="772" spans="1:17">
      <c r="A772" s="332" t="s">
        <v>346</v>
      </c>
      <c r="B772" s="333" t="s">
        <v>951</v>
      </c>
      <c r="C772" s="333"/>
      <c r="D772" s="399" t="s">
        <v>952</v>
      </c>
      <c r="E772" s="333">
        <v>201611</v>
      </c>
      <c r="F772" s="431">
        <v>-357.31</v>
      </c>
      <c r="G772" s="521">
        <f t="shared" si="81"/>
        <v>5.5</v>
      </c>
      <c r="H772" s="381">
        <v>3.1250000000000002E-3</v>
      </c>
      <c r="I772" s="334">
        <f t="shared" si="82"/>
        <v>-6.14</v>
      </c>
      <c r="J772" s="334">
        <f t="shared" si="83"/>
        <v>-13.4</v>
      </c>
      <c r="Q772" s="101">
        <f t="shared" si="80"/>
        <v>2017</v>
      </c>
    </row>
    <row r="773" spans="1:17">
      <c r="A773" s="332" t="s">
        <v>346</v>
      </c>
      <c r="B773" s="333" t="s">
        <v>947</v>
      </c>
      <c r="C773" s="333"/>
      <c r="D773" s="332" t="s">
        <v>948</v>
      </c>
      <c r="E773" s="333">
        <v>201611</v>
      </c>
      <c r="F773" s="334">
        <v>-83.94</v>
      </c>
      <c r="G773" s="521">
        <f t="shared" si="81"/>
        <v>5.5</v>
      </c>
      <c r="H773" s="381">
        <v>3.1250000000000002E-3</v>
      </c>
      <c r="I773" s="334">
        <f t="shared" si="82"/>
        <v>-1.44</v>
      </c>
      <c r="J773" s="334">
        <f t="shared" si="83"/>
        <v>-3.15</v>
      </c>
      <c r="Q773" s="101">
        <f t="shared" si="80"/>
        <v>2017</v>
      </c>
    </row>
    <row r="774" spans="1:17">
      <c r="A774" s="399" t="s">
        <v>346</v>
      </c>
      <c r="B774" s="333" t="s">
        <v>682</v>
      </c>
      <c r="C774" s="333"/>
      <c r="D774" s="399" t="s">
        <v>683</v>
      </c>
      <c r="E774" s="333">
        <v>201611</v>
      </c>
      <c r="F774" s="431">
        <v>6964.23</v>
      </c>
      <c r="G774" s="521">
        <f t="shared" si="81"/>
        <v>5.5</v>
      </c>
      <c r="H774" s="381">
        <v>3.1250000000000002E-3</v>
      </c>
      <c r="I774" s="334">
        <f t="shared" si="82"/>
        <v>119.7</v>
      </c>
      <c r="J774" s="334">
        <f t="shared" si="83"/>
        <v>261.16000000000003</v>
      </c>
      <c r="Q774" s="101">
        <f t="shared" si="80"/>
        <v>2017</v>
      </c>
    </row>
    <row r="775" spans="1:17">
      <c r="A775" s="332" t="s">
        <v>346</v>
      </c>
      <c r="B775" s="333" t="s">
        <v>870</v>
      </c>
      <c r="C775" s="333"/>
      <c r="D775" s="332" t="s">
        <v>871</v>
      </c>
      <c r="E775" s="333">
        <v>201611</v>
      </c>
      <c r="F775" s="334">
        <v>16827.009999999998</v>
      </c>
      <c r="G775" s="521">
        <f t="shared" si="81"/>
        <v>5.5</v>
      </c>
      <c r="H775" s="381">
        <v>3.1250000000000002E-3</v>
      </c>
      <c r="I775" s="334">
        <f t="shared" si="82"/>
        <v>289.20999999999998</v>
      </c>
      <c r="J775" s="334">
        <f t="shared" si="83"/>
        <v>631.01</v>
      </c>
      <c r="Q775" s="101">
        <f t="shared" si="80"/>
        <v>2017</v>
      </c>
    </row>
    <row r="776" spans="1:17">
      <c r="A776" s="399" t="s">
        <v>346</v>
      </c>
      <c r="B776" s="333" t="s">
        <v>387</v>
      </c>
      <c r="C776" s="333"/>
      <c r="D776" s="399" t="s">
        <v>388</v>
      </c>
      <c r="E776" s="333">
        <v>201611</v>
      </c>
      <c r="F776" s="431">
        <v>226706.24</v>
      </c>
      <c r="G776" s="521">
        <f t="shared" si="81"/>
        <v>5.5</v>
      </c>
      <c r="H776" s="381">
        <v>3.1250000000000002E-3</v>
      </c>
      <c r="I776" s="334">
        <f t="shared" si="82"/>
        <v>3896.51</v>
      </c>
      <c r="J776" s="334">
        <f t="shared" si="83"/>
        <v>8501.48</v>
      </c>
      <c r="Q776" s="101">
        <f t="shared" si="80"/>
        <v>2017</v>
      </c>
    </row>
    <row r="777" spans="1:17">
      <c r="A777" s="332" t="s">
        <v>346</v>
      </c>
      <c r="B777" s="333" t="s">
        <v>371</v>
      </c>
      <c r="C777" s="333"/>
      <c r="D777" s="399" t="s">
        <v>372</v>
      </c>
      <c r="E777" s="333">
        <v>201611</v>
      </c>
      <c r="F777" s="431">
        <v>767.97</v>
      </c>
      <c r="G777" s="521">
        <f t="shared" si="81"/>
        <v>5.5</v>
      </c>
      <c r="H777" s="381">
        <v>3.1250000000000002E-3</v>
      </c>
      <c r="I777" s="334">
        <f t="shared" si="82"/>
        <v>13.2</v>
      </c>
      <c r="J777" s="334">
        <f t="shared" si="83"/>
        <v>28.8</v>
      </c>
      <c r="Q777" s="101">
        <f t="shared" si="80"/>
        <v>2017</v>
      </c>
    </row>
    <row r="778" spans="1:17">
      <c r="A778" s="332" t="s">
        <v>346</v>
      </c>
      <c r="B778" s="333" t="s">
        <v>369</v>
      </c>
      <c r="C778" s="333"/>
      <c r="D778" s="332" t="s">
        <v>370</v>
      </c>
      <c r="E778" s="333">
        <v>201611</v>
      </c>
      <c r="F778" s="334">
        <v>-3524.91</v>
      </c>
      <c r="G778" s="521">
        <f t="shared" si="81"/>
        <v>5.5</v>
      </c>
      <c r="H778" s="381">
        <v>3.1250000000000002E-3</v>
      </c>
      <c r="I778" s="334">
        <f t="shared" si="82"/>
        <v>-60.58</v>
      </c>
      <c r="J778" s="334">
        <f t="shared" si="83"/>
        <v>-132.18</v>
      </c>
      <c r="Q778" s="101">
        <f t="shared" si="80"/>
        <v>2017</v>
      </c>
    </row>
    <row r="779" spans="1:17">
      <c r="A779" s="332" t="s">
        <v>346</v>
      </c>
      <c r="B779" s="333" t="s">
        <v>355</v>
      </c>
      <c r="C779" s="333"/>
      <c r="D779" s="332" t="s">
        <v>356</v>
      </c>
      <c r="E779" s="333">
        <v>201611</v>
      </c>
      <c r="F779" s="334">
        <v>74335.39</v>
      </c>
      <c r="G779" s="521">
        <f t="shared" si="81"/>
        <v>5.5</v>
      </c>
      <c r="H779" s="381">
        <v>3.1250000000000002E-3</v>
      </c>
      <c r="I779" s="334">
        <f t="shared" si="82"/>
        <v>1277.6400000000001</v>
      </c>
      <c r="J779" s="334">
        <f t="shared" si="83"/>
        <v>2787.58</v>
      </c>
      <c r="Q779" s="101">
        <f t="shared" si="80"/>
        <v>2017</v>
      </c>
    </row>
    <row r="780" spans="1:17">
      <c r="A780" s="332" t="s">
        <v>346</v>
      </c>
      <c r="B780" s="333" t="s">
        <v>878</v>
      </c>
      <c r="C780" s="333"/>
      <c r="D780" s="332" t="s">
        <v>879</v>
      </c>
      <c r="E780" s="333">
        <v>201612</v>
      </c>
      <c r="F780" s="334">
        <v>-717.19</v>
      </c>
      <c r="G780" s="521">
        <f t="shared" si="81"/>
        <v>4.5</v>
      </c>
      <c r="H780" s="381">
        <v>3.1250000000000002E-3</v>
      </c>
      <c r="I780" s="334">
        <f t="shared" si="82"/>
        <v>-10.09</v>
      </c>
      <c r="J780" s="334">
        <f t="shared" si="83"/>
        <v>-26.89</v>
      </c>
      <c r="Q780" s="101">
        <f t="shared" si="80"/>
        <v>2017</v>
      </c>
    </row>
    <row r="781" spans="1:17">
      <c r="A781" s="399" t="s">
        <v>346</v>
      </c>
      <c r="B781" s="333" t="s">
        <v>1114</v>
      </c>
      <c r="C781" s="333"/>
      <c r="D781" s="399" t="s">
        <v>1115</v>
      </c>
      <c r="E781" s="333">
        <v>201612</v>
      </c>
      <c r="F781" s="431">
        <v>100041.53</v>
      </c>
      <c r="G781" s="521">
        <f t="shared" si="81"/>
        <v>4.5</v>
      </c>
      <c r="H781" s="381">
        <v>3.1250000000000002E-3</v>
      </c>
      <c r="I781" s="334">
        <f t="shared" si="82"/>
        <v>1406.83</v>
      </c>
      <c r="J781" s="334">
        <f t="shared" si="83"/>
        <v>3751.56</v>
      </c>
      <c r="Q781" s="101">
        <f t="shared" si="80"/>
        <v>2017</v>
      </c>
    </row>
    <row r="782" spans="1:17">
      <c r="A782" s="332" t="s">
        <v>346</v>
      </c>
      <c r="B782" s="333" t="s">
        <v>1043</v>
      </c>
      <c r="C782" s="333"/>
      <c r="D782" s="399" t="s">
        <v>1044</v>
      </c>
      <c r="E782" s="333">
        <v>201612</v>
      </c>
      <c r="F782" s="431">
        <v>-1.02</v>
      </c>
      <c r="G782" s="521">
        <f t="shared" si="81"/>
        <v>4.5</v>
      </c>
      <c r="H782" s="381">
        <v>3.1250000000000002E-3</v>
      </c>
      <c r="I782" s="334">
        <f t="shared" si="82"/>
        <v>-0.01</v>
      </c>
      <c r="J782" s="334">
        <f t="shared" si="83"/>
        <v>-0.04</v>
      </c>
      <c r="Q782" s="101">
        <f t="shared" si="80"/>
        <v>2017</v>
      </c>
    </row>
    <row r="783" spans="1:17">
      <c r="A783" s="332" t="s">
        <v>346</v>
      </c>
      <c r="B783" s="333" t="s">
        <v>1057</v>
      </c>
      <c r="C783" s="333"/>
      <c r="D783" s="332" t="s">
        <v>1058</v>
      </c>
      <c r="E783" s="333">
        <v>201612</v>
      </c>
      <c r="F783" s="334">
        <v>743.1</v>
      </c>
      <c r="G783" s="521">
        <f t="shared" si="81"/>
        <v>4.5</v>
      </c>
      <c r="H783" s="381">
        <v>3.1250000000000002E-3</v>
      </c>
      <c r="I783" s="334">
        <f t="shared" si="82"/>
        <v>10.45</v>
      </c>
      <c r="J783" s="334">
        <f t="shared" si="83"/>
        <v>27.87</v>
      </c>
      <c r="Q783" s="101">
        <f t="shared" si="80"/>
        <v>2017</v>
      </c>
    </row>
    <row r="784" spans="1:17">
      <c r="A784" s="332" t="s">
        <v>346</v>
      </c>
      <c r="B784" s="333" t="s">
        <v>856</v>
      </c>
      <c r="C784" s="333"/>
      <c r="D784" s="332" t="s">
        <v>857</v>
      </c>
      <c r="E784" s="333">
        <v>201612</v>
      </c>
      <c r="F784" s="334">
        <v>-96997.75</v>
      </c>
      <c r="G784" s="521">
        <f t="shared" si="81"/>
        <v>4.5</v>
      </c>
      <c r="H784" s="381">
        <v>3.1250000000000002E-3</v>
      </c>
      <c r="I784" s="334">
        <f t="shared" si="82"/>
        <v>-1364.03</v>
      </c>
      <c r="J784" s="334">
        <f t="shared" si="83"/>
        <v>-3637.42</v>
      </c>
      <c r="Q784" s="101">
        <f t="shared" si="80"/>
        <v>2017</v>
      </c>
    </row>
    <row r="785" spans="1:17">
      <c r="A785" s="399" t="s">
        <v>346</v>
      </c>
      <c r="B785" s="333" t="s">
        <v>862</v>
      </c>
      <c r="C785" s="333"/>
      <c r="D785" s="399" t="s">
        <v>863</v>
      </c>
      <c r="E785" s="333">
        <v>201612</v>
      </c>
      <c r="F785" s="431">
        <v>-256209.41</v>
      </c>
      <c r="G785" s="521">
        <f t="shared" si="81"/>
        <v>4.5</v>
      </c>
      <c r="H785" s="381">
        <v>3.1250000000000002E-3</v>
      </c>
      <c r="I785" s="334">
        <f t="shared" si="82"/>
        <v>-3602.94</v>
      </c>
      <c r="J785" s="334">
        <f t="shared" si="83"/>
        <v>-9607.85</v>
      </c>
      <c r="Q785" s="101">
        <f t="shared" si="80"/>
        <v>2017</v>
      </c>
    </row>
    <row r="786" spans="1:17">
      <c r="A786" s="332" t="s">
        <v>346</v>
      </c>
      <c r="B786" s="333" t="s">
        <v>880</v>
      </c>
      <c r="C786" s="333"/>
      <c r="D786" s="399" t="s">
        <v>881</v>
      </c>
      <c r="E786" s="333">
        <v>201612</v>
      </c>
      <c r="F786" s="431">
        <v>740.14</v>
      </c>
      <c r="G786" s="521">
        <f t="shared" si="81"/>
        <v>4.5</v>
      </c>
      <c r="H786" s="381">
        <v>3.1250000000000002E-3</v>
      </c>
      <c r="I786" s="334">
        <f t="shared" si="82"/>
        <v>10.41</v>
      </c>
      <c r="J786" s="334">
        <f t="shared" si="83"/>
        <v>27.76</v>
      </c>
      <c r="Q786" s="101">
        <f t="shared" ref="Q786:Q847" si="84">IF(E786&lt;=$Q$1,$S$5,$S$6)</f>
        <v>2017</v>
      </c>
    </row>
    <row r="787" spans="1:17" ht="12.75" customHeight="1">
      <c r="A787" s="332" t="s">
        <v>346</v>
      </c>
      <c r="B787" s="333" t="s">
        <v>872</v>
      </c>
      <c r="C787" s="333"/>
      <c r="D787" s="332" t="s">
        <v>873</v>
      </c>
      <c r="E787" s="333">
        <v>201612</v>
      </c>
      <c r="F787" s="334">
        <v>-54.3</v>
      </c>
      <c r="G787" s="521">
        <f t="shared" si="81"/>
        <v>4.5</v>
      </c>
      <c r="H787" s="381">
        <v>3.1250000000000002E-3</v>
      </c>
      <c r="I787" s="334">
        <f t="shared" si="82"/>
        <v>-0.76</v>
      </c>
      <c r="J787" s="334">
        <f t="shared" si="83"/>
        <v>-2.04</v>
      </c>
      <c r="Q787" s="101">
        <f t="shared" si="84"/>
        <v>2017</v>
      </c>
    </row>
    <row r="788" spans="1:17" ht="12.75" customHeight="1">
      <c r="A788" s="332" t="s">
        <v>346</v>
      </c>
      <c r="B788" s="333" t="s">
        <v>834</v>
      </c>
      <c r="C788" s="333"/>
      <c r="D788" s="332" t="s">
        <v>835</v>
      </c>
      <c r="E788" s="333">
        <v>201612</v>
      </c>
      <c r="F788" s="334">
        <v>271653.49</v>
      </c>
      <c r="G788" s="521">
        <f t="shared" si="81"/>
        <v>4.5</v>
      </c>
      <c r="H788" s="381">
        <v>3.1250000000000002E-3</v>
      </c>
      <c r="I788" s="334">
        <f t="shared" si="82"/>
        <v>3820.13</v>
      </c>
      <c r="J788" s="334">
        <f t="shared" si="83"/>
        <v>10187.01</v>
      </c>
      <c r="Q788" s="101">
        <f t="shared" si="84"/>
        <v>2017</v>
      </c>
    </row>
    <row r="789" spans="1:17" ht="12.75" customHeight="1">
      <c r="A789" s="399" t="s">
        <v>346</v>
      </c>
      <c r="B789" s="333" t="s">
        <v>379</v>
      </c>
      <c r="C789" s="333"/>
      <c r="D789" s="399" t="s">
        <v>380</v>
      </c>
      <c r="E789" s="333">
        <v>201612</v>
      </c>
      <c r="F789" s="431">
        <v>1025.3699999999999</v>
      </c>
      <c r="G789" s="521">
        <f t="shared" si="81"/>
        <v>4.5</v>
      </c>
      <c r="H789" s="381">
        <v>3.1250000000000002E-3</v>
      </c>
      <c r="I789" s="334">
        <f t="shared" si="82"/>
        <v>14.42</v>
      </c>
      <c r="J789" s="334">
        <f t="shared" si="83"/>
        <v>38.450000000000003</v>
      </c>
      <c r="Q789" s="101">
        <f t="shared" si="84"/>
        <v>2017</v>
      </c>
    </row>
    <row r="790" spans="1:17" ht="12.75" customHeight="1">
      <c r="A790" s="332" t="s">
        <v>346</v>
      </c>
      <c r="B790" s="333" t="s">
        <v>365</v>
      </c>
      <c r="C790" s="333"/>
      <c r="D790" s="399" t="s">
        <v>366</v>
      </c>
      <c r="E790" s="333">
        <v>201612</v>
      </c>
      <c r="F790" s="431">
        <v>-531.98</v>
      </c>
      <c r="G790" s="521">
        <f t="shared" si="81"/>
        <v>4.5</v>
      </c>
      <c r="H790" s="381">
        <v>3.1250000000000002E-3</v>
      </c>
      <c r="I790" s="334">
        <f t="shared" si="82"/>
        <v>-7.48</v>
      </c>
      <c r="J790" s="334">
        <f t="shared" si="83"/>
        <v>-19.95</v>
      </c>
      <c r="Q790" s="101">
        <f t="shared" si="84"/>
        <v>2017</v>
      </c>
    </row>
    <row r="791" spans="1:17" ht="12.75" customHeight="1">
      <c r="A791" s="332" t="s">
        <v>346</v>
      </c>
      <c r="B791" s="333" t="s">
        <v>822</v>
      </c>
      <c r="C791" s="333"/>
      <c r="D791" s="332" t="s">
        <v>823</v>
      </c>
      <c r="E791" s="333">
        <v>201612</v>
      </c>
      <c r="F791" s="334">
        <v>-27.23</v>
      </c>
      <c r="G791" s="521">
        <f t="shared" si="81"/>
        <v>4.5</v>
      </c>
      <c r="H791" s="381">
        <v>3.1250000000000002E-3</v>
      </c>
      <c r="I791" s="334">
        <f t="shared" si="82"/>
        <v>-0.38</v>
      </c>
      <c r="J791" s="334">
        <f t="shared" si="83"/>
        <v>-1.02</v>
      </c>
      <c r="Q791" s="101">
        <f t="shared" si="84"/>
        <v>2017</v>
      </c>
    </row>
    <row r="792" spans="1:17" ht="12.75" customHeight="1">
      <c r="A792" s="332" t="s">
        <v>346</v>
      </c>
      <c r="B792" s="333" t="s">
        <v>361</v>
      </c>
      <c r="C792" s="333"/>
      <c r="D792" s="332" t="s">
        <v>362</v>
      </c>
      <c r="E792" s="333">
        <v>201612</v>
      </c>
      <c r="F792" s="334">
        <v>849.77</v>
      </c>
      <c r="G792" s="521">
        <f t="shared" si="81"/>
        <v>4.5</v>
      </c>
      <c r="H792" s="381">
        <v>3.1250000000000002E-3</v>
      </c>
      <c r="I792" s="334">
        <f t="shared" si="82"/>
        <v>11.95</v>
      </c>
      <c r="J792" s="334">
        <f t="shared" si="83"/>
        <v>31.87</v>
      </c>
      <c r="Q792" s="101">
        <f t="shared" si="84"/>
        <v>2017</v>
      </c>
    </row>
    <row r="793" spans="1:17" ht="12.75" customHeight="1">
      <c r="A793" s="399" t="s">
        <v>346</v>
      </c>
      <c r="B793" s="333" t="s">
        <v>347</v>
      </c>
      <c r="C793" s="333"/>
      <c r="D793" s="399" t="s">
        <v>348</v>
      </c>
      <c r="E793" s="333">
        <v>201612</v>
      </c>
      <c r="F793" s="431">
        <v>855867.63</v>
      </c>
      <c r="G793" s="521">
        <f t="shared" si="81"/>
        <v>4.5</v>
      </c>
      <c r="H793" s="381">
        <v>3.1250000000000002E-3</v>
      </c>
      <c r="I793" s="334">
        <f t="shared" si="82"/>
        <v>12035.64</v>
      </c>
      <c r="J793" s="334">
        <f t="shared" si="83"/>
        <v>32095.040000000001</v>
      </c>
      <c r="Q793" s="101">
        <f t="shared" si="84"/>
        <v>2017</v>
      </c>
    </row>
    <row r="794" spans="1:17" ht="12.75" customHeight="1">
      <c r="A794" s="332" t="s">
        <v>346</v>
      </c>
      <c r="B794" s="333" t="s">
        <v>731</v>
      </c>
      <c r="C794" s="333"/>
      <c r="D794" s="399" t="s">
        <v>732</v>
      </c>
      <c r="E794" s="333">
        <v>201612</v>
      </c>
      <c r="F794" s="431">
        <v>932.75</v>
      </c>
      <c r="G794" s="521">
        <f t="shared" si="81"/>
        <v>4.5</v>
      </c>
      <c r="H794" s="381">
        <v>3.1250000000000002E-3</v>
      </c>
      <c r="I794" s="334">
        <f t="shared" si="82"/>
        <v>13.12</v>
      </c>
      <c r="J794" s="334">
        <f t="shared" si="83"/>
        <v>34.979999999999997</v>
      </c>
      <c r="Q794" s="101">
        <f t="shared" si="84"/>
        <v>2017</v>
      </c>
    </row>
    <row r="795" spans="1:17" ht="12.75" customHeight="1">
      <c r="A795" s="332" t="s">
        <v>346</v>
      </c>
      <c r="B795" s="333" t="s">
        <v>1116</v>
      </c>
      <c r="C795" s="333"/>
      <c r="D795" s="332" t="s">
        <v>1117</v>
      </c>
      <c r="E795" s="333">
        <v>201612</v>
      </c>
      <c r="F795" s="334">
        <v>10122.799999999999</v>
      </c>
      <c r="G795" s="521">
        <f t="shared" si="81"/>
        <v>4.5</v>
      </c>
      <c r="H795" s="381">
        <v>3.1250000000000002E-3</v>
      </c>
      <c r="I795" s="334">
        <f t="shared" si="82"/>
        <v>142.35</v>
      </c>
      <c r="J795" s="334">
        <f t="shared" si="83"/>
        <v>379.61</v>
      </c>
      <c r="Q795" s="101">
        <f t="shared" si="84"/>
        <v>2017</v>
      </c>
    </row>
    <row r="796" spans="1:17" ht="12.75" customHeight="1">
      <c r="A796" s="332" t="s">
        <v>346</v>
      </c>
      <c r="B796" s="333" t="s">
        <v>1039</v>
      </c>
      <c r="C796" s="333"/>
      <c r="D796" s="332" t="s">
        <v>1040</v>
      </c>
      <c r="E796" s="333">
        <v>201612</v>
      </c>
      <c r="F796" s="334">
        <v>1439.87</v>
      </c>
      <c r="G796" s="521">
        <f t="shared" si="81"/>
        <v>4.5</v>
      </c>
      <c r="H796" s="381">
        <v>3.1250000000000002E-3</v>
      </c>
      <c r="I796" s="334">
        <f t="shared" si="82"/>
        <v>20.25</v>
      </c>
      <c r="J796" s="334">
        <f t="shared" si="83"/>
        <v>54</v>
      </c>
      <c r="Q796" s="101">
        <f t="shared" si="84"/>
        <v>2017</v>
      </c>
    </row>
    <row r="797" spans="1:17" ht="12.75" customHeight="1">
      <c r="A797" s="399" t="s">
        <v>346</v>
      </c>
      <c r="B797" s="333" t="s">
        <v>993</v>
      </c>
      <c r="C797" s="333"/>
      <c r="D797" s="399" t="s">
        <v>994</v>
      </c>
      <c r="E797" s="333">
        <v>201612</v>
      </c>
      <c r="F797" s="431">
        <v>136.18</v>
      </c>
      <c r="G797" s="521">
        <f t="shared" si="81"/>
        <v>4.5</v>
      </c>
      <c r="H797" s="381">
        <v>3.1250000000000002E-3</v>
      </c>
      <c r="I797" s="334">
        <f t="shared" si="82"/>
        <v>1.92</v>
      </c>
      <c r="J797" s="334">
        <f t="shared" si="83"/>
        <v>5.1100000000000003</v>
      </c>
      <c r="Q797" s="101">
        <f t="shared" si="84"/>
        <v>2017</v>
      </c>
    </row>
    <row r="798" spans="1:17" ht="12.75" customHeight="1">
      <c r="A798" s="332" t="s">
        <v>346</v>
      </c>
      <c r="B798" s="333" t="s">
        <v>953</v>
      </c>
      <c r="C798" s="333"/>
      <c r="D798" s="399" t="s">
        <v>954</v>
      </c>
      <c r="E798" s="333">
        <v>201612</v>
      </c>
      <c r="F798" s="431">
        <v>-126629.14</v>
      </c>
      <c r="G798" s="521">
        <f t="shared" si="81"/>
        <v>4.5</v>
      </c>
      <c r="H798" s="381">
        <v>3.1250000000000002E-3</v>
      </c>
      <c r="I798" s="334">
        <f t="shared" si="82"/>
        <v>-1780.72</v>
      </c>
      <c r="J798" s="334">
        <f t="shared" si="83"/>
        <v>-4748.59</v>
      </c>
      <c r="Q798" s="101">
        <f t="shared" si="84"/>
        <v>2017</v>
      </c>
    </row>
    <row r="799" spans="1:17" ht="12.75" customHeight="1">
      <c r="A799" s="332" t="s">
        <v>346</v>
      </c>
      <c r="B799" s="333" t="s">
        <v>1055</v>
      </c>
      <c r="C799" s="333"/>
      <c r="D799" s="332" t="s">
        <v>1056</v>
      </c>
      <c r="E799" s="333">
        <v>201612</v>
      </c>
      <c r="F799" s="334">
        <v>-1.21</v>
      </c>
      <c r="G799" s="521">
        <f t="shared" si="81"/>
        <v>4.5</v>
      </c>
      <c r="H799" s="381">
        <v>3.1250000000000002E-3</v>
      </c>
      <c r="I799" s="334">
        <f t="shared" si="82"/>
        <v>-0.02</v>
      </c>
      <c r="J799" s="334">
        <f t="shared" si="83"/>
        <v>-0.05</v>
      </c>
      <c r="Q799" s="101">
        <f t="shared" si="84"/>
        <v>2017</v>
      </c>
    </row>
    <row r="800" spans="1:17" ht="12.75" customHeight="1">
      <c r="A800" s="332" t="s">
        <v>346</v>
      </c>
      <c r="B800" s="333" t="s">
        <v>862</v>
      </c>
      <c r="C800" s="333"/>
      <c r="D800" s="332" t="s">
        <v>863</v>
      </c>
      <c r="E800" s="333">
        <v>201612</v>
      </c>
      <c r="F800" s="334">
        <v>209466.97</v>
      </c>
      <c r="G800" s="521">
        <f t="shared" si="81"/>
        <v>4.5</v>
      </c>
      <c r="H800" s="381">
        <v>3.1250000000000002E-3</v>
      </c>
      <c r="I800" s="334">
        <f t="shared" si="82"/>
        <v>2945.63</v>
      </c>
      <c r="J800" s="334">
        <f t="shared" si="83"/>
        <v>7855.01</v>
      </c>
      <c r="Q800" s="101">
        <f t="shared" si="84"/>
        <v>2017</v>
      </c>
    </row>
    <row r="801" spans="1:17" ht="12.75" customHeight="1">
      <c r="A801" s="399" t="s">
        <v>346</v>
      </c>
      <c r="B801" s="333" t="s">
        <v>391</v>
      </c>
      <c r="C801" s="333"/>
      <c r="D801" s="399" t="s">
        <v>392</v>
      </c>
      <c r="E801" s="333">
        <v>201612</v>
      </c>
      <c r="F801" s="431">
        <v>141.19999999999999</v>
      </c>
      <c r="G801" s="521">
        <f t="shared" si="81"/>
        <v>4.5</v>
      </c>
      <c r="H801" s="381">
        <v>3.1250000000000002E-3</v>
      </c>
      <c r="I801" s="334">
        <f t="shared" si="82"/>
        <v>1.99</v>
      </c>
      <c r="J801" s="334">
        <f t="shared" si="83"/>
        <v>5.3</v>
      </c>
      <c r="Q801" s="101">
        <f t="shared" si="84"/>
        <v>2017</v>
      </c>
    </row>
    <row r="802" spans="1:17" ht="12.75" customHeight="1">
      <c r="A802" s="332" t="s">
        <v>346</v>
      </c>
      <c r="B802" s="333" t="s">
        <v>377</v>
      </c>
      <c r="C802" s="333"/>
      <c r="D802" s="399" t="s">
        <v>378</v>
      </c>
      <c r="E802" s="333">
        <v>201612</v>
      </c>
      <c r="F802" s="431">
        <v>91879.39</v>
      </c>
      <c r="G802" s="521">
        <f t="shared" si="81"/>
        <v>4.5</v>
      </c>
      <c r="H802" s="381">
        <v>3.1250000000000002E-3</v>
      </c>
      <c r="I802" s="334">
        <f t="shared" si="82"/>
        <v>1292.05</v>
      </c>
      <c r="J802" s="334">
        <f t="shared" si="83"/>
        <v>3445.48</v>
      </c>
      <c r="Q802" s="101">
        <f t="shared" si="84"/>
        <v>2017</v>
      </c>
    </row>
    <row r="803" spans="1:17" ht="12.75" customHeight="1">
      <c r="A803" s="332" t="s">
        <v>346</v>
      </c>
      <c r="B803" s="333" t="s">
        <v>371</v>
      </c>
      <c r="C803" s="333"/>
      <c r="D803" s="332" t="s">
        <v>372</v>
      </c>
      <c r="E803" s="333">
        <v>201612</v>
      </c>
      <c r="F803" s="334">
        <v>25.94</v>
      </c>
      <c r="G803" s="521">
        <f t="shared" si="81"/>
        <v>4.5</v>
      </c>
      <c r="H803" s="381">
        <v>3.1250000000000002E-3</v>
      </c>
      <c r="I803" s="334">
        <f t="shared" si="82"/>
        <v>0.36</v>
      </c>
      <c r="J803" s="334">
        <f t="shared" si="83"/>
        <v>0.97</v>
      </c>
      <c r="Q803" s="101">
        <f t="shared" si="84"/>
        <v>2017</v>
      </c>
    </row>
    <row r="804" spans="1:17" ht="12.75" customHeight="1">
      <c r="A804" s="332" t="s">
        <v>346</v>
      </c>
      <c r="B804" s="333" t="s">
        <v>1045</v>
      </c>
      <c r="C804" s="333"/>
      <c r="D804" s="332" t="s">
        <v>1046</v>
      </c>
      <c r="E804" s="333">
        <v>201612</v>
      </c>
      <c r="F804" s="334">
        <v>-89.07</v>
      </c>
      <c r="G804" s="521">
        <f t="shared" si="81"/>
        <v>4.5</v>
      </c>
      <c r="H804" s="381">
        <v>3.1250000000000002E-3</v>
      </c>
      <c r="I804" s="334">
        <f t="shared" si="82"/>
        <v>-1.25</v>
      </c>
      <c r="J804" s="334">
        <f t="shared" si="83"/>
        <v>-3.34</v>
      </c>
      <c r="Q804" s="101">
        <f t="shared" si="84"/>
        <v>2017</v>
      </c>
    </row>
    <row r="805" spans="1:17" ht="12.75" customHeight="1">
      <c r="A805" s="332" t="s">
        <v>346</v>
      </c>
      <c r="B805" s="333" t="s">
        <v>996</v>
      </c>
      <c r="C805" s="333"/>
      <c r="D805" s="332" t="s">
        <v>997</v>
      </c>
      <c r="E805" s="333">
        <v>201612</v>
      </c>
      <c r="F805" s="334">
        <v>2164.46</v>
      </c>
      <c r="G805" s="521">
        <f t="shared" si="81"/>
        <v>4.5</v>
      </c>
      <c r="H805" s="381">
        <v>3.1250000000000002E-3</v>
      </c>
      <c r="I805" s="334">
        <f t="shared" si="82"/>
        <v>30.44</v>
      </c>
      <c r="J805" s="334">
        <f t="shared" si="83"/>
        <v>81.17</v>
      </c>
      <c r="Q805" s="101">
        <f t="shared" si="84"/>
        <v>2017</v>
      </c>
    </row>
    <row r="806" spans="1:17" ht="12.75" customHeight="1">
      <c r="A806" s="399" t="s">
        <v>346</v>
      </c>
      <c r="B806" s="333" t="s">
        <v>985</v>
      </c>
      <c r="C806" s="333"/>
      <c r="D806" s="399" t="s">
        <v>986</v>
      </c>
      <c r="E806" s="333">
        <v>201612</v>
      </c>
      <c r="F806" s="431">
        <v>2033.7</v>
      </c>
      <c r="G806" s="521">
        <f t="shared" si="81"/>
        <v>4.5</v>
      </c>
      <c r="H806" s="381">
        <v>3.1250000000000002E-3</v>
      </c>
      <c r="I806" s="334">
        <f t="shared" si="82"/>
        <v>28.6</v>
      </c>
      <c r="J806" s="334">
        <f t="shared" si="83"/>
        <v>76.260000000000005</v>
      </c>
      <c r="Q806" s="101">
        <f t="shared" si="84"/>
        <v>2017</v>
      </c>
    </row>
    <row r="807" spans="1:17" ht="12.75" customHeight="1">
      <c r="A807" s="332" t="s">
        <v>346</v>
      </c>
      <c r="B807" s="333" t="s">
        <v>979</v>
      </c>
      <c r="C807" s="333"/>
      <c r="D807" s="399" t="s">
        <v>980</v>
      </c>
      <c r="E807" s="333">
        <v>201612</v>
      </c>
      <c r="F807" s="431">
        <v>2758.35</v>
      </c>
      <c r="G807" s="521">
        <f t="shared" si="81"/>
        <v>4.5</v>
      </c>
      <c r="H807" s="381">
        <v>3.1250000000000002E-3</v>
      </c>
      <c r="I807" s="334">
        <f t="shared" si="82"/>
        <v>38.79</v>
      </c>
      <c r="J807" s="334">
        <f t="shared" si="83"/>
        <v>103.44</v>
      </c>
      <c r="Q807" s="101">
        <f t="shared" si="84"/>
        <v>2017</v>
      </c>
    </row>
    <row r="808" spans="1:17" ht="12.75" customHeight="1">
      <c r="A808" s="332" t="s">
        <v>346</v>
      </c>
      <c r="B808" s="333" t="s">
        <v>951</v>
      </c>
      <c r="C808" s="333"/>
      <c r="D808" s="399" t="s">
        <v>952</v>
      </c>
      <c r="E808" s="333">
        <v>201612</v>
      </c>
      <c r="F808" s="431">
        <v>-146.88</v>
      </c>
      <c r="G808" s="521">
        <f t="shared" si="81"/>
        <v>4.5</v>
      </c>
      <c r="H808" s="381">
        <v>3.1250000000000002E-3</v>
      </c>
      <c r="I808" s="334">
        <f t="shared" si="82"/>
        <v>-2.0699999999999998</v>
      </c>
      <c r="J808" s="334">
        <f t="shared" si="83"/>
        <v>-5.51</v>
      </c>
      <c r="Q808" s="101">
        <f t="shared" si="84"/>
        <v>2017</v>
      </c>
    </row>
    <row r="809" spans="1:17" ht="12.75" customHeight="1">
      <c r="A809" s="332" t="s">
        <v>346</v>
      </c>
      <c r="B809" s="333" t="s">
        <v>805</v>
      </c>
      <c r="C809" s="333"/>
      <c r="D809" s="332" t="s">
        <v>806</v>
      </c>
      <c r="E809" s="333">
        <v>201612</v>
      </c>
      <c r="F809" s="334">
        <v>1.34</v>
      </c>
      <c r="G809" s="521">
        <f t="shared" si="81"/>
        <v>4.5</v>
      </c>
      <c r="H809" s="381">
        <v>3.1250000000000002E-3</v>
      </c>
      <c r="I809" s="334">
        <f t="shared" si="82"/>
        <v>0.02</v>
      </c>
      <c r="J809" s="334">
        <f t="shared" si="83"/>
        <v>0.05</v>
      </c>
      <c r="Q809" s="101">
        <f t="shared" si="84"/>
        <v>2017</v>
      </c>
    </row>
    <row r="810" spans="1:17" ht="12.75" customHeight="1">
      <c r="A810" s="332" t="s">
        <v>346</v>
      </c>
      <c r="B810" s="333" t="s">
        <v>803</v>
      </c>
      <c r="C810" s="333"/>
      <c r="D810" s="332" t="s">
        <v>804</v>
      </c>
      <c r="E810" s="333">
        <v>201612</v>
      </c>
      <c r="F810" s="334">
        <v>-75.89</v>
      </c>
      <c r="G810" s="521">
        <f t="shared" si="81"/>
        <v>4.5</v>
      </c>
      <c r="H810" s="381">
        <v>3.1250000000000002E-3</v>
      </c>
      <c r="I810" s="334">
        <f t="shared" si="82"/>
        <v>-1.07</v>
      </c>
      <c r="J810" s="334">
        <f t="shared" si="83"/>
        <v>-2.85</v>
      </c>
      <c r="Q810" s="101">
        <f t="shared" si="84"/>
        <v>2017</v>
      </c>
    </row>
    <row r="811" spans="1:17" ht="12.75" customHeight="1">
      <c r="A811" s="332" t="s">
        <v>346</v>
      </c>
      <c r="B811" s="333" t="s">
        <v>385</v>
      </c>
      <c r="C811" s="333"/>
      <c r="D811" s="332" t="s">
        <v>386</v>
      </c>
      <c r="E811" s="333">
        <v>201612</v>
      </c>
      <c r="F811" s="334">
        <v>215340.92</v>
      </c>
      <c r="G811" s="521">
        <f t="shared" si="81"/>
        <v>4.5</v>
      </c>
      <c r="H811" s="381">
        <v>3.1250000000000002E-3</v>
      </c>
      <c r="I811" s="334">
        <f t="shared" si="82"/>
        <v>3028.23</v>
      </c>
      <c r="J811" s="334">
        <f t="shared" si="83"/>
        <v>8075.28</v>
      </c>
      <c r="Q811" s="101">
        <f t="shared" si="84"/>
        <v>2017</v>
      </c>
    </row>
    <row r="812" spans="1:17" ht="12.75" customHeight="1">
      <c r="A812" s="399" t="s">
        <v>346</v>
      </c>
      <c r="B812" s="333" t="s">
        <v>349</v>
      </c>
      <c r="C812" s="333"/>
      <c r="D812" s="399" t="s">
        <v>350</v>
      </c>
      <c r="E812" s="333">
        <v>201612</v>
      </c>
      <c r="F812" s="431">
        <v>5569.28</v>
      </c>
      <c r="G812" s="521">
        <f t="shared" si="81"/>
        <v>4.5</v>
      </c>
      <c r="H812" s="381">
        <v>3.1250000000000002E-3</v>
      </c>
      <c r="I812" s="334">
        <f t="shared" si="82"/>
        <v>78.319999999999993</v>
      </c>
      <c r="J812" s="334">
        <f t="shared" si="83"/>
        <v>208.85</v>
      </c>
      <c r="Q812" s="101">
        <f t="shared" si="84"/>
        <v>2017</v>
      </c>
    </row>
    <row r="813" spans="1:17" ht="12.75" customHeight="1">
      <c r="A813" s="332" t="s">
        <v>346</v>
      </c>
      <c r="B813" s="333" t="s">
        <v>854</v>
      </c>
      <c r="C813" s="333"/>
      <c r="D813" s="332" t="s">
        <v>855</v>
      </c>
      <c r="E813" s="333">
        <v>201612</v>
      </c>
      <c r="F813" s="334">
        <v>169857.13</v>
      </c>
      <c r="G813" s="521">
        <f t="shared" si="81"/>
        <v>4.5</v>
      </c>
      <c r="H813" s="381">
        <v>3.1250000000000002E-3</v>
      </c>
      <c r="I813" s="334">
        <f t="shared" si="82"/>
        <v>2388.62</v>
      </c>
      <c r="J813" s="334">
        <f t="shared" si="83"/>
        <v>6369.64</v>
      </c>
      <c r="Q813" s="101">
        <f t="shared" si="84"/>
        <v>2017</v>
      </c>
    </row>
    <row r="814" spans="1:17" ht="12.75" customHeight="1">
      <c r="A814" s="332" t="s">
        <v>346</v>
      </c>
      <c r="B814" s="333" t="s">
        <v>899</v>
      </c>
      <c r="C814" s="333"/>
      <c r="D814" s="332" t="s">
        <v>900</v>
      </c>
      <c r="E814" s="333">
        <v>201612</v>
      </c>
      <c r="F814" s="334">
        <v>2125.7399999999998</v>
      </c>
      <c r="G814" s="521">
        <f t="shared" si="81"/>
        <v>4.5</v>
      </c>
      <c r="H814" s="381">
        <v>3.1250000000000002E-3</v>
      </c>
      <c r="I814" s="334">
        <f t="shared" si="82"/>
        <v>29.89</v>
      </c>
      <c r="J814" s="334">
        <f t="shared" si="83"/>
        <v>79.72</v>
      </c>
      <c r="Q814" s="101">
        <f t="shared" si="84"/>
        <v>2017</v>
      </c>
    </row>
    <row r="815" spans="1:17" ht="12.75" customHeight="1">
      <c r="A815" s="332" t="s">
        <v>346</v>
      </c>
      <c r="B815" s="333" t="s">
        <v>856</v>
      </c>
      <c r="C815" s="333"/>
      <c r="D815" s="332" t="s">
        <v>857</v>
      </c>
      <c r="E815" s="333">
        <v>201612</v>
      </c>
      <c r="F815" s="334">
        <v>0.3</v>
      </c>
      <c r="G815" s="521">
        <f t="shared" si="81"/>
        <v>4.5</v>
      </c>
      <c r="H815" s="381">
        <v>3.1250000000000002E-3</v>
      </c>
      <c r="I815" s="334">
        <f t="shared" si="82"/>
        <v>0</v>
      </c>
      <c r="J815" s="334">
        <f t="shared" si="83"/>
        <v>0.01</v>
      </c>
      <c r="Q815" s="101">
        <f t="shared" si="84"/>
        <v>2017</v>
      </c>
    </row>
    <row r="816" spans="1:17" ht="12.75" customHeight="1">
      <c r="A816" s="332" t="s">
        <v>346</v>
      </c>
      <c r="B816" s="333" t="s">
        <v>1118</v>
      </c>
      <c r="C816" s="333"/>
      <c r="D816" s="332" t="s">
        <v>1119</v>
      </c>
      <c r="E816" s="333">
        <v>201612</v>
      </c>
      <c r="F816" s="334">
        <v>28110.13</v>
      </c>
      <c r="G816" s="521">
        <f t="shared" si="81"/>
        <v>4.5</v>
      </c>
      <c r="H816" s="381">
        <v>3.1250000000000002E-3</v>
      </c>
      <c r="I816" s="334">
        <f t="shared" si="82"/>
        <v>395.3</v>
      </c>
      <c r="J816" s="334">
        <f t="shared" si="83"/>
        <v>1054.1300000000001</v>
      </c>
      <c r="Q816" s="101">
        <f t="shared" si="84"/>
        <v>2017</v>
      </c>
    </row>
    <row r="817" spans="1:17" ht="12.75" customHeight="1">
      <c r="A817" s="332" t="s">
        <v>346</v>
      </c>
      <c r="B817" s="333" t="s">
        <v>1110</v>
      </c>
      <c r="C817" s="333"/>
      <c r="D817" s="332" t="s">
        <v>1111</v>
      </c>
      <c r="E817" s="333">
        <v>201612</v>
      </c>
      <c r="F817" s="334">
        <v>137988.35</v>
      </c>
      <c r="G817" s="521">
        <f t="shared" si="81"/>
        <v>4.5</v>
      </c>
      <c r="H817" s="381">
        <v>3.1250000000000002E-3</v>
      </c>
      <c r="I817" s="334">
        <f t="shared" si="82"/>
        <v>1940.46</v>
      </c>
      <c r="J817" s="334">
        <f t="shared" si="83"/>
        <v>5174.5600000000004</v>
      </c>
      <c r="Q817" s="101">
        <f t="shared" si="84"/>
        <v>2017</v>
      </c>
    </row>
    <row r="818" spans="1:17" ht="12.75" customHeight="1">
      <c r="A818" s="332" t="s">
        <v>346</v>
      </c>
      <c r="B818" s="333" t="s">
        <v>967</v>
      </c>
      <c r="C818" s="333"/>
      <c r="D818" s="332" t="s">
        <v>968</v>
      </c>
      <c r="E818" s="333">
        <v>201612</v>
      </c>
      <c r="F818" s="334">
        <v>141.36000000000001</v>
      </c>
      <c r="G818" s="521">
        <f t="shared" si="81"/>
        <v>4.5</v>
      </c>
      <c r="H818" s="381">
        <v>3.1250000000000002E-3</v>
      </c>
      <c r="I818" s="334">
        <f t="shared" si="82"/>
        <v>1.99</v>
      </c>
      <c r="J818" s="334">
        <f t="shared" si="83"/>
        <v>5.3</v>
      </c>
      <c r="Q818" s="101">
        <f t="shared" si="84"/>
        <v>2017</v>
      </c>
    </row>
    <row r="819" spans="1:17" ht="12.75" customHeight="1">
      <c r="A819" s="399" t="s">
        <v>346</v>
      </c>
      <c r="B819" s="333" t="s">
        <v>983</v>
      </c>
      <c r="C819" s="333"/>
      <c r="D819" s="399" t="s">
        <v>984</v>
      </c>
      <c r="E819" s="333">
        <v>201612</v>
      </c>
      <c r="F819" s="431">
        <v>110.14</v>
      </c>
      <c r="G819" s="521">
        <f t="shared" si="81"/>
        <v>4.5</v>
      </c>
      <c r="H819" s="381">
        <v>3.1250000000000002E-3</v>
      </c>
      <c r="I819" s="334">
        <f t="shared" si="82"/>
        <v>1.55</v>
      </c>
      <c r="J819" s="334">
        <f t="shared" si="83"/>
        <v>4.13</v>
      </c>
      <c r="Q819" s="101">
        <f t="shared" si="84"/>
        <v>2017</v>
      </c>
    </row>
    <row r="820" spans="1:17" ht="12.75" customHeight="1">
      <c r="A820" s="332" t="s">
        <v>346</v>
      </c>
      <c r="B820" s="333" t="s">
        <v>981</v>
      </c>
      <c r="C820" s="333"/>
      <c r="D820" s="399" t="s">
        <v>1014</v>
      </c>
      <c r="E820" s="333">
        <v>201612</v>
      </c>
      <c r="F820" s="431">
        <v>548.98</v>
      </c>
      <c r="G820" s="521">
        <f t="shared" si="81"/>
        <v>4.5</v>
      </c>
      <c r="H820" s="381">
        <v>3.1250000000000002E-3</v>
      </c>
      <c r="I820" s="334">
        <f t="shared" si="82"/>
        <v>7.72</v>
      </c>
      <c r="J820" s="334">
        <f t="shared" si="83"/>
        <v>20.59</v>
      </c>
      <c r="Q820" s="101">
        <f t="shared" si="84"/>
        <v>2017</v>
      </c>
    </row>
    <row r="821" spans="1:17" ht="12.75" customHeight="1">
      <c r="A821" s="332" t="s">
        <v>346</v>
      </c>
      <c r="B821" s="333" t="s">
        <v>977</v>
      </c>
      <c r="C821" s="333"/>
      <c r="D821" s="332" t="s">
        <v>978</v>
      </c>
      <c r="E821" s="333">
        <v>201612</v>
      </c>
      <c r="F821" s="334">
        <v>7.43</v>
      </c>
      <c r="G821" s="521">
        <f t="shared" si="81"/>
        <v>4.5</v>
      </c>
      <c r="H821" s="381">
        <v>3.1250000000000002E-3</v>
      </c>
      <c r="I821" s="334">
        <f t="shared" si="82"/>
        <v>0.1</v>
      </c>
      <c r="J821" s="334">
        <f t="shared" si="83"/>
        <v>0.28000000000000003</v>
      </c>
      <c r="Q821" s="101">
        <f t="shared" si="84"/>
        <v>2017</v>
      </c>
    </row>
    <row r="822" spans="1:17" ht="12.75" customHeight="1">
      <c r="A822" s="332" t="s">
        <v>346</v>
      </c>
      <c r="B822" s="333" t="s">
        <v>1004</v>
      </c>
      <c r="C822" s="333"/>
      <c r="D822" s="332" t="s">
        <v>1005</v>
      </c>
      <c r="E822" s="333">
        <v>201612</v>
      </c>
      <c r="F822" s="334">
        <v>-733.77</v>
      </c>
      <c r="G822" s="521">
        <f t="shared" si="81"/>
        <v>4.5</v>
      </c>
      <c r="H822" s="381">
        <v>3.1250000000000002E-3</v>
      </c>
      <c r="I822" s="334">
        <f t="shared" si="82"/>
        <v>-10.32</v>
      </c>
      <c r="J822" s="334">
        <f t="shared" si="83"/>
        <v>-27.52</v>
      </c>
      <c r="Q822" s="101">
        <f t="shared" si="84"/>
        <v>2017</v>
      </c>
    </row>
    <row r="823" spans="1:17" ht="12.75" customHeight="1">
      <c r="A823" s="332" t="s">
        <v>346</v>
      </c>
      <c r="B823" s="333" t="s">
        <v>1079</v>
      </c>
      <c r="C823" s="333"/>
      <c r="D823" s="332" t="s">
        <v>1080</v>
      </c>
      <c r="E823" s="333">
        <v>201612</v>
      </c>
      <c r="F823" s="334">
        <v>2234.33</v>
      </c>
      <c r="G823" s="521">
        <f t="shared" si="81"/>
        <v>4.5</v>
      </c>
      <c r="H823" s="381">
        <v>3.1250000000000002E-3</v>
      </c>
      <c r="I823" s="334">
        <f t="shared" si="82"/>
        <v>31.42</v>
      </c>
      <c r="J823" s="334">
        <f t="shared" si="83"/>
        <v>83.79</v>
      </c>
      <c r="Q823" s="101">
        <f t="shared" si="84"/>
        <v>2017</v>
      </c>
    </row>
    <row r="824" spans="1:17" ht="12.75" customHeight="1">
      <c r="A824" s="332" t="s">
        <v>346</v>
      </c>
      <c r="B824" s="333" t="s">
        <v>1077</v>
      </c>
      <c r="C824" s="333"/>
      <c r="D824" s="332" t="s">
        <v>1078</v>
      </c>
      <c r="E824" s="333">
        <v>201612</v>
      </c>
      <c r="F824" s="334">
        <v>456.09</v>
      </c>
      <c r="G824" s="521">
        <f t="shared" si="81"/>
        <v>4.5</v>
      </c>
      <c r="H824" s="381">
        <v>3.1250000000000002E-3</v>
      </c>
      <c r="I824" s="334">
        <f t="shared" si="82"/>
        <v>6.41</v>
      </c>
      <c r="J824" s="334">
        <f t="shared" si="83"/>
        <v>17.100000000000001</v>
      </c>
      <c r="Q824" s="101">
        <f t="shared" si="84"/>
        <v>2017</v>
      </c>
    </row>
    <row r="825" spans="1:17" ht="12.75" customHeight="1">
      <c r="A825" s="332" t="s">
        <v>346</v>
      </c>
      <c r="B825" s="333" t="s">
        <v>800</v>
      </c>
      <c r="C825" s="333"/>
      <c r="D825" s="332" t="s">
        <v>830</v>
      </c>
      <c r="E825" s="333">
        <v>201612</v>
      </c>
      <c r="F825" s="334">
        <v>-3775.97</v>
      </c>
      <c r="G825" s="521">
        <f t="shared" si="81"/>
        <v>4.5</v>
      </c>
      <c r="H825" s="381">
        <v>3.1250000000000002E-3</v>
      </c>
      <c r="I825" s="334">
        <f t="shared" si="82"/>
        <v>-53.1</v>
      </c>
      <c r="J825" s="334">
        <f t="shared" si="83"/>
        <v>-141.6</v>
      </c>
      <c r="Q825" s="101">
        <f t="shared" si="84"/>
        <v>2017</v>
      </c>
    </row>
    <row r="826" spans="1:17" ht="12.75" customHeight="1">
      <c r="A826" s="332" t="s">
        <v>346</v>
      </c>
      <c r="B826" s="333" t="s">
        <v>874</v>
      </c>
      <c r="C826" s="333"/>
      <c r="D826" s="399" t="s">
        <v>875</v>
      </c>
      <c r="E826" s="333">
        <v>201612</v>
      </c>
      <c r="F826" s="431">
        <v>106.87</v>
      </c>
      <c r="G826" s="521">
        <f t="shared" si="81"/>
        <v>4.5</v>
      </c>
      <c r="H826" s="381">
        <v>3.1250000000000002E-3</v>
      </c>
      <c r="I826" s="334">
        <f t="shared" si="82"/>
        <v>1.5</v>
      </c>
      <c r="J826" s="334">
        <f t="shared" si="83"/>
        <v>4.01</v>
      </c>
      <c r="Q826" s="101">
        <f t="shared" si="84"/>
        <v>2017</v>
      </c>
    </row>
    <row r="827" spans="1:17" ht="12.75" customHeight="1">
      <c r="A827" s="332" t="s">
        <v>346</v>
      </c>
      <c r="B827" s="333" t="s">
        <v>800</v>
      </c>
      <c r="C827" s="333"/>
      <c r="D827" s="332" t="s">
        <v>830</v>
      </c>
      <c r="E827" s="333">
        <v>201612</v>
      </c>
      <c r="F827" s="334">
        <v>10212.290000000001</v>
      </c>
      <c r="G827" s="521">
        <f t="shared" si="81"/>
        <v>4.5</v>
      </c>
      <c r="H827" s="381">
        <v>3.1250000000000002E-3</v>
      </c>
      <c r="I827" s="334">
        <f t="shared" si="82"/>
        <v>143.61000000000001</v>
      </c>
      <c r="J827" s="334">
        <f t="shared" si="83"/>
        <v>382.96</v>
      </c>
      <c r="Q827" s="101">
        <f t="shared" si="84"/>
        <v>2017</v>
      </c>
    </row>
    <row r="828" spans="1:17" ht="12.75" customHeight="1">
      <c r="A828" s="332" t="s">
        <v>346</v>
      </c>
      <c r="B828" s="333" t="s">
        <v>393</v>
      </c>
      <c r="C828" s="333"/>
      <c r="D828" s="399" t="s">
        <v>394</v>
      </c>
      <c r="E828" s="333">
        <v>201612</v>
      </c>
      <c r="F828" s="431">
        <v>-9944.59</v>
      </c>
      <c r="G828" s="521">
        <f t="shared" si="81"/>
        <v>4.5</v>
      </c>
      <c r="H828" s="381">
        <v>3.1250000000000002E-3</v>
      </c>
      <c r="I828" s="334">
        <f t="shared" si="82"/>
        <v>-139.85</v>
      </c>
      <c r="J828" s="334">
        <f t="shared" si="83"/>
        <v>-372.92</v>
      </c>
      <c r="Q828" s="101">
        <f t="shared" si="84"/>
        <v>2017</v>
      </c>
    </row>
    <row r="829" spans="1:17" ht="12.75" customHeight="1">
      <c r="A829" s="332" t="s">
        <v>346</v>
      </c>
      <c r="B829" s="333" t="s">
        <v>383</v>
      </c>
      <c r="C829" s="333"/>
      <c r="D829" s="332" t="s">
        <v>384</v>
      </c>
      <c r="E829" s="333">
        <v>201612</v>
      </c>
      <c r="F829" s="334">
        <v>-600</v>
      </c>
      <c r="G829" s="521">
        <f t="shared" si="81"/>
        <v>4.5</v>
      </c>
      <c r="H829" s="381">
        <v>3.1250000000000002E-3</v>
      </c>
      <c r="I829" s="334">
        <f t="shared" si="82"/>
        <v>-8.44</v>
      </c>
      <c r="J829" s="334">
        <f t="shared" si="83"/>
        <v>-22.5</v>
      </c>
      <c r="Q829" s="101">
        <f t="shared" si="84"/>
        <v>2017</v>
      </c>
    </row>
    <row r="830" spans="1:17" ht="12.75" customHeight="1">
      <c r="A830" s="332" t="s">
        <v>346</v>
      </c>
      <c r="B830" s="333" t="s">
        <v>375</v>
      </c>
      <c r="C830" s="333"/>
      <c r="D830" s="399" t="s">
        <v>376</v>
      </c>
      <c r="E830" s="333">
        <v>201612</v>
      </c>
      <c r="F830" s="431">
        <v>-9195.1299999999992</v>
      </c>
      <c r="G830" s="521">
        <f t="shared" ref="G830:G893" si="85">VLOOKUP(E830,$N$6:$O$49,2,FALSE)</f>
        <v>4.5</v>
      </c>
      <c r="H830" s="381">
        <v>3.1250000000000002E-3</v>
      </c>
      <c r="I830" s="334">
        <f t="shared" ref="I830:I881" si="86">ROUND(F830*G830*H830,2)</f>
        <v>-129.31</v>
      </c>
      <c r="J830" s="334">
        <f t="shared" ref="J830:J881" si="87">ROUND(F830*H830*12,2)</f>
        <v>-344.82</v>
      </c>
      <c r="Q830" s="101">
        <f t="shared" si="84"/>
        <v>2017</v>
      </c>
    </row>
    <row r="831" spans="1:17" ht="12.75" customHeight="1">
      <c r="A831" s="332" t="s">
        <v>346</v>
      </c>
      <c r="B831" s="333" t="s">
        <v>367</v>
      </c>
      <c r="C831" s="333"/>
      <c r="D831" s="332" t="s">
        <v>368</v>
      </c>
      <c r="E831" s="333">
        <v>201612</v>
      </c>
      <c r="F831" s="334">
        <v>4530.68</v>
      </c>
      <c r="G831" s="521">
        <f t="shared" si="85"/>
        <v>4.5</v>
      </c>
      <c r="H831" s="381">
        <v>3.1250000000000002E-3</v>
      </c>
      <c r="I831" s="334">
        <f t="shared" si="86"/>
        <v>63.71</v>
      </c>
      <c r="J831" s="334">
        <f t="shared" si="87"/>
        <v>169.9</v>
      </c>
      <c r="Q831" s="101">
        <f t="shared" si="84"/>
        <v>2017</v>
      </c>
    </row>
    <row r="832" spans="1:17" ht="12.75" customHeight="1">
      <c r="A832" s="399" t="s">
        <v>346</v>
      </c>
      <c r="B832" s="333" t="s">
        <v>801</v>
      </c>
      <c r="C832" s="333"/>
      <c r="D832" s="399" t="s">
        <v>802</v>
      </c>
      <c r="E832" s="333">
        <v>201612</v>
      </c>
      <c r="F832" s="431">
        <v>-22.46</v>
      </c>
      <c r="G832" s="521">
        <f t="shared" si="85"/>
        <v>4.5</v>
      </c>
      <c r="H832" s="381">
        <v>3.1250000000000002E-3</v>
      </c>
      <c r="I832" s="334">
        <f t="shared" si="86"/>
        <v>-0.32</v>
      </c>
      <c r="J832" s="334">
        <f t="shared" si="87"/>
        <v>-0.84</v>
      </c>
      <c r="Q832" s="101">
        <f t="shared" si="84"/>
        <v>2017</v>
      </c>
    </row>
    <row r="833" spans="1:17" ht="12.75" customHeight="1">
      <c r="A833" s="332" t="s">
        <v>346</v>
      </c>
      <c r="B833" s="333" t="s">
        <v>359</v>
      </c>
      <c r="C833" s="333"/>
      <c r="D833" s="399" t="s">
        <v>360</v>
      </c>
      <c r="E833" s="333">
        <v>201612</v>
      </c>
      <c r="F833" s="431">
        <v>-2.63</v>
      </c>
      <c r="G833" s="521">
        <f t="shared" si="85"/>
        <v>4.5</v>
      </c>
      <c r="H833" s="381">
        <v>3.1250000000000002E-3</v>
      </c>
      <c r="I833" s="334">
        <f t="shared" si="86"/>
        <v>-0.04</v>
      </c>
      <c r="J833" s="334">
        <f t="shared" si="87"/>
        <v>-0.1</v>
      </c>
      <c r="Q833" s="101">
        <f t="shared" si="84"/>
        <v>2017</v>
      </c>
    </row>
    <row r="834" spans="1:17" ht="12.75" customHeight="1">
      <c r="A834" s="332" t="s">
        <v>346</v>
      </c>
      <c r="B834" s="333" t="s">
        <v>1033</v>
      </c>
      <c r="C834" s="333"/>
      <c r="D834" s="332" t="s">
        <v>1034</v>
      </c>
      <c r="E834" s="333">
        <v>201612</v>
      </c>
      <c r="F834" s="334">
        <v>1114.1300000000001</v>
      </c>
      <c r="G834" s="521">
        <f t="shared" si="85"/>
        <v>4.5</v>
      </c>
      <c r="H834" s="381">
        <v>3.1250000000000002E-3</v>
      </c>
      <c r="I834" s="334">
        <f t="shared" si="86"/>
        <v>15.67</v>
      </c>
      <c r="J834" s="334">
        <f t="shared" si="87"/>
        <v>41.78</v>
      </c>
      <c r="Q834" s="101">
        <f t="shared" si="84"/>
        <v>2017</v>
      </c>
    </row>
    <row r="835" spans="1:17" ht="12.75" customHeight="1">
      <c r="A835" s="332" t="s">
        <v>346</v>
      </c>
      <c r="B835" s="333" t="s">
        <v>989</v>
      </c>
      <c r="C835" s="333"/>
      <c r="D835" s="332" t="s">
        <v>990</v>
      </c>
      <c r="E835" s="333">
        <v>201612</v>
      </c>
      <c r="F835" s="334">
        <v>-20.399999999999999</v>
      </c>
      <c r="G835" s="521">
        <f t="shared" si="85"/>
        <v>4.5</v>
      </c>
      <c r="H835" s="381">
        <v>3.1250000000000002E-3</v>
      </c>
      <c r="I835" s="334">
        <f t="shared" si="86"/>
        <v>-0.28999999999999998</v>
      </c>
      <c r="J835" s="334">
        <f t="shared" si="87"/>
        <v>-0.77</v>
      </c>
      <c r="Q835" s="101">
        <f t="shared" si="84"/>
        <v>2017</v>
      </c>
    </row>
    <row r="836" spans="1:17" ht="12.75" customHeight="1">
      <c r="A836" s="332" t="s">
        <v>346</v>
      </c>
      <c r="B836" s="333" t="s">
        <v>1049</v>
      </c>
      <c r="C836" s="333"/>
      <c r="D836" s="332" t="s">
        <v>1050</v>
      </c>
      <c r="E836" s="333">
        <v>201612</v>
      </c>
      <c r="F836" s="334">
        <v>25.84</v>
      </c>
      <c r="G836" s="521">
        <f t="shared" si="85"/>
        <v>4.5</v>
      </c>
      <c r="H836" s="381">
        <v>3.1250000000000002E-3</v>
      </c>
      <c r="I836" s="334">
        <f t="shared" si="86"/>
        <v>0.36</v>
      </c>
      <c r="J836" s="334">
        <f t="shared" si="87"/>
        <v>0.97</v>
      </c>
      <c r="Q836" s="101">
        <f t="shared" si="84"/>
        <v>2017</v>
      </c>
    </row>
    <row r="837" spans="1:17" ht="12.75" customHeight="1">
      <c r="A837" s="332" t="s">
        <v>346</v>
      </c>
      <c r="B837" s="333" t="s">
        <v>682</v>
      </c>
      <c r="C837" s="333"/>
      <c r="D837" s="332" t="s">
        <v>683</v>
      </c>
      <c r="E837" s="333">
        <v>201612</v>
      </c>
      <c r="F837" s="334">
        <v>5885.7</v>
      </c>
      <c r="G837" s="521">
        <f t="shared" si="85"/>
        <v>4.5</v>
      </c>
      <c r="H837" s="381">
        <v>3.1250000000000002E-3</v>
      </c>
      <c r="I837" s="334">
        <f t="shared" si="86"/>
        <v>82.77</v>
      </c>
      <c r="J837" s="334">
        <f t="shared" si="87"/>
        <v>220.71</v>
      </c>
      <c r="Q837" s="101">
        <f t="shared" si="84"/>
        <v>2017</v>
      </c>
    </row>
    <row r="838" spans="1:17" ht="12.75" customHeight="1">
      <c r="A838" s="332" t="s">
        <v>346</v>
      </c>
      <c r="B838" s="333" t="s">
        <v>856</v>
      </c>
      <c r="C838" s="333"/>
      <c r="D838" s="332" t="s">
        <v>857</v>
      </c>
      <c r="E838" s="333">
        <v>201612</v>
      </c>
      <c r="F838" s="334">
        <v>35988.43</v>
      </c>
      <c r="G838" s="521">
        <f t="shared" si="85"/>
        <v>4.5</v>
      </c>
      <c r="H838" s="381">
        <v>3.1250000000000002E-3</v>
      </c>
      <c r="I838" s="334">
        <f t="shared" si="86"/>
        <v>506.09</v>
      </c>
      <c r="J838" s="334">
        <f t="shared" si="87"/>
        <v>1349.57</v>
      </c>
      <c r="Q838" s="101">
        <f t="shared" si="84"/>
        <v>2017</v>
      </c>
    </row>
    <row r="839" spans="1:17" ht="12.75" customHeight="1">
      <c r="A839" s="332" t="s">
        <v>346</v>
      </c>
      <c r="B839" s="333" t="s">
        <v>814</v>
      </c>
      <c r="C839" s="333"/>
      <c r="D839" s="332" t="s">
        <v>815</v>
      </c>
      <c r="E839" s="333">
        <v>201612</v>
      </c>
      <c r="F839" s="334">
        <v>185594.94</v>
      </c>
      <c r="G839" s="521">
        <f t="shared" si="85"/>
        <v>4.5</v>
      </c>
      <c r="H839" s="381">
        <v>3.1250000000000002E-3</v>
      </c>
      <c r="I839" s="334">
        <f t="shared" si="86"/>
        <v>2609.9299999999998</v>
      </c>
      <c r="J839" s="334">
        <f t="shared" si="87"/>
        <v>6959.81</v>
      </c>
      <c r="Q839" s="101">
        <f t="shared" si="84"/>
        <v>2017</v>
      </c>
    </row>
    <row r="840" spans="1:17" ht="12.75" customHeight="1">
      <c r="A840" s="332" t="s">
        <v>346</v>
      </c>
      <c r="B840" s="333" t="s">
        <v>891</v>
      </c>
      <c r="C840" s="333"/>
      <c r="D840" s="332" t="s">
        <v>892</v>
      </c>
      <c r="E840" s="333">
        <v>201612</v>
      </c>
      <c r="F840" s="334">
        <v>11.29</v>
      </c>
      <c r="G840" s="521">
        <f t="shared" si="85"/>
        <v>4.5</v>
      </c>
      <c r="H840" s="381">
        <v>3.1250000000000002E-3</v>
      </c>
      <c r="I840" s="334">
        <f t="shared" si="86"/>
        <v>0.16</v>
      </c>
      <c r="J840" s="334">
        <f t="shared" si="87"/>
        <v>0.42</v>
      </c>
      <c r="Q840" s="101">
        <f t="shared" si="84"/>
        <v>2017</v>
      </c>
    </row>
    <row r="841" spans="1:17" ht="12.75" customHeight="1">
      <c r="A841" s="332" t="s">
        <v>346</v>
      </c>
      <c r="B841" s="333" t="s">
        <v>373</v>
      </c>
      <c r="C841" s="333"/>
      <c r="D841" s="332" t="s">
        <v>374</v>
      </c>
      <c r="E841" s="333">
        <v>201612</v>
      </c>
      <c r="F841" s="334">
        <v>-960</v>
      </c>
      <c r="G841" s="521">
        <f t="shared" si="85"/>
        <v>4.5</v>
      </c>
      <c r="H841" s="381">
        <v>3.1250000000000002E-3</v>
      </c>
      <c r="I841" s="334">
        <f t="shared" si="86"/>
        <v>-13.5</v>
      </c>
      <c r="J841" s="334">
        <f t="shared" si="87"/>
        <v>-36</v>
      </c>
      <c r="Q841" s="101">
        <f t="shared" si="84"/>
        <v>2017</v>
      </c>
    </row>
    <row r="842" spans="1:17" ht="12.75" customHeight="1">
      <c r="A842" s="332" t="s">
        <v>346</v>
      </c>
      <c r="B842" s="333" t="s">
        <v>868</v>
      </c>
      <c r="C842" s="333"/>
      <c r="D842" s="332" t="s">
        <v>869</v>
      </c>
      <c r="E842" s="333">
        <v>201612</v>
      </c>
      <c r="F842" s="334">
        <v>235.62</v>
      </c>
      <c r="G842" s="521">
        <f t="shared" si="85"/>
        <v>4.5</v>
      </c>
      <c r="H842" s="381">
        <v>3.1250000000000002E-3</v>
      </c>
      <c r="I842" s="334">
        <f t="shared" si="86"/>
        <v>3.31</v>
      </c>
      <c r="J842" s="334">
        <f t="shared" si="87"/>
        <v>8.84</v>
      </c>
      <c r="Q842" s="101">
        <f t="shared" si="84"/>
        <v>2017</v>
      </c>
    </row>
    <row r="843" spans="1:17" ht="12.75" customHeight="1">
      <c r="A843" s="332" t="s">
        <v>346</v>
      </c>
      <c r="B843" s="333" t="s">
        <v>355</v>
      </c>
      <c r="C843" s="333"/>
      <c r="D843" s="332" t="s">
        <v>356</v>
      </c>
      <c r="E843" s="333">
        <v>201612</v>
      </c>
      <c r="F843" s="334">
        <v>43366.26</v>
      </c>
      <c r="G843" s="521">
        <f t="shared" si="85"/>
        <v>4.5</v>
      </c>
      <c r="H843" s="381">
        <v>3.1250000000000002E-3</v>
      </c>
      <c r="I843" s="334">
        <f t="shared" si="86"/>
        <v>609.84</v>
      </c>
      <c r="J843" s="334">
        <f t="shared" si="87"/>
        <v>1626.23</v>
      </c>
      <c r="Q843" s="101">
        <f t="shared" si="84"/>
        <v>2017</v>
      </c>
    </row>
    <row r="844" spans="1:17" ht="12.75" customHeight="1">
      <c r="A844" s="332" t="s">
        <v>346</v>
      </c>
      <c r="B844" s="333" t="s">
        <v>1106</v>
      </c>
      <c r="C844" s="333"/>
      <c r="D844" s="332" t="s">
        <v>1107</v>
      </c>
      <c r="E844" s="333">
        <v>201612</v>
      </c>
      <c r="F844" s="334">
        <v>84369.95</v>
      </c>
      <c r="G844" s="521">
        <f t="shared" si="85"/>
        <v>4.5</v>
      </c>
      <c r="H844" s="381">
        <v>3.1250000000000002E-3</v>
      </c>
      <c r="I844" s="334">
        <f t="shared" si="86"/>
        <v>1186.45</v>
      </c>
      <c r="J844" s="334">
        <f t="shared" si="87"/>
        <v>3163.87</v>
      </c>
      <c r="Q844" s="101">
        <f t="shared" si="84"/>
        <v>2017</v>
      </c>
    </row>
    <row r="845" spans="1:17" ht="12.75" customHeight="1">
      <c r="A845" s="399" t="s">
        <v>346</v>
      </c>
      <c r="B845" s="333" t="s">
        <v>963</v>
      </c>
      <c r="C845" s="333"/>
      <c r="D845" s="399" t="s">
        <v>964</v>
      </c>
      <c r="E845" s="333">
        <v>201612</v>
      </c>
      <c r="F845" s="431">
        <v>28.65</v>
      </c>
      <c r="G845" s="521">
        <f t="shared" si="85"/>
        <v>4.5</v>
      </c>
      <c r="H845" s="381">
        <v>3.1250000000000002E-3</v>
      </c>
      <c r="I845" s="334">
        <f t="shared" si="86"/>
        <v>0.4</v>
      </c>
      <c r="J845" s="334">
        <f t="shared" si="87"/>
        <v>1.07</v>
      </c>
      <c r="Q845" s="101">
        <f t="shared" si="84"/>
        <v>2017</v>
      </c>
    </row>
    <row r="846" spans="1:17" ht="12.75" customHeight="1">
      <c r="A846" s="332" t="s">
        <v>346</v>
      </c>
      <c r="B846" s="333" t="s">
        <v>961</v>
      </c>
      <c r="C846" s="333"/>
      <c r="D846" s="332" t="s">
        <v>962</v>
      </c>
      <c r="E846" s="333">
        <v>201612</v>
      </c>
      <c r="F846" s="334">
        <v>-89.13</v>
      </c>
      <c r="G846" s="521">
        <f t="shared" si="85"/>
        <v>4.5</v>
      </c>
      <c r="H846" s="381">
        <v>3.1250000000000002E-3</v>
      </c>
      <c r="I846" s="334">
        <f t="shared" si="86"/>
        <v>-1.25</v>
      </c>
      <c r="J846" s="334">
        <f t="shared" si="87"/>
        <v>-3.34</v>
      </c>
      <c r="Q846" s="101">
        <f t="shared" si="84"/>
        <v>2017</v>
      </c>
    </row>
    <row r="847" spans="1:17" ht="12.75" customHeight="1">
      <c r="A847" s="332" t="s">
        <v>346</v>
      </c>
      <c r="B847" s="333" t="s">
        <v>975</v>
      </c>
      <c r="C847" s="333"/>
      <c r="D847" s="332" t="s">
        <v>976</v>
      </c>
      <c r="E847" s="333">
        <v>201612</v>
      </c>
      <c r="F847" s="334">
        <v>-223.84</v>
      </c>
      <c r="G847" s="521">
        <f t="shared" si="85"/>
        <v>4.5</v>
      </c>
      <c r="H847" s="381">
        <v>3.1250000000000002E-3</v>
      </c>
      <c r="I847" s="334">
        <f t="shared" si="86"/>
        <v>-3.15</v>
      </c>
      <c r="J847" s="334">
        <f t="shared" si="87"/>
        <v>-8.39</v>
      </c>
      <c r="Q847" s="101">
        <f t="shared" si="84"/>
        <v>2017</v>
      </c>
    </row>
    <row r="848" spans="1:17" ht="12.75" customHeight="1">
      <c r="A848" s="332" t="s">
        <v>346</v>
      </c>
      <c r="B848" s="333" t="s">
        <v>973</v>
      </c>
      <c r="C848" s="333"/>
      <c r="D848" s="332" t="s">
        <v>974</v>
      </c>
      <c r="E848" s="333">
        <v>201612</v>
      </c>
      <c r="F848" s="334">
        <v>1688.9</v>
      </c>
      <c r="G848" s="521">
        <f t="shared" si="85"/>
        <v>4.5</v>
      </c>
      <c r="H848" s="381">
        <v>3.1250000000000002E-3</v>
      </c>
      <c r="I848" s="334">
        <f t="shared" si="86"/>
        <v>23.75</v>
      </c>
      <c r="J848" s="334">
        <f t="shared" si="87"/>
        <v>63.33</v>
      </c>
      <c r="Q848" s="101">
        <f t="shared" ref="Q848:Q850" si="88">IF(E848&lt;=$Q$1,$S$5,$S$6)</f>
        <v>2017</v>
      </c>
    </row>
    <row r="849" spans="1:17" ht="12.75" customHeight="1">
      <c r="A849" s="332" t="s">
        <v>346</v>
      </c>
      <c r="B849" s="333" t="s">
        <v>947</v>
      </c>
      <c r="C849" s="333"/>
      <c r="D849" s="332" t="s">
        <v>948</v>
      </c>
      <c r="E849" s="333">
        <v>201612</v>
      </c>
      <c r="F849" s="334">
        <v>175.99</v>
      </c>
      <c r="G849" s="521">
        <f t="shared" si="85"/>
        <v>4.5</v>
      </c>
      <c r="H849" s="381">
        <v>3.1250000000000002E-3</v>
      </c>
      <c r="I849" s="334">
        <f t="shared" si="86"/>
        <v>2.4700000000000002</v>
      </c>
      <c r="J849" s="334">
        <f t="shared" si="87"/>
        <v>6.6</v>
      </c>
      <c r="Q849" s="101">
        <f t="shared" si="88"/>
        <v>2017</v>
      </c>
    </row>
    <row r="850" spans="1:17" ht="12.75" customHeight="1">
      <c r="A850" s="332" t="s">
        <v>346</v>
      </c>
      <c r="B850" s="333" t="s">
        <v>814</v>
      </c>
      <c r="C850" s="333"/>
      <c r="D850" s="332" t="s">
        <v>815</v>
      </c>
      <c r="E850" s="333">
        <v>201612</v>
      </c>
      <c r="F850" s="334">
        <v>-263663.53000000003</v>
      </c>
      <c r="G850" s="521">
        <f t="shared" si="85"/>
        <v>4.5</v>
      </c>
      <c r="H850" s="381">
        <v>3.1250000000000002E-3</v>
      </c>
      <c r="I850" s="334">
        <f t="shared" si="86"/>
        <v>-3707.77</v>
      </c>
      <c r="J850" s="334">
        <f t="shared" si="87"/>
        <v>-9887.3799999999992</v>
      </c>
      <c r="Q850" s="101">
        <f t="shared" si="88"/>
        <v>2017</v>
      </c>
    </row>
    <row r="851" spans="1:17" ht="12.75" customHeight="1">
      <c r="A851" s="332" t="s">
        <v>346</v>
      </c>
      <c r="B851" s="333" t="s">
        <v>1004</v>
      </c>
      <c r="C851" s="333"/>
      <c r="D851" s="332" t="s">
        <v>1005</v>
      </c>
      <c r="E851" s="333">
        <v>201612</v>
      </c>
      <c r="F851" s="334">
        <v>755.48</v>
      </c>
      <c r="G851" s="521">
        <f t="shared" si="85"/>
        <v>4.5</v>
      </c>
      <c r="H851" s="381">
        <v>3.1250000000000002E-3</v>
      </c>
      <c r="I851" s="334">
        <f t="shared" si="86"/>
        <v>10.62</v>
      </c>
      <c r="J851" s="334">
        <f t="shared" si="87"/>
        <v>28.33</v>
      </c>
      <c r="Q851" s="101">
        <f t="shared" ref="Q851:Q962" si="89">IF(E851&lt;=$Q$1,$S$5,$S$6)</f>
        <v>2017</v>
      </c>
    </row>
    <row r="852" spans="1:17" ht="12.75" customHeight="1">
      <c r="A852" s="332" t="s">
        <v>346</v>
      </c>
      <c r="B852" s="333" t="s">
        <v>991</v>
      </c>
      <c r="C852" s="333"/>
      <c r="D852" s="332" t="s">
        <v>992</v>
      </c>
      <c r="E852" s="333">
        <v>201612</v>
      </c>
      <c r="F852" s="334">
        <v>30.94</v>
      </c>
      <c r="G852" s="521">
        <f t="shared" si="85"/>
        <v>4.5</v>
      </c>
      <c r="H852" s="381">
        <v>3.1250000000000002E-3</v>
      </c>
      <c r="I852" s="334">
        <f t="shared" si="86"/>
        <v>0.44</v>
      </c>
      <c r="J852" s="334">
        <f t="shared" si="87"/>
        <v>1.1599999999999999</v>
      </c>
      <c r="Q852" s="101">
        <f t="shared" si="89"/>
        <v>2017</v>
      </c>
    </row>
    <row r="853" spans="1:17" ht="12.75" customHeight="1">
      <c r="A853" s="332" t="s">
        <v>346</v>
      </c>
      <c r="B853" s="333" t="s">
        <v>387</v>
      </c>
      <c r="C853" s="333"/>
      <c r="D853" s="332" t="s">
        <v>388</v>
      </c>
      <c r="E853" s="333">
        <v>201612</v>
      </c>
      <c r="F853" s="334">
        <v>320133.75</v>
      </c>
      <c r="G853" s="521">
        <f t="shared" si="85"/>
        <v>4.5</v>
      </c>
      <c r="H853" s="381">
        <v>3.1250000000000002E-3</v>
      </c>
      <c r="I853" s="334">
        <f t="shared" si="86"/>
        <v>4501.88</v>
      </c>
      <c r="J853" s="334">
        <f t="shared" si="87"/>
        <v>12005.02</v>
      </c>
      <c r="Q853" s="101">
        <f t="shared" si="89"/>
        <v>2017</v>
      </c>
    </row>
    <row r="854" spans="1:17" ht="12.75" customHeight="1">
      <c r="A854" s="332" t="s">
        <v>346</v>
      </c>
      <c r="B854" s="333" t="s">
        <v>395</v>
      </c>
      <c r="C854" s="333"/>
      <c r="D854" s="332" t="s">
        <v>396</v>
      </c>
      <c r="E854" s="333">
        <v>201612</v>
      </c>
      <c r="F854" s="334">
        <v>-43778.89</v>
      </c>
      <c r="G854" s="521">
        <f t="shared" si="85"/>
        <v>4.5</v>
      </c>
      <c r="H854" s="381">
        <v>3.1250000000000002E-3</v>
      </c>
      <c r="I854" s="334">
        <f t="shared" si="86"/>
        <v>-615.64</v>
      </c>
      <c r="J854" s="334">
        <f t="shared" si="87"/>
        <v>-1641.71</v>
      </c>
      <c r="Q854" s="101">
        <f t="shared" si="89"/>
        <v>2017</v>
      </c>
    </row>
    <row r="855" spans="1:17" ht="12.75" customHeight="1">
      <c r="A855" s="332" t="s">
        <v>346</v>
      </c>
      <c r="B855" s="333" t="s">
        <v>889</v>
      </c>
      <c r="C855" s="333"/>
      <c r="D855" s="332" t="s">
        <v>890</v>
      </c>
      <c r="E855" s="333">
        <v>201612</v>
      </c>
      <c r="F855" s="334">
        <v>-0.96</v>
      </c>
      <c r="G855" s="521">
        <f t="shared" si="85"/>
        <v>4.5</v>
      </c>
      <c r="H855" s="381">
        <v>3.1250000000000002E-3</v>
      </c>
      <c r="I855" s="334">
        <f t="shared" si="86"/>
        <v>-0.01</v>
      </c>
      <c r="J855" s="334">
        <f t="shared" si="87"/>
        <v>-0.04</v>
      </c>
      <c r="Q855" s="101">
        <f t="shared" si="89"/>
        <v>2017</v>
      </c>
    </row>
    <row r="856" spans="1:17" ht="12.75" customHeight="1">
      <c r="A856" s="332" t="s">
        <v>346</v>
      </c>
      <c r="B856" s="333" t="s">
        <v>1108</v>
      </c>
      <c r="C856" s="333"/>
      <c r="D856" s="332" t="s">
        <v>1109</v>
      </c>
      <c r="E856" s="522">
        <v>201612</v>
      </c>
      <c r="F856" s="334">
        <v>253058.79</v>
      </c>
      <c r="G856" s="521">
        <f t="shared" si="85"/>
        <v>4.5</v>
      </c>
      <c r="H856" s="381">
        <v>3.1250000000000002E-3</v>
      </c>
      <c r="I856" s="334">
        <f t="shared" si="86"/>
        <v>3558.64</v>
      </c>
      <c r="J856" s="334">
        <f t="shared" si="87"/>
        <v>9489.7000000000007</v>
      </c>
      <c r="Q856" s="101">
        <f t="shared" si="89"/>
        <v>2017</v>
      </c>
    </row>
    <row r="857" spans="1:17" ht="12.75" customHeight="1">
      <c r="A857" s="332" t="s">
        <v>346</v>
      </c>
      <c r="B857" s="333" t="s">
        <v>369</v>
      </c>
      <c r="C857" s="333"/>
      <c r="D857" s="332" t="s">
        <v>370</v>
      </c>
      <c r="E857" s="333">
        <v>201612</v>
      </c>
      <c r="F857" s="334">
        <v>-6105.08</v>
      </c>
      <c r="G857" s="521">
        <f t="shared" si="85"/>
        <v>4.5</v>
      </c>
      <c r="H857" s="381">
        <v>3.1250000000000002E-3</v>
      </c>
      <c r="I857" s="334">
        <f t="shared" si="86"/>
        <v>-85.85</v>
      </c>
      <c r="J857" s="334">
        <f t="shared" si="87"/>
        <v>-228.94</v>
      </c>
      <c r="Q857" s="101">
        <f t="shared" si="89"/>
        <v>2017</v>
      </c>
    </row>
    <row r="858" spans="1:17" ht="12.75" customHeight="1">
      <c r="A858" s="332" t="s">
        <v>346</v>
      </c>
      <c r="B858" s="333" t="s">
        <v>1006</v>
      </c>
      <c r="C858" s="333"/>
      <c r="D858" s="332" t="s">
        <v>1007</v>
      </c>
      <c r="E858" s="333">
        <v>201612</v>
      </c>
      <c r="F858" s="334">
        <v>7.63</v>
      </c>
      <c r="G858" s="521">
        <f t="shared" si="85"/>
        <v>4.5</v>
      </c>
      <c r="H858" s="381">
        <v>3.1250000000000002E-3</v>
      </c>
      <c r="I858" s="334">
        <f t="shared" si="86"/>
        <v>0.11</v>
      </c>
      <c r="J858" s="334">
        <f t="shared" si="87"/>
        <v>0.28999999999999998</v>
      </c>
      <c r="Q858" s="101">
        <f t="shared" si="89"/>
        <v>2017</v>
      </c>
    </row>
    <row r="859" spans="1:17" ht="12.75" customHeight="1">
      <c r="A859" s="332" t="s">
        <v>346</v>
      </c>
      <c r="B859" s="333" t="s">
        <v>661</v>
      </c>
      <c r="C859" s="333"/>
      <c r="D859" s="332" t="s">
        <v>662</v>
      </c>
      <c r="E859" s="333">
        <v>201612</v>
      </c>
      <c r="F859" s="334">
        <v>-43.24</v>
      </c>
      <c r="G859" s="521">
        <f t="shared" si="85"/>
        <v>4.5</v>
      </c>
      <c r="H859" s="381">
        <v>3.1250000000000002E-3</v>
      </c>
      <c r="I859" s="334">
        <f t="shared" si="86"/>
        <v>-0.61</v>
      </c>
      <c r="J859" s="334">
        <f t="shared" si="87"/>
        <v>-1.62</v>
      </c>
      <c r="Q859" s="101">
        <f t="shared" si="89"/>
        <v>2017</v>
      </c>
    </row>
    <row r="860" spans="1:17" ht="12.75" customHeight="1">
      <c r="A860" s="332" t="s">
        <v>346</v>
      </c>
      <c r="B860" s="333" t="s">
        <v>800</v>
      </c>
      <c r="C860" s="333"/>
      <c r="D860" s="332" t="s">
        <v>830</v>
      </c>
      <c r="E860" s="333">
        <v>201612</v>
      </c>
      <c r="F860" s="334">
        <v>-1496.2</v>
      </c>
      <c r="G860" s="521">
        <f t="shared" si="85"/>
        <v>4.5</v>
      </c>
      <c r="H860" s="381">
        <v>3.1250000000000002E-3</v>
      </c>
      <c r="I860" s="334">
        <f t="shared" si="86"/>
        <v>-21.04</v>
      </c>
      <c r="J860" s="334">
        <f t="shared" si="87"/>
        <v>-56.11</v>
      </c>
      <c r="Q860" s="101">
        <f t="shared" si="89"/>
        <v>2017</v>
      </c>
    </row>
    <row r="861" spans="1:17" ht="12.75" customHeight="1">
      <c r="A861" s="332" t="s">
        <v>346</v>
      </c>
      <c r="B861" s="333" t="s">
        <v>870</v>
      </c>
      <c r="C861" s="333"/>
      <c r="D861" s="332" t="s">
        <v>871</v>
      </c>
      <c r="E861" s="333">
        <v>201612</v>
      </c>
      <c r="F861" s="334">
        <v>-128.26</v>
      </c>
      <c r="G861" s="521">
        <f t="shared" si="85"/>
        <v>4.5</v>
      </c>
      <c r="H861" s="381">
        <v>3.1250000000000002E-3</v>
      </c>
      <c r="I861" s="334">
        <f t="shared" si="86"/>
        <v>-1.8</v>
      </c>
      <c r="J861" s="334">
        <f t="shared" si="87"/>
        <v>-4.8099999999999996</v>
      </c>
      <c r="Q861" s="101">
        <f t="shared" si="89"/>
        <v>2017</v>
      </c>
    </row>
    <row r="862" spans="1:17" ht="12.75" customHeight="1">
      <c r="A862" s="332" t="s">
        <v>346</v>
      </c>
      <c r="B862" s="333" t="s">
        <v>852</v>
      </c>
      <c r="C862" s="333"/>
      <c r="D862" s="332" t="s">
        <v>853</v>
      </c>
      <c r="E862" s="333">
        <v>201612</v>
      </c>
      <c r="F862" s="334">
        <v>192.61</v>
      </c>
      <c r="G862" s="521">
        <f t="shared" si="85"/>
        <v>4.5</v>
      </c>
      <c r="H862" s="381">
        <v>3.1250000000000002E-3</v>
      </c>
      <c r="I862" s="334">
        <f t="shared" si="86"/>
        <v>2.71</v>
      </c>
      <c r="J862" s="334">
        <f t="shared" si="87"/>
        <v>7.22</v>
      </c>
      <c r="Q862" s="101">
        <f t="shared" si="89"/>
        <v>2017</v>
      </c>
    </row>
    <row r="863" spans="1:17" ht="12.75" customHeight="1">
      <c r="A863" s="332" t="s">
        <v>346</v>
      </c>
      <c r="B863" s="333" t="s">
        <v>846</v>
      </c>
      <c r="C863" s="333"/>
      <c r="D863" s="332" t="s">
        <v>847</v>
      </c>
      <c r="E863" s="333">
        <v>201612</v>
      </c>
      <c r="F863" s="334">
        <v>227.85</v>
      </c>
      <c r="G863" s="521">
        <f t="shared" si="85"/>
        <v>4.5</v>
      </c>
      <c r="H863" s="381">
        <v>3.1250000000000002E-3</v>
      </c>
      <c r="I863" s="334">
        <f t="shared" si="86"/>
        <v>3.2</v>
      </c>
      <c r="J863" s="334">
        <f t="shared" si="87"/>
        <v>8.5399999999999991</v>
      </c>
      <c r="Q863" s="101">
        <f t="shared" si="89"/>
        <v>2017</v>
      </c>
    </row>
    <row r="864" spans="1:17" ht="12.75" customHeight="1">
      <c r="A864" s="332" t="s">
        <v>346</v>
      </c>
      <c r="B864" s="333" t="s">
        <v>838</v>
      </c>
      <c r="C864" s="333"/>
      <c r="D864" s="332" t="s">
        <v>1015</v>
      </c>
      <c r="E864" s="333">
        <v>201612</v>
      </c>
      <c r="F864" s="334">
        <v>-111283.31</v>
      </c>
      <c r="G864" s="521">
        <f t="shared" si="85"/>
        <v>4.5</v>
      </c>
      <c r="H864" s="381">
        <v>3.1250000000000002E-3</v>
      </c>
      <c r="I864" s="334">
        <f t="shared" si="86"/>
        <v>-1564.92</v>
      </c>
      <c r="J864" s="334">
        <f t="shared" si="87"/>
        <v>-4173.12</v>
      </c>
      <c r="Q864" s="101">
        <f t="shared" si="89"/>
        <v>2017</v>
      </c>
    </row>
    <row r="865" spans="1:17" ht="12.75" customHeight="1">
      <c r="A865" s="332" t="s">
        <v>346</v>
      </c>
      <c r="B865" s="333" t="s">
        <v>389</v>
      </c>
      <c r="C865" s="333"/>
      <c r="D865" s="332" t="s">
        <v>390</v>
      </c>
      <c r="E865" s="333">
        <v>201612</v>
      </c>
      <c r="F865" s="334">
        <v>-1.29</v>
      </c>
      <c r="G865" s="521">
        <f t="shared" si="85"/>
        <v>4.5</v>
      </c>
      <c r="H865" s="381">
        <v>3.1250000000000002E-3</v>
      </c>
      <c r="I865" s="334">
        <f t="shared" si="86"/>
        <v>-0.02</v>
      </c>
      <c r="J865" s="334">
        <f t="shared" si="87"/>
        <v>-0.05</v>
      </c>
      <c r="Q865" s="101">
        <f t="shared" si="89"/>
        <v>2017</v>
      </c>
    </row>
    <row r="866" spans="1:17" ht="12.75" customHeight="1">
      <c r="A866" s="332" t="s">
        <v>346</v>
      </c>
      <c r="B866" s="333" t="s">
        <v>953</v>
      </c>
      <c r="C866" s="333"/>
      <c r="D866" s="332" t="s">
        <v>954</v>
      </c>
      <c r="E866" s="333">
        <v>201612</v>
      </c>
      <c r="F866" s="334">
        <v>114952.87</v>
      </c>
      <c r="G866" s="521">
        <f t="shared" si="85"/>
        <v>4.5</v>
      </c>
      <c r="H866" s="381">
        <v>3.1250000000000002E-3</v>
      </c>
      <c r="I866" s="334">
        <f t="shared" si="86"/>
        <v>1616.52</v>
      </c>
      <c r="J866" s="334">
        <f t="shared" si="87"/>
        <v>4310.7299999999996</v>
      </c>
      <c r="Q866" s="101">
        <f t="shared" si="89"/>
        <v>2017</v>
      </c>
    </row>
    <row r="867" spans="1:17" ht="12.75" customHeight="1">
      <c r="A867" s="332" t="s">
        <v>346</v>
      </c>
      <c r="B867" s="333" t="s">
        <v>369</v>
      </c>
      <c r="C867" s="333"/>
      <c r="D867" s="332" t="s">
        <v>370</v>
      </c>
      <c r="E867" s="333">
        <v>201612</v>
      </c>
      <c r="F867" s="334">
        <v>26147.82</v>
      </c>
      <c r="G867" s="521">
        <f t="shared" si="85"/>
        <v>4.5</v>
      </c>
      <c r="H867" s="381">
        <v>3.1250000000000002E-3</v>
      </c>
      <c r="I867" s="334">
        <f t="shared" si="86"/>
        <v>367.7</v>
      </c>
      <c r="J867" s="334">
        <f t="shared" si="87"/>
        <v>980.54</v>
      </c>
      <c r="Q867" s="101">
        <f t="shared" si="89"/>
        <v>2017</v>
      </c>
    </row>
    <row r="868" spans="1:17" ht="12.75" customHeight="1">
      <c r="A868" s="332" t="s">
        <v>346</v>
      </c>
      <c r="B868" s="333" t="s">
        <v>353</v>
      </c>
      <c r="C868" s="333"/>
      <c r="D868" s="332" t="s">
        <v>354</v>
      </c>
      <c r="E868" s="333">
        <v>201612</v>
      </c>
      <c r="F868" s="334">
        <v>-1450</v>
      </c>
      <c r="G868" s="521">
        <f t="shared" si="85"/>
        <v>4.5</v>
      </c>
      <c r="H868" s="381">
        <v>3.1250000000000002E-3</v>
      </c>
      <c r="I868" s="334">
        <f t="shared" si="86"/>
        <v>-20.39</v>
      </c>
      <c r="J868" s="334">
        <f t="shared" si="87"/>
        <v>-54.38</v>
      </c>
      <c r="Q868" s="101">
        <f t="shared" si="89"/>
        <v>2017</v>
      </c>
    </row>
    <row r="869" spans="1:17" ht="12.75" customHeight="1">
      <c r="A869" s="332" t="s">
        <v>346</v>
      </c>
      <c r="B869" s="333" t="s">
        <v>351</v>
      </c>
      <c r="C869" s="333"/>
      <c r="D869" s="332" t="s">
        <v>352</v>
      </c>
      <c r="E869" s="333">
        <v>201612</v>
      </c>
      <c r="F869" s="334">
        <v>20555.490000000002</v>
      </c>
      <c r="G869" s="521">
        <f t="shared" si="85"/>
        <v>4.5</v>
      </c>
      <c r="H869" s="381">
        <v>3.1250000000000002E-3</v>
      </c>
      <c r="I869" s="334">
        <f t="shared" si="86"/>
        <v>289.06</v>
      </c>
      <c r="J869" s="334">
        <f t="shared" si="87"/>
        <v>770.83</v>
      </c>
      <c r="Q869" s="101">
        <f t="shared" si="89"/>
        <v>2017</v>
      </c>
    </row>
    <row r="870" spans="1:17" ht="12.75" customHeight="1">
      <c r="A870" s="332" t="s">
        <v>346</v>
      </c>
      <c r="B870" s="333" t="s">
        <v>629</v>
      </c>
      <c r="C870" s="333"/>
      <c r="D870" s="332" t="s">
        <v>630</v>
      </c>
      <c r="E870" s="333">
        <v>201612</v>
      </c>
      <c r="F870" s="334">
        <v>22.89</v>
      </c>
      <c r="G870" s="521">
        <f t="shared" si="85"/>
        <v>4.5</v>
      </c>
      <c r="H870" s="381">
        <v>3.1250000000000002E-3</v>
      </c>
      <c r="I870" s="334">
        <f t="shared" si="86"/>
        <v>0.32</v>
      </c>
      <c r="J870" s="334">
        <f t="shared" si="87"/>
        <v>0.86</v>
      </c>
      <c r="Q870" s="101">
        <f t="shared" si="89"/>
        <v>2017</v>
      </c>
    </row>
    <row r="871" spans="1:17" ht="12.75" customHeight="1">
      <c r="A871" s="332" t="s">
        <v>346</v>
      </c>
      <c r="B871" s="333" t="s">
        <v>882</v>
      </c>
      <c r="C871" s="333"/>
      <c r="D871" s="332" t="s">
        <v>995</v>
      </c>
      <c r="E871" s="333">
        <v>201612</v>
      </c>
      <c r="F871" s="334">
        <v>-30154.45</v>
      </c>
      <c r="G871" s="521">
        <f t="shared" si="85"/>
        <v>4.5</v>
      </c>
      <c r="H871" s="381">
        <v>3.1250000000000002E-3</v>
      </c>
      <c r="I871" s="334">
        <f t="shared" si="86"/>
        <v>-424.05</v>
      </c>
      <c r="J871" s="334">
        <f t="shared" si="87"/>
        <v>-1130.79</v>
      </c>
      <c r="Q871" s="101">
        <f t="shared" si="89"/>
        <v>2017</v>
      </c>
    </row>
    <row r="872" spans="1:17" ht="12.75" customHeight="1">
      <c r="A872" s="332" t="s">
        <v>346</v>
      </c>
      <c r="B872" s="333" t="s">
        <v>876</v>
      </c>
      <c r="C872" s="333"/>
      <c r="D872" s="332" t="s">
        <v>877</v>
      </c>
      <c r="E872" s="333">
        <v>201612</v>
      </c>
      <c r="F872" s="334">
        <v>-20.91</v>
      </c>
      <c r="G872" s="521">
        <f t="shared" si="85"/>
        <v>4.5</v>
      </c>
      <c r="H872" s="381">
        <v>3.1250000000000002E-3</v>
      </c>
      <c r="I872" s="334">
        <f t="shared" si="86"/>
        <v>-0.28999999999999998</v>
      </c>
      <c r="J872" s="334">
        <f t="shared" si="87"/>
        <v>-0.78</v>
      </c>
      <c r="Q872" s="101">
        <f t="shared" si="89"/>
        <v>2017</v>
      </c>
    </row>
    <row r="873" spans="1:17" ht="12.75" customHeight="1">
      <c r="A873" s="332" t="s">
        <v>346</v>
      </c>
      <c r="B873" s="333" t="s">
        <v>1112</v>
      </c>
      <c r="C873" s="333"/>
      <c r="D873" s="399" t="s">
        <v>1113</v>
      </c>
      <c r="E873" s="333">
        <v>201612</v>
      </c>
      <c r="F873" s="431">
        <v>40653.26</v>
      </c>
      <c r="G873" s="521">
        <f t="shared" si="85"/>
        <v>4.5</v>
      </c>
      <c r="H873" s="381">
        <v>3.1250000000000002E-3</v>
      </c>
      <c r="I873" s="334">
        <f t="shared" si="86"/>
        <v>571.69000000000005</v>
      </c>
      <c r="J873" s="334">
        <f t="shared" si="87"/>
        <v>1524.5</v>
      </c>
      <c r="Q873" s="101">
        <f t="shared" si="89"/>
        <v>2017</v>
      </c>
    </row>
    <row r="874" spans="1:17" ht="12.75" customHeight="1">
      <c r="A874" s="332" t="s">
        <v>346</v>
      </c>
      <c r="B874" s="333" t="s">
        <v>1041</v>
      </c>
      <c r="C874" s="333"/>
      <c r="D874" s="332" t="s">
        <v>1042</v>
      </c>
      <c r="E874" s="333">
        <v>201612</v>
      </c>
      <c r="F874" s="334">
        <v>-93.87</v>
      </c>
      <c r="G874" s="521">
        <f t="shared" si="85"/>
        <v>4.5</v>
      </c>
      <c r="H874" s="381">
        <v>3.1250000000000002E-3</v>
      </c>
      <c r="I874" s="334">
        <f t="shared" si="86"/>
        <v>-1.32</v>
      </c>
      <c r="J874" s="334">
        <f t="shared" si="87"/>
        <v>-3.52</v>
      </c>
      <c r="Q874" s="101">
        <f t="shared" si="89"/>
        <v>2017</v>
      </c>
    </row>
    <row r="875" spans="1:17" ht="12.75" customHeight="1">
      <c r="A875" s="332" t="s">
        <v>346</v>
      </c>
      <c r="B875" s="333" t="s">
        <v>987</v>
      </c>
      <c r="C875" s="333"/>
      <c r="D875" s="332" t="s">
        <v>988</v>
      </c>
      <c r="E875" s="333">
        <v>201612</v>
      </c>
      <c r="F875" s="334">
        <v>-1.64</v>
      </c>
      <c r="G875" s="521">
        <f t="shared" si="85"/>
        <v>4.5</v>
      </c>
      <c r="H875" s="381">
        <v>3.1250000000000002E-3</v>
      </c>
      <c r="I875" s="334">
        <f t="shared" si="86"/>
        <v>-0.02</v>
      </c>
      <c r="J875" s="334">
        <f t="shared" si="87"/>
        <v>-0.06</v>
      </c>
      <c r="Q875" s="101">
        <f t="shared" si="89"/>
        <v>2017</v>
      </c>
    </row>
    <row r="876" spans="1:17" ht="12.75" customHeight="1">
      <c r="A876" s="332" t="s">
        <v>346</v>
      </c>
      <c r="B876" s="333" t="s">
        <v>955</v>
      </c>
      <c r="C876" s="333"/>
      <c r="D876" s="332" t="s">
        <v>956</v>
      </c>
      <c r="E876" s="333">
        <v>201612</v>
      </c>
      <c r="F876" s="334">
        <v>21.75</v>
      </c>
      <c r="G876" s="521">
        <f t="shared" si="85"/>
        <v>4.5</v>
      </c>
      <c r="H876" s="381">
        <v>3.1250000000000002E-3</v>
      </c>
      <c r="I876" s="334">
        <f t="shared" si="86"/>
        <v>0.31</v>
      </c>
      <c r="J876" s="334">
        <f t="shared" si="87"/>
        <v>0.82</v>
      </c>
      <c r="Q876" s="101">
        <f t="shared" si="89"/>
        <v>2017</v>
      </c>
    </row>
    <row r="877" spans="1:17" ht="12.75" customHeight="1">
      <c r="A877" s="332" t="s">
        <v>346</v>
      </c>
      <c r="B877" s="333" t="s">
        <v>854</v>
      </c>
      <c r="C877" s="333"/>
      <c r="D877" s="332" t="s">
        <v>855</v>
      </c>
      <c r="E877" s="333">
        <v>201612</v>
      </c>
      <c r="F877" s="334">
        <v>-215411.89</v>
      </c>
      <c r="G877" s="521">
        <f t="shared" si="85"/>
        <v>4.5</v>
      </c>
      <c r="H877" s="381">
        <v>3.1250000000000002E-3</v>
      </c>
      <c r="I877" s="334">
        <f t="shared" si="86"/>
        <v>-3029.23</v>
      </c>
      <c r="J877" s="334">
        <f t="shared" si="87"/>
        <v>-8077.95</v>
      </c>
      <c r="Q877" s="101">
        <f t="shared" si="89"/>
        <v>2017</v>
      </c>
    </row>
    <row r="878" spans="1:17" ht="12.75" customHeight="1">
      <c r="A878" s="332" t="s">
        <v>346</v>
      </c>
      <c r="B878" s="333" t="s">
        <v>842</v>
      </c>
      <c r="C878" s="333"/>
      <c r="D878" s="332" t="s">
        <v>843</v>
      </c>
      <c r="E878" s="333">
        <v>201612</v>
      </c>
      <c r="F878" s="334">
        <v>-201.29</v>
      </c>
      <c r="G878" s="521">
        <f t="shared" si="85"/>
        <v>4.5</v>
      </c>
      <c r="H878" s="381">
        <v>3.1250000000000002E-3</v>
      </c>
      <c r="I878" s="334">
        <f t="shared" si="86"/>
        <v>-2.83</v>
      </c>
      <c r="J878" s="334">
        <f t="shared" si="87"/>
        <v>-7.55</v>
      </c>
      <c r="Q878" s="101">
        <f t="shared" si="89"/>
        <v>2017</v>
      </c>
    </row>
    <row r="879" spans="1:17" ht="12.75" customHeight="1">
      <c r="A879" s="332" t="s">
        <v>346</v>
      </c>
      <c r="B879" s="333" t="s">
        <v>882</v>
      </c>
      <c r="C879" s="333"/>
      <c r="D879" s="332" t="s">
        <v>995</v>
      </c>
      <c r="E879" s="333">
        <v>201612</v>
      </c>
      <c r="F879" s="334">
        <v>33148.54</v>
      </c>
      <c r="G879" s="521">
        <f t="shared" si="85"/>
        <v>4.5</v>
      </c>
      <c r="H879" s="381">
        <v>3.1250000000000002E-3</v>
      </c>
      <c r="I879" s="334">
        <f t="shared" si="86"/>
        <v>466.15</v>
      </c>
      <c r="J879" s="334">
        <f t="shared" si="87"/>
        <v>1243.07</v>
      </c>
      <c r="Q879" s="101">
        <f t="shared" si="89"/>
        <v>2017</v>
      </c>
    </row>
    <row r="880" spans="1:17" ht="12.75" customHeight="1">
      <c r="A880" s="332" t="s">
        <v>346</v>
      </c>
      <c r="B880" s="333" t="s">
        <v>357</v>
      </c>
      <c r="C880" s="333"/>
      <c r="D880" s="332" t="s">
        <v>358</v>
      </c>
      <c r="E880" s="333">
        <v>201612</v>
      </c>
      <c r="F880" s="334">
        <v>5871.93</v>
      </c>
      <c r="G880" s="521">
        <f t="shared" si="85"/>
        <v>4.5</v>
      </c>
      <c r="H880" s="381">
        <v>3.1250000000000002E-3</v>
      </c>
      <c r="I880" s="334">
        <f t="shared" si="86"/>
        <v>82.57</v>
      </c>
      <c r="J880" s="334">
        <f t="shared" si="87"/>
        <v>220.2</v>
      </c>
      <c r="Q880" s="101">
        <f t="shared" si="89"/>
        <v>2017</v>
      </c>
    </row>
    <row r="881" spans="1:17" ht="12.75" customHeight="1">
      <c r="A881" s="332" t="s">
        <v>346</v>
      </c>
      <c r="B881" s="333">
        <v>900889</v>
      </c>
      <c r="C881" s="333"/>
      <c r="D881" s="332" t="s">
        <v>1126</v>
      </c>
      <c r="E881" s="333">
        <v>201612</v>
      </c>
      <c r="F881" s="334">
        <v>-6376.85</v>
      </c>
      <c r="G881" s="521">
        <f t="shared" si="85"/>
        <v>4.5</v>
      </c>
      <c r="H881" s="381">
        <v>3.1250000000000002E-3</v>
      </c>
      <c r="I881" s="334">
        <f t="shared" si="86"/>
        <v>-89.67</v>
      </c>
      <c r="J881" s="334">
        <f t="shared" si="87"/>
        <v>-239.13</v>
      </c>
      <c r="Q881" s="101">
        <f t="shared" si="89"/>
        <v>2017</v>
      </c>
    </row>
    <row r="882" spans="1:17" s="559" customFormat="1" ht="12.75" customHeight="1">
      <c r="A882" s="836" t="s">
        <v>346</v>
      </c>
      <c r="B882" s="836" t="s">
        <v>731</v>
      </c>
      <c r="C882" s="836"/>
      <c r="D882" s="836" t="s">
        <v>732</v>
      </c>
      <c r="E882" s="835">
        <v>201701</v>
      </c>
      <c r="F882" s="837">
        <v>117.75</v>
      </c>
      <c r="G882" s="836">
        <f t="shared" si="85"/>
        <v>3.5</v>
      </c>
      <c r="H882" s="838">
        <v>3.1250000000000002E-3</v>
      </c>
      <c r="I882" s="837">
        <f t="shared" ref="I882:I945" si="90">ROUND(F882*G882*H882,2)</f>
        <v>1.29</v>
      </c>
      <c r="J882" s="837">
        <f t="shared" ref="J882:J945" si="91">ROUND(F882*H882*12,2)</f>
        <v>4.42</v>
      </c>
      <c r="Q882" s="559">
        <f t="shared" si="89"/>
        <v>2017</v>
      </c>
    </row>
    <row r="883" spans="1:17" s="559" customFormat="1" ht="12.75" customHeight="1">
      <c r="A883" s="836" t="s">
        <v>346</v>
      </c>
      <c r="B883" s="836" t="s">
        <v>347</v>
      </c>
      <c r="C883" s="836"/>
      <c r="D883" s="836" t="s">
        <v>348</v>
      </c>
      <c r="E883" s="835">
        <v>201701</v>
      </c>
      <c r="F883" s="837">
        <v>974249.49</v>
      </c>
      <c r="G883" s="836">
        <f t="shared" si="85"/>
        <v>3.5</v>
      </c>
      <c r="H883" s="838">
        <v>3.1250000000000002E-3</v>
      </c>
      <c r="I883" s="837">
        <f t="shared" si="90"/>
        <v>10655.85</v>
      </c>
      <c r="J883" s="837">
        <f t="shared" si="91"/>
        <v>36534.36</v>
      </c>
      <c r="Q883" s="559">
        <f t="shared" si="89"/>
        <v>2017</v>
      </c>
    </row>
    <row r="884" spans="1:17" s="559" customFormat="1" ht="12.75" customHeight="1">
      <c r="A884" s="836" t="s">
        <v>346</v>
      </c>
      <c r="B884" s="836" t="s">
        <v>349</v>
      </c>
      <c r="C884" s="836"/>
      <c r="D884" s="836" t="s">
        <v>350</v>
      </c>
      <c r="E884" s="835">
        <v>201701</v>
      </c>
      <c r="F884" s="837">
        <v>2037.33</v>
      </c>
      <c r="G884" s="836">
        <f t="shared" si="85"/>
        <v>3.5</v>
      </c>
      <c r="H884" s="838">
        <v>3.1250000000000002E-3</v>
      </c>
      <c r="I884" s="837">
        <f t="shared" si="90"/>
        <v>22.28</v>
      </c>
      <c r="J884" s="837">
        <f t="shared" si="91"/>
        <v>76.400000000000006</v>
      </c>
      <c r="Q884" s="559">
        <f t="shared" si="89"/>
        <v>2017</v>
      </c>
    </row>
    <row r="885" spans="1:17" s="559" customFormat="1" ht="12.75" customHeight="1">
      <c r="A885" s="836" t="s">
        <v>346</v>
      </c>
      <c r="B885" s="836" t="s">
        <v>351</v>
      </c>
      <c r="C885" s="836"/>
      <c r="D885" s="836" t="s">
        <v>352</v>
      </c>
      <c r="E885" s="835">
        <v>201701</v>
      </c>
      <c r="F885" s="837">
        <v>-5386.35</v>
      </c>
      <c r="G885" s="836">
        <f t="shared" si="85"/>
        <v>3.5</v>
      </c>
      <c r="H885" s="838">
        <v>3.1250000000000002E-3</v>
      </c>
      <c r="I885" s="837">
        <f t="shared" si="90"/>
        <v>-58.91</v>
      </c>
      <c r="J885" s="837">
        <f t="shared" si="91"/>
        <v>-201.99</v>
      </c>
      <c r="Q885" s="559">
        <f t="shared" si="89"/>
        <v>2017</v>
      </c>
    </row>
    <row r="886" spans="1:17" s="559" customFormat="1" ht="12.75" customHeight="1">
      <c r="A886" s="836" t="s">
        <v>346</v>
      </c>
      <c r="B886" s="836" t="s">
        <v>353</v>
      </c>
      <c r="C886" s="836"/>
      <c r="D886" s="836" t="s">
        <v>354</v>
      </c>
      <c r="E886" s="835">
        <v>201701</v>
      </c>
      <c r="F886" s="837">
        <v>-125</v>
      </c>
      <c r="G886" s="836">
        <f t="shared" si="85"/>
        <v>3.5</v>
      </c>
      <c r="H886" s="838">
        <v>3.1250000000000002E-3</v>
      </c>
      <c r="I886" s="837">
        <f t="shared" si="90"/>
        <v>-1.37</v>
      </c>
      <c r="J886" s="837">
        <f t="shared" si="91"/>
        <v>-4.6900000000000004</v>
      </c>
      <c r="Q886" s="559">
        <f t="shared" si="89"/>
        <v>2017</v>
      </c>
    </row>
    <row r="887" spans="1:17" s="559" customFormat="1" ht="12.75" customHeight="1">
      <c r="A887" s="836" t="s">
        <v>346</v>
      </c>
      <c r="B887" s="836" t="s">
        <v>355</v>
      </c>
      <c r="C887" s="836"/>
      <c r="D887" s="836" t="s">
        <v>356</v>
      </c>
      <c r="E887" s="835">
        <v>201701</v>
      </c>
      <c r="F887" s="837">
        <v>62607.38</v>
      </c>
      <c r="G887" s="836">
        <f t="shared" si="85"/>
        <v>3.5</v>
      </c>
      <c r="H887" s="838">
        <v>3.1250000000000002E-3</v>
      </c>
      <c r="I887" s="837">
        <f t="shared" si="90"/>
        <v>684.77</v>
      </c>
      <c r="J887" s="837">
        <f t="shared" si="91"/>
        <v>2347.7800000000002</v>
      </c>
      <c r="Q887" s="559">
        <f t="shared" si="89"/>
        <v>2017</v>
      </c>
    </row>
    <row r="888" spans="1:17" s="559" customFormat="1" ht="12.75" customHeight="1">
      <c r="A888" s="836" t="s">
        <v>346</v>
      </c>
      <c r="B888" s="836" t="s">
        <v>357</v>
      </c>
      <c r="C888" s="836"/>
      <c r="D888" s="836" t="s">
        <v>358</v>
      </c>
      <c r="E888" s="835">
        <v>201701</v>
      </c>
      <c r="F888" s="837">
        <v>3896.32</v>
      </c>
      <c r="G888" s="836">
        <f t="shared" si="85"/>
        <v>3.5</v>
      </c>
      <c r="H888" s="838">
        <v>3.1250000000000002E-3</v>
      </c>
      <c r="I888" s="837">
        <f t="shared" si="90"/>
        <v>42.62</v>
      </c>
      <c r="J888" s="837">
        <f t="shared" si="91"/>
        <v>146.11000000000001</v>
      </c>
      <c r="Q888" s="559">
        <f t="shared" si="89"/>
        <v>2017</v>
      </c>
    </row>
    <row r="889" spans="1:17" s="559" customFormat="1" ht="12.75" customHeight="1">
      <c r="A889" s="836" t="s">
        <v>346</v>
      </c>
      <c r="B889" s="836" t="s">
        <v>359</v>
      </c>
      <c r="C889" s="836"/>
      <c r="D889" s="836" t="s">
        <v>360</v>
      </c>
      <c r="E889" s="835">
        <v>201701</v>
      </c>
      <c r="F889" s="837">
        <v>-1.1100000000000001</v>
      </c>
      <c r="G889" s="836">
        <f t="shared" si="85"/>
        <v>3.5</v>
      </c>
      <c r="H889" s="838">
        <v>3.1250000000000002E-3</v>
      </c>
      <c r="I889" s="837">
        <f t="shared" si="90"/>
        <v>-0.01</v>
      </c>
      <c r="J889" s="837">
        <f t="shared" si="91"/>
        <v>-0.04</v>
      </c>
      <c r="Q889" s="559">
        <f t="shared" si="89"/>
        <v>2017</v>
      </c>
    </row>
    <row r="890" spans="1:17" s="559" customFormat="1" ht="12.75" customHeight="1">
      <c r="A890" s="836" t="s">
        <v>346</v>
      </c>
      <c r="B890" s="836" t="s">
        <v>361</v>
      </c>
      <c r="C890" s="836"/>
      <c r="D890" s="836" t="s">
        <v>362</v>
      </c>
      <c r="E890" s="835">
        <v>201701</v>
      </c>
      <c r="F890" s="837">
        <v>949.83</v>
      </c>
      <c r="G890" s="836">
        <f t="shared" si="85"/>
        <v>3.5</v>
      </c>
      <c r="H890" s="838">
        <v>3.1250000000000002E-3</v>
      </c>
      <c r="I890" s="837">
        <f t="shared" si="90"/>
        <v>10.39</v>
      </c>
      <c r="J890" s="837">
        <f t="shared" si="91"/>
        <v>35.619999999999997</v>
      </c>
      <c r="Q890" s="559">
        <f t="shared" si="89"/>
        <v>2017</v>
      </c>
    </row>
    <row r="891" spans="1:17" s="559" customFormat="1" ht="12.75" customHeight="1">
      <c r="A891" s="836" t="s">
        <v>346</v>
      </c>
      <c r="B891" s="836" t="s">
        <v>365</v>
      </c>
      <c r="C891" s="836"/>
      <c r="D891" s="836" t="s">
        <v>366</v>
      </c>
      <c r="E891" s="835">
        <v>201701</v>
      </c>
      <c r="F891" s="837">
        <v>-530.41</v>
      </c>
      <c r="G891" s="836">
        <f t="shared" si="85"/>
        <v>3.5</v>
      </c>
      <c r="H891" s="838">
        <v>3.1250000000000002E-3</v>
      </c>
      <c r="I891" s="837">
        <f t="shared" si="90"/>
        <v>-5.8</v>
      </c>
      <c r="J891" s="837">
        <f t="shared" si="91"/>
        <v>-19.89</v>
      </c>
      <c r="Q891" s="559">
        <f t="shared" si="89"/>
        <v>2017</v>
      </c>
    </row>
    <row r="892" spans="1:17" s="559" customFormat="1" ht="12.75" customHeight="1">
      <c r="A892" s="836" t="s">
        <v>346</v>
      </c>
      <c r="B892" s="836" t="s">
        <v>367</v>
      </c>
      <c r="C892" s="836"/>
      <c r="D892" s="836" t="s">
        <v>368</v>
      </c>
      <c r="E892" s="835">
        <v>201701</v>
      </c>
      <c r="F892" s="837">
        <v>9103.39</v>
      </c>
      <c r="G892" s="836">
        <f t="shared" si="85"/>
        <v>3.5</v>
      </c>
      <c r="H892" s="838">
        <v>3.1250000000000002E-3</v>
      </c>
      <c r="I892" s="837">
        <f t="shared" si="90"/>
        <v>99.57</v>
      </c>
      <c r="J892" s="837">
        <f t="shared" si="91"/>
        <v>341.38</v>
      </c>
      <c r="Q892" s="559">
        <f t="shared" si="89"/>
        <v>2017</v>
      </c>
    </row>
    <row r="893" spans="1:17" s="559" customFormat="1" ht="12.75" customHeight="1">
      <c r="A893" s="836" t="s">
        <v>346</v>
      </c>
      <c r="B893" s="836" t="s">
        <v>585</v>
      </c>
      <c r="C893" s="836"/>
      <c r="D893" s="836" t="s">
        <v>586</v>
      </c>
      <c r="E893" s="835">
        <v>201701</v>
      </c>
      <c r="F893" s="837">
        <v>7257.37</v>
      </c>
      <c r="G893" s="836">
        <f t="shared" si="85"/>
        <v>3.5</v>
      </c>
      <c r="H893" s="838">
        <v>3.1250000000000002E-3</v>
      </c>
      <c r="I893" s="837">
        <f t="shared" si="90"/>
        <v>79.38</v>
      </c>
      <c r="J893" s="837">
        <f t="shared" si="91"/>
        <v>272.14999999999998</v>
      </c>
      <c r="Q893" s="559">
        <f t="shared" si="89"/>
        <v>2017</v>
      </c>
    </row>
    <row r="894" spans="1:17" s="559" customFormat="1" ht="12.75" customHeight="1">
      <c r="A894" s="836" t="s">
        <v>346</v>
      </c>
      <c r="B894" s="836" t="s">
        <v>369</v>
      </c>
      <c r="C894" s="836"/>
      <c r="D894" s="836" t="s">
        <v>370</v>
      </c>
      <c r="E894" s="835">
        <v>201701</v>
      </c>
      <c r="F894" s="837">
        <v>7795.95</v>
      </c>
      <c r="G894" s="836">
        <f t="shared" ref="G894:G957" si="92">VLOOKUP(E894,$N$6:$O$49,2,FALSE)</f>
        <v>3.5</v>
      </c>
      <c r="H894" s="838">
        <v>3.1250000000000002E-3</v>
      </c>
      <c r="I894" s="837">
        <f t="shared" si="90"/>
        <v>85.27</v>
      </c>
      <c r="J894" s="837">
        <f t="shared" si="91"/>
        <v>292.35000000000002</v>
      </c>
      <c r="Q894" s="559">
        <f t="shared" si="89"/>
        <v>2017</v>
      </c>
    </row>
    <row r="895" spans="1:17" s="559" customFormat="1" ht="12.75" customHeight="1">
      <c r="A895" s="836" t="s">
        <v>346</v>
      </c>
      <c r="B895" s="836" t="s">
        <v>371</v>
      </c>
      <c r="C895" s="836"/>
      <c r="D895" s="836" t="s">
        <v>372</v>
      </c>
      <c r="E895" s="835">
        <v>201701</v>
      </c>
      <c r="F895" s="837">
        <v>-4.16</v>
      </c>
      <c r="G895" s="836">
        <f t="shared" si="92"/>
        <v>3.5</v>
      </c>
      <c r="H895" s="838">
        <v>3.1250000000000002E-3</v>
      </c>
      <c r="I895" s="837">
        <f t="shared" si="90"/>
        <v>-0.05</v>
      </c>
      <c r="J895" s="837">
        <f t="shared" si="91"/>
        <v>-0.16</v>
      </c>
      <c r="Q895" s="559">
        <f t="shared" si="89"/>
        <v>2017</v>
      </c>
    </row>
    <row r="896" spans="1:17" s="559" customFormat="1" ht="12.75" customHeight="1">
      <c r="A896" s="836" t="s">
        <v>346</v>
      </c>
      <c r="B896" s="836" t="s">
        <v>375</v>
      </c>
      <c r="C896" s="836"/>
      <c r="D896" s="836" t="s">
        <v>376</v>
      </c>
      <c r="E896" s="835">
        <v>201701</v>
      </c>
      <c r="F896" s="837">
        <v>-6566.09</v>
      </c>
      <c r="G896" s="836">
        <f t="shared" si="92"/>
        <v>3.5</v>
      </c>
      <c r="H896" s="838">
        <v>3.1250000000000002E-3</v>
      </c>
      <c r="I896" s="837">
        <f t="shared" si="90"/>
        <v>-71.819999999999993</v>
      </c>
      <c r="J896" s="837">
        <f t="shared" si="91"/>
        <v>-246.23</v>
      </c>
      <c r="Q896" s="559">
        <f t="shared" si="89"/>
        <v>2017</v>
      </c>
    </row>
    <row r="897" spans="1:17" s="559" customFormat="1" ht="12.75" customHeight="1">
      <c r="A897" s="836" t="s">
        <v>346</v>
      </c>
      <c r="B897" s="836" t="s">
        <v>377</v>
      </c>
      <c r="C897" s="836"/>
      <c r="D897" s="836" t="s">
        <v>378</v>
      </c>
      <c r="E897" s="835">
        <v>201701</v>
      </c>
      <c r="F897" s="837">
        <v>100461.71</v>
      </c>
      <c r="G897" s="836">
        <f t="shared" si="92"/>
        <v>3.5</v>
      </c>
      <c r="H897" s="838">
        <v>3.1250000000000002E-3</v>
      </c>
      <c r="I897" s="837">
        <f t="shared" si="90"/>
        <v>1098.8</v>
      </c>
      <c r="J897" s="837">
        <f t="shared" si="91"/>
        <v>3767.31</v>
      </c>
      <c r="Q897" s="559">
        <f t="shared" si="89"/>
        <v>2017</v>
      </c>
    </row>
    <row r="898" spans="1:17" s="559" customFormat="1" ht="12.75" customHeight="1">
      <c r="A898" s="836" t="s">
        <v>346</v>
      </c>
      <c r="B898" s="836" t="s">
        <v>379</v>
      </c>
      <c r="C898" s="836"/>
      <c r="D898" s="836" t="s">
        <v>380</v>
      </c>
      <c r="E898" s="835">
        <v>201701</v>
      </c>
      <c r="F898" s="837">
        <v>866.53</v>
      </c>
      <c r="G898" s="836">
        <f t="shared" si="92"/>
        <v>3.5</v>
      </c>
      <c r="H898" s="838">
        <v>3.1250000000000002E-3</v>
      </c>
      <c r="I898" s="837">
        <f t="shared" si="90"/>
        <v>9.48</v>
      </c>
      <c r="J898" s="837">
        <f t="shared" si="91"/>
        <v>32.49</v>
      </c>
      <c r="Q898" s="559">
        <f t="shared" si="89"/>
        <v>2017</v>
      </c>
    </row>
    <row r="899" spans="1:17" s="559" customFormat="1" ht="12.75" customHeight="1">
      <c r="A899" s="836" t="s">
        <v>346</v>
      </c>
      <c r="B899" s="836" t="s">
        <v>383</v>
      </c>
      <c r="C899" s="836"/>
      <c r="D899" s="836" t="s">
        <v>384</v>
      </c>
      <c r="E899" s="835">
        <v>201701</v>
      </c>
      <c r="F899" s="837">
        <v>420</v>
      </c>
      <c r="G899" s="836">
        <f t="shared" si="92"/>
        <v>3.5</v>
      </c>
      <c r="H899" s="838">
        <v>3.1250000000000002E-3</v>
      </c>
      <c r="I899" s="837">
        <f t="shared" si="90"/>
        <v>4.59</v>
      </c>
      <c r="J899" s="837">
        <f t="shared" si="91"/>
        <v>15.75</v>
      </c>
      <c r="Q899" s="559">
        <f t="shared" si="89"/>
        <v>2017</v>
      </c>
    </row>
    <row r="900" spans="1:17" s="559" customFormat="1" ht="12.75" customHeight="1">
      <c r="A900" s="836" t="s">
        <v>346</v>
      </c>
      <c r="B900" s="836" t="s">
        <v>385</v>
      </c>
      <c r="C900" s="836"/>
      <c r="D900" s="836" t="s">
        <v>386</v>
      </c>
      <c r="E900" s="835">
        <v>201701</v>
      </c>
      <c r="F900" s="837">
        <v>282620.09999999998</v>
      </c>
      <c r="G900" s="836">
        <f t="shared" si="92"/>
        <v>3.5</v>
      </c>
      <c r="H900" s="838">
        <v>3.1250000000000002E-3</v>
      </c>
      <c r="I900" s="837">
        <f t="shared" si="90"/>
        <v>3091.16</v>
      </c>
      <c r="J900" s="837">
        <f t="shared" si="91"/>
        <v>10598.25</v>
      </c>
      <c r="Q900" s="559">
        <f t="shared" si="89"/>
        <v>2017</v>
      </c>
    </row>
    <row r="901" spans="1:17" s="559" customFormat="1" ht="12.75" customHeight="1">
      <c r="A901" s="836" t="s">
        <v>346</v>
      </c>
      <c r="B901" s="836" t="s">
        <v>387</v>
      </c>
      <c r="C901" s="836"/>
      <c r="D901" s="836" t="s">
        <v>388</v>
      </c>
      <c r="E901" s="835">
        <v>201701</v>
      </c>
      <c r="F901" s="837">
        <v>58379.44</v>
      </c>
      <c r="G901" s="836">
        <f t="shared" si="92"/>
        <v>3.5</v>
      </c>
      <c r="H901" s="838">
        <v>3.1250000000000002E-3</v>
      </c>
      <c r="I901" s="837">
        <f t="shared" si="90"/>
        <v>638.53</v>
      </c>
      <c r="J901" s="837">
        <f t="shared" si="91"/>
        <v>2189.23</v>
      </c>
      <c r="Q901" s="559">
        <f t="shared" si="89"/>
        <v>2017</v>
      </c>
    </row>
    <row r="902" spans="1:17" s="559" customFormat="1" ht="12.75" customHeight="1">
      <c r="A902" s="836" t="s">
        <v>346</v>
      </c>
      <c r="B902" s="836" t="s">
        <v>389</v>
      </c>
      <c r="C902" s="836"/>
      <c r="D902" s="836" t="s">
        <v>390</v>
      </c>
      <c r="E902" s="835">
        <v>201701</v>
      </c>
      <c r="F902" s="837">
        <v>-0.28999999999999998</v>
      </c>
      <c r="G902" s="836">
        <f t="shared" si="92"/>
        <v>3.5</v>
      </c>
      <c r="H902" s="838">
        <v>3.1250000000000002E-3</v>
      </c>
      <c r="I902" s="837">
        <f t="shared" si="90"/>
        <v>0</v>
      </c>
      <c r="J902" s="837">
        <f t="shared" si="91"/>
        <v>-0.01</v>
      </c>
      <c r="Q902" s="559">
        <f t="shared" si="89"/>
        <v>2017</v>
      </c>
    </row>
    <row r="903" spans="1:17" s="559" customFormat="1" ht="12.75" customHeight="1">
      <c r="A903" s="836" t="s">
        <v>346</v>
      </c>
      <c r="B903" s="836" t="s">
        <v>391</v>
      </c>
      <c r="C903" s="836"/>
      <c r="D903" s="836" t="s">
        <v>392</v>
      </c>
      <c r="E903" s="835">
        <v>201701</v>
      </c>
      <c r="F903" s="837">
        <v>-297.89999999999998</v>
      </c>
      <c r="G903" s="836">
        <f t="shared" si="92"/>
        <v>3.5</v>
      </c>
      <c r="H903" s="838">
        <v>3.1250000000000002E-3</v>
      </c>
      <c r="I903" s="837">
        <f t="shared" si="90"/>
        <v>-3.26</v>
      </c>
      <c r="J903" s="837">
        <f t="shared" si="91"/>
        <v>-11.17</v>
      </c>
      <c r="Q903" s="559">
        <f t="shared" si="89"/>
        <v>2017</v>
      </c>
    </row>
    <row r="904" spans="1:17" s="559" customFormat="1" ht="12.75" customHeight="1">
      <c r="A904" s="836" t="s">
        <v>346</v>
      </c>
      <c r="B904" s="836" t="s">
        <v>393</v>
      </c>
      <c r="C904" s="836"/>
      <c r="D904" s="836" t="s">
        <v>394</v>
      </c>
      <c r="E904" s="835">
        <v>201701</v>
      </c>
      <c r="F904" s="837">
        <v>-11476.9</v>
      </c>
      <c r="G904" s="836">
        <f t="shared" si="92"/>
        <v>3.5</v>
      </c>
      <c r="H904" s="838">
        <v>3.1250000000000002E-3</v>
      </c>
      <c r="I904" s="837">
        <f t="shared" si="90"/>
        <v>-125.53</v>
      </c>
      <c r="J904" s="837">
        <f t="shared" si="91"/>
        <v>-430.38</v>
      </c>
      <c r="Q904" s="559">
        <f t="shared" si="89"/>
        <v>2017</v>
      </c>
    </row>
    <row r="905" spans="1:17" s="559" customFormat="1" ht="12.75" customHeight="1">
      <c r="A905" s="836" t="s">
        <v>346</v>
      </c>
      <c r="B905" s="836" t="s">
        <v>395</v>
      </c>
      <c r="C905" s="836"/>
      <c r="D905" s="836" t="s">
        <v>396</v>
      </c>
      <c r="E905" s="835">
        <v>201701</v>
      </c>
      <c r="F905" s="837">
        <v>-48033.35</v>
      </c>
      <c r="G905" s="836">
        <f t="shared" si="92"/>
        <v>3.5</v>
      </c>
      <c r="H905" s="838">
        <v>3.1250000000000002E-3</v>
      </c>
      <c r="I905" s="837">
        <f t="shared" si="90"/>
        <v>-525.36</v>
      </c>
      <c r="J905" s="837">
        <f t="shared" si="91"/>
        <v>-1801.25</v>
      </c>
      <c r="Q905" s="559">
        <f t="shared" si="89"/>
        <v>2017</v>
      </c>
    </row>
    <row r="906" spans="1:17" s="559" customFormat="1" ht="12.75" customHeight="1">
      <c r="A906" s="836" t="s">
        <v>346</v>
      </c>
      <c r="B906" s="836" t="s">
        <v>856</v>
      </c>
      <c r="C906" s="836"/>
      <c r="D906" s="836" t="s">
        <v>857</v>
      </c>
      <c r="E906" s="835">
        <v>201701</v>
      </c>
      <c r="F906" s="837">
        <v>-234.06</v>
      </c>
      <c r="G906" s="836">
        <f t="shared" si="92"/>
        <v>3.5</v>
      </c>
      <c r="H906" s="838">
        <v>3.1250000000000002E-3</v>
      </c>
      <c r="I906" s="837">
        <f t="shared" si="90"/>
        <v>-2.56</v>
      </c>
      <c r="J906" s="837">
        <f t="shared" si="91"/>
        <v>-8.7799999999999994</v>
      </c>
      <c r="Q906" s="559">
        <f t="shared" si="89"/>
        <v>2017</v>
      </c>
    </row>
    <row r="907" spans="1:17" s="559" customFormat="1" ht="12.75" customHeight="1">
      <c r="A907" s="836" t="s">
        <v>346</v>
      </c>
      <c r="B907" s="836" t="s">
        <v>800</v>
      </c>
      <c r="C907" s="836"/>
      <c r="D907" s="836" t="s">
        <v>830</v>
      </c>
      <c r="E907" s="835">
        <v>201701</v>
      </c>
      <c r="F907" s="837">
        <v>-19.55</v>
      </c>
      <c r="G907" s="836">
        <f t="shared" si="92"/>
        <v>3.5</v>
      </c>
      <c r="H907" s="838">
        <v>3.1250000000000002E-3</v>
      </c>
      <c r="I907" s="837">
        <f t="shared" si="90"/>
        <v>-0.21</v>
      </c>
      <c r="J907" s="837">
        <f t="shared" si="91"/>
        <v>-0.73</v>
      </c>
      <c r="Q907" s="559">
        <f t="shared" si="89"/>
        <v>2017</v>
      </c>
    </row>
    <row r="908" spans="1:17" s="559" customFormat="1" ht="12.75" customHeight="1">
      <c r="A908" s="836" t="s">
        <v>346</v>
      </c>
      <c r="B908" s="836" t="s">
        <v>629</v>
      </c>
      <c r="C908" s="836"/>
      <c r="D908" s="836" t="s">
        <v>630</v>
      </c>
      <c r="E908" s="835">
        <v>201701</v>
      </c>
      <c r="F908" s="837">
        <v>26.2</v>
      </c>
      <c r="G908" s="836">
        <f t="shared" si="92"/>
        <v>3.5</v>
      </c>
      <c r="H908" s="838">
        <v>3.1250000000000002E-3</v>
      </c>
      <c r="I908" s="837">
        <f t="shared" si="90"/>
        <v>0.28999999999999998</v>
      </c>
      <c r="J908" s="837">
        <f t="shared" si="91"/>
        <v>0.98</v>
      </c>
      <c r="Q908" s="559">
        <f t="shared" si="89"/>
        <v>2017</v>
      </c>
    </row>
    <row r="909" spans="1:17" s="559" customFormat="1" ht="12.75" customHeight="1">
      <c r="A909" s="836" t="s">
        <v>346</v>
      </c>
      <c r="B909" s="836" t="s">
        <v>838</v>
      </c>
      <c r="C909" s="836"/>
      <c r="D909" s="836" t="s">
        <v>1015</v>
      </c>
      <c r="E909" s="835">
        <v>201701</v>
      </c>
      <c r="F909" s="837">
        <v>0.04</v>
      </c>
      <c r="G909" s="836">
        <f t="shared" si="92"/>
        <v>3.5</v>
      </c>
      <c r="H909" s="838">
        <v>3.1250000000000002E-3</v>
      </c>
      <c r="I909" s="837">
        <f t="shared" si="90"/>
        <v>0</v>
      </c>
      <c r="J909" s="837">
        <f t="shared" si="91"/>
        <v>0</v>
      </c>
      <c r="Q909" s="559">
        <f t="shared" si="89"/>
        <v>2017</v>
      </c>
    </row>
    <row r="910" spans="1:17" s="559" customFormat="1" ht="12.75" customHeight="1">
      <c r="A910" s="836" t="s">
        <v>346</v>
      </c>
      <c r="B910" s="836" t="s">
        <v>661</v>
      </c>
      <c r="C910" s="836"/>
      <c r="D910" s="836" t="s">
        <v>662</v>
      </c>
      <c r="E910" s="835">
        <v>201701</v>
      </c>
      <c r="F910" s="837">
        <v>1.77</v>
      </c>
      <c r="G910" s="836">
        <f t="shared" si="92"/>
        <v>3.5</v>
      </c>
      <c r="H910" s="838">
        <v>3.1250000000000002E-3</v>
      </c>
      <c r="I910" s="837">
        <f t="shared" si="90"/>
        <v>0.02</v>
      </c>
      <c r="J910" s="837">
        <f t="shared" si="91"/>
        <v>7.0000000000000007E-2</v>
      </c>
      <c r="Q910" s="559">
        <f t="shared" si="89"/>
        <v>2017</v>
      </c>
    </row>
    <row r="911" spans="1:17" s="559" customFormat="1" ht="12.75" customHeight="1">
      <c r="A911" s="836" t="s">
        <v>346</v>
      </c>
      <c r="B911" s="836" t="s">
        <v>801</v>
      </c>
      <c r="C911" s="836"/>
      <c r="D911" s="836" t="s">
        <v>802</v>
      </c>
      <c r="E911" s="835">
        <v>201701</v>
      </c>
      <c r="F911" s="837">
        <v>0.48</v>
      </c>
      <c r="G911" s="836">
        <f t="shared" si="92"/>
        <v>3.5</v>
      </c>
      <c r="H911" s="838">
        <v>3.1250000000000002E-3</v>
      </c>
      <c r="I911" s="837">
        <f t="shared" si="90"/>
        <v>0.01</v>
      </c>
      <c r="J911" s="837">
        <f t="shared" si="91"/>
        <v>0.02</v>
      </c>
      <c r="Q911" s="559">
        <f t="shared" si="89"/>
        <v>2017</v>
      </c>
    </row>
    <row r="912" spans="1:17" s="559" customFormat="1" ht="12.75" customHeight="1">
      <c r="A912" s="836" t="s">
        <v>346</v>
      </c>
      <c r="B912" s="836" t="s">
        <v>803</v>
      </c>
      <c r="C912" s="836"/>
      <c r="D912" s="836" t="s">
        <v>804</v>
      </c>
      <c r="E912" s="835">
        <v>201701</v>
      </c>
      <c r="F912" s="837">
        <v>3.02</v>
      </c>
      <c r="G912" s="836">
        <f t="shared" si="92"/>
        <v>3.5</v>
      </c>
      <c r="H912" s="838">
        <v>3.1250000000000002E-3</v>
      </c>
      <c r="I912" s="837">
        <f t="shared" si="90"/>
        <v>0.03</v>
      </c>
      <c r="J912" s="837">
        <f t="shared" si="91"/>
        <v>0.11</v>
      </c>
      <c r="Q912" s="559">
        <f t="shared" si="89"/>
        <v>2017</v>
      </c>
    </row>
    <row r="913" spans="1:17" s="559" customFormat="1" ht="12.75" customHeight="1">
      <c r="A913" s="836" t="s">
        <v>346</v>
      </c>
      <c r="B913" s="836" t="s">
        <v>805</v>
      </c>
      <c r="C913" s="836"/>
      <c r="D913" s="836" t="s">
        <v>806</v>
      </c>
      <c r="E913" s="835">
        <v>201701</v>
      </c>
      <c r="F913" s="837">
        <v>-0.1</v>
      </c>
      <c r="G913" s="836">
        <f t="shared" si="92"/>
        <v>3.5</v>
      </c>
      <c r="H913" s="838">
        <v>3.1250000000000002E-3</v>
      </c>
      <c r="I913" s="837">
        <f t="shared" si="90"/>
        <v>0</v>
      </c>
      <c r="J913" s="837">
        <f t="shared" si="91"/>
        <v>0</v>
      </c>
      <c r="Q913" s="559">
        <f t="shared" si="89"/>
        <v>2017</v>
      </c>
    </row>
    <row r="914" spans="1:17" s="559" customFormat="1" ht="12.75" customHeight="1">
      <c r="A914" s="836" t="s">
        <v>346</v>
      </c>
      <c r="B914" s="836" t="s">
        <v>1033</v>
      </c>
      <c r="C914" s="836"/>
      <c r="D914" s="836" t="s">
        <v>1034</v>
      </c>
      <c r="E914" s="835">
        <v>201701</v>
      </c>
      <c r="F914" s="837">
        <v>1277.68</v>
      </c>
      <c r="G914" s="836">
        <f t="shared" si="92"/>
        <v>3.5</v>
      </c>
      <c r="H914" s="838">
        <v>3.1250000000000002E-3</v>
      </c>
      <c r="I914" s="837">
        <f t="shared" si="90"/>
        <v>13.97</v>
      </c>
      <c r="J914" s="837">
        <f t="shared" si="91"/>
        <v>47.91</v>
      </c>
      <c r="Q914" s="559">
        <f t="shared" si="89"/>
        <v>2017</v>
      </c>
    </row>
    <row r="915" spans="1:17" s="559" customFormat="1" ht="12.75" customHeight="1">
      <c r="A915" s="836" t="s">
        <v>346</v>
      </c>
      <c r="B915" s="836" t="s">
        <v>1132</v>
      </c>
      <c r="C915" s="836"/>
      <c r="D915" s="836" t="s">
        <v>1133</v>
      </c>
      <c r="E915" s="835">
        <v>201701</v>
      </c>
      <c r="F915" s="837">
        <v>123.92</v>
      </c>
      <c r="G915" s="836">
        <f t="shared" si="92"/>
        <v>3.5</v>
      </c>
      <c r="H915" s="838">
        <v>3.1250000000000002E-3</v>
      </c>
      <c r="I915" s="837">
        <f t="shared" si="90"/>
        <v>1.36</v>
      </c>
      <c r="J915" s="837">
        <f t="shared" si="91"/>
        <v>4.6500000000000004</v>
      </c>
      <c r="Q915" s="559">
        <f t="shared" si="89"/>
        <v>2017</v>
      </c>
    </row>
    <row r="916" spans="1:17" s="559" customFormat="1" ht="12.75" customHeight="1">
      <c r="A916" s="836" t="s">
        <v>346</v>
      </c>
      <c r="B916" s="836" t="s">
        <v>832</v>
      </c>
      <c r="C916" s="836"/>
      <c r="D916" s="836" t="s">
        <v>833</v>
      </c>
      <c r="E916" s="835">
        <v>201701</v>
      </c>
      <c r="F916" s="837">
        <v>8183.28</v>
      </c>
      <c r="G916" s="836">
        <f t="shared" si="92"/>
        <v>3.5</v>
      </c>
      <c r="H916" s="838">
        <v>3.1250000000000002E-3</v>
      </c>
      <c r="I916" s="837">
        <f t="shared" si="90"/>
        <v>89.5</v>
      </c>
      <c r="J916" s="837">
        <f t="shared" si="91"/>
        <v>306.87</v>
      </c>
      <c r="Q916" s="559">
        <f t="shared" si="89"/>
        <v>2017</v>
      </c>
    </row>
    <row r="917" spans="1:17" s="559" customFormat="1" ht="12.75" customHeight="1">
      <c r="A917" s="836" t="s">
        <v>346</v>
      </c>
      <c r="B917" s="836" t="s">
        <v>947</v>
      </c>
      <c r="C917" s="836"/>
      <c r="D917" s="836" t="s">
        <v>948</v>
      </c>
      <c r="E917" s="835">
        <v>201701</v>
      </c>
      <c r="F917" s="837">
        <v>-56528.71</v>
      </c>
      <c r="G917" s="836">
        <f t="shared" si="92"/>
        <v>3.5</v>
      </c>
      <c r="H917" s="838">
        <v>3.1250000000000002E-3</v>
      </c>
      <c r="I917" s="837">
        <f t="shared" si="90"/>
        <v>-618.28</v>
      </c>
      <c r="J917" s="837">
        <f t="shared" si="91"/>
        <v>-2119.83</v>
      </c>
      <c r="Q917" s="559">
        <f t="shared" si="89"/>
        <v>2017</v>
      </c>
    </row>
    <row r="918" spans="1:17" s="559" customFormat="1" ht="12.75" customHeight="1">
      <c r="A918" s="836" t="s">
        <v>346</v>
      </c>
      <c r="B918" s="836" t="s">
        <v>949</v>
      </c>
      <c r="C918" s="836"/>
      <c r="D918" s="836" t="s">
        <v>950</v>
      </c>
      <c r="E918" s="835">
        <v>201701</v>
      </c>
      <c r="F918" s="837">
        <v>11733.77</v>
      </c>
      <c r="G918" s="836">
        <f t="shared" si="92"/>
        <v>3.5</v>
      </c>
      <c r="H918" s="838">
        <v>3.1250000000000002E-3</v>
      </c>
      <c r="I918" s="837">
        <f t="shared" si="90"/>
        <v>128.34</v>
      </c>
      <c r="J918" s="837">
        <f t="shared" si="91"/>
        <v>440.02</v>
      </c>
      <c r="Q918" s="559">
        <f t="shared" si="89"/>
        <v>2017</v>
      </c>
    </row>
    <row r="919" spans="1:17" s="559" customFormat="1" ht="12.75" customHeight="1">
      <c r="A919" s="836" t="s">
        <v>346</v>
      </c>
      <c r="B919" s="836" t="s">
        <v>951</v>
      </c>
      <c r="C919" s="836"/>
      <c r="D919" s="836" t="s">
        <v>952</v>
      </c>
      <c r="E919" s="835">
        <v>201701</v>
      </c>
      <c r="F919" s="837">
        <v>39235.300000000003</v>
      </c>
      <c r="G919" s="836">
        <f t="shared" si="92"/>
        <v>3.5</v>
      </c>
      <c r="H919" s="838">
        <v>3.1250000000000002E-3</v>
      </c>
      <c r="I919" s="837">
        <f t="shared" si="90"/>
        <v>429.14</v>
      </c>
      <c r="J919" s="837">
        <f t="shared" si="91"/>
        <v>1471.32</v>
      </c>
      <c r="Q919" s="559">
        <f t="shared" si="89"/>
        <v>2017</v>
      </c>
    </row>
    <row r="920" spans="1:17" s="559" customFormat="1" ht="12.75" customHeight="1">
      <c r="A920" s="836" t="s">
        <v>346</v>
      </c>
      <c r="B920" s="836" t="s">
        <v>955</v>
      </c>
      <c r="C920" s="836"/>
      <c r="D920" s="836" t="s">
        <v>956</v>
      </c>
      <c r="E920" s="835">
        <v>201701</v>
      </c>
      <c r="F920" s="837">
        <v>-4119.91</v>
      </c>
      <c r="G920" s="836">
        <f t="shared" si="92"/>
        <v>3.5</v>
      </c>
      <c r="H920" s="838">
        <v>3.1250000000000002E-3</v>
      </c>
      <c r="I920" s="837">
        <f t="shared" si="90"/>
        <v>-45.06</v>
      </c>
      <c r="J920" s="837">
        <f t="shared" si="91"/>
        <v>-154.5</v>
      </c>
      <c r="Q920" s="559">
        <f t="shared" si="89"/>
        <v>2017</v>
      </c>
    </row>
    <row r="921" spans="1:17" s="559" customFormat="1" ht="12.75" customHeight="1">
      <c r="A921" s="836" t="s">
        <v>346</v>
      </c>
      <c r="B921" s="836" t="s">
        <v>893</v>
      </c>
      <c r="C921" s="836"/>
      <c r="D921" s="836" t="s">
        <v>894</v>
      </c>
      <c r="E921" s="835">
        <v>201701</v>
      </c>
      <c r="F921" s="837">
        <v>10.85</v>
      </c>
      <c r="G921" s="836">
        <f t="shared" si="92"/>
        <v>3.5</v>
      </c>
      <c r="H921" s="838">
        <v>3.1250000000000002E-3</v>
      </c>
      <c r="I921" s="837">
        <f t="shared" si="90"/>
        <v>0.12</v>
      </c>
      <c r="J921" s="837">
        <f t="shared" si="91"/>
        <v>0.41</v>
      </c>
      <c r="Q921" s="559">
        <f t="shared" si="89"/>
        <v>2017</v>
      </c>
    </row>
    <row r="922" spans="1:17" s="559" customFormat="1" ht="12.75" customHeight="1">
      <c r="A922" s="836" t="s">
        <v>346</v>
      </c>
      <c r="B922" s="836" t="s">
        <v>840</v>
      </c>
      <c r="C922" s="836"/>
      <c r="D922" s="836" t="s">
        <v>841</v>
      </c>
      <c r="E922" s="835">
        <v>201701</v>
      </c>
      <c r="F922" s="837">
        <v>6726.98</v>
      </c>
      <c r="G922" s="836">
        <f t="shared" si="92"/>
        <v>3.5</v>
      </c>
      <c r="H922" s="838">
        <v>3.1250000000000002E-3</v>
      </c>
      <c r="I922" s="837">
        <f t="shared" si="90"/>
        <v>73.58</v>
      </c>
      <c r="J922" s="837">
        <f t="shared" si="91"/>
        <v>252.26</v>
      </c>
      <c r="Q922" s="559">
        <f t="shared" si="89"/>
        <v>2017</v>
      </c>
    </row>
    <row r="923" spans="1:17" s="559" customFormat="1" ht="12.75" customHeight="1">
      <c r="A923" s="836" t="s">
        <v>346</v>
      </c>
      <c r="B923" s="836" t="s">
        <v>961</v>
      </c>
      <c r="C923" s="836"/>
      <c r="D923" s="836" t="s">
        <v>962</v>
      </c>
      <c r="E923" s="835">
        <v>201701</v>
      </c>
      <c r="F923" s="837">
        <v>42209.41</v>
      </c>
      <c r="G923" s="836">
        <f t="shared" si="92"/>
        <v>3.5</v>
      </c>
      <c r="H923" s="838">
        <v>3.1250000000000002E-3</v>
      </c>
      <c r="I923" s="837">
        <f t="shared" si="90"/>
        <v>461.67</v>
      </c>
      <c r="J923" s="837">
        <f t="shared" si="91"/>
        <v>1582.85</v>
      </c>
      <c r="Q923" s="559">
        <f t="shared" si="89"/>
        <v>2017</v>
      </c>
    </row>
    <row r="924" spans="1:17" s="559" customFormat="1" ht="12.75" customHeight="1">
      <c r="A924" s="836" t="s">
        <v>346</v>
      </c>
      <c r="B924" s="836" t="s">
        <v>963</v>
      </c>
      <c r="C924" s="836"/>
      <c r="D924" s="836" t="s">
        <v>964</v>
      </c>
      <c r="E924" s="835">
        <v>201701</v>
      </c>
      <c r="F924" s="837">
        <v>24.76</v>
      </c>
      <c r="G924" s="836">
        <f t="shared" si="92"/>
        <v>3.5</v>
      </c>
      <c r="H924" s="838">
        <v>3.1250000000000002E-3</v>
      </c>
      <c r="I924" s="837">
        <f t="shared" si="90"/>
        <v>0.27</v>
      </c>
      <c r="J924" s="837">
        <f t="shared" si="91"/>
        <v>0.93</v>
      </c>
      <c r="Q924" s="559">
        <f t="shared" si="89"/>
        <v>2017</v>
      </c>
    </row>
    <row r="925" spans="1:17" s="559" customFormat="1" ht="12.75" customHeight="1">
      <c r="A925" s="836" t="s">
        <v>346</v>
      </c>
      <c r="B925" s="836" t="s">
        <v>967</v>
      </c>
      <c r="C925" s="836"/>
      <c r="D925" s="836" t="s">
        <v>968</v>
      </c>
      <c r="E925" s="835">
        <v>201701</v>
      </c>
      <c r="F925" s="837">
        <v>-5.94</v>
      </c>
      <c r="G925" s="836">
        <f t="shared" si="92"/>
        <v>3.5</v>
      </c>
      <c r="H925" s="838">
        <v>3.1250000000000002E-3</v>
      </c>
      <c r="I925" s="837">
        <f t="shared" si="90"/>
        <v>-0.06</v>
      </c>
      <c r="J925" s="837">
        <f t="shared" si="91"/>
        <v>-0.22</v>
      </c>
      <c r="Q925" s="559">
        <f t="shared" si="89"/>
        <v>2017</v>
      </c>
    </row>
    <row r="926" spans="1:17" s="559" customFormat="1" ht="12.75" customHeight="1">
      <c r="A926" s="836" t="s">
        <v>346</v>
      </c>
      <c r="B926" s="836" t="s">
        <v>682</v>
      </c>
      <c r="C926" s="836"/>
      <c r="D926" s="836" t="s">
        <v>683</v>
      </c>
      <c r="E926" s="835">
        <v>201701</v>
      </c>
      <c r="F926" s="837">
        <v>4098.62</v>
      </c>
      <c r="G926" s="836">
        <f t="shared" si="92"/>
        <v>3.5</v>
      </c>
      <c r="H926" s="838">
        <v>3.1250000000000002E-3</v>
      </c>
      <c r="I926" s="837">
        <f t="shared" si="90"/>
        <v>44.83</v>
      </c>
      <c r="J926" s="837">
        <f t="shared" si="91"/>
        <v>153.69999999999999</v>
      </c>
      <c r="Q926" s="559">
        <f t="shared" si="89"/>
        <v>2017</v>
      </c>
    </row>
    <row r="927" spans="1:17" s="559" customFormat="1" ht="12.75" customHeight="1">
      <c r="A927" s="836" t="s">
        <v>346</v>
      </c>
      <c r="B927" s="836" t="s">
        <v>1106</v>
      </c>
      <c r="C927" s="836"/>
      <c r="D927" s="836" t="s">
        <v>1107</v>
      </c>
      <c r="E927" s="835">
        <v>201701</v>
      </c>
      <c r="F927" s="837">
        <v>2964.76</v>
      </c>
      <c r="G927" s="836">
        <f t="shared" si="92"/>
        <v>3.5</v>
      </c>
      <c r="H927" s="838">
        <v>3.1250000000000002E-3</v>
      </c>
      <c r="I927" s="837">
        <f t="shared" si="90"/>
        <v>32.43</v>
      </c>
      <c r="J927" s="837">
        <f t="shared" si="91"/>
        <v>111.18</v>
      </c>
      <c r="Q927" s="559">
        <f t="shared" si="89"/>
        <v>2017</v>
      </c>
    </row>
    <row r="928" spans="1:17" s="559" customFormat="1" ht="12.75" customHeight="1">
      <c r="A928" s="836" t="s">
        <v>346</v>
      </c>
      <c r="B928" s="836" t="s">
        <v>822</v>
      </c>
      <c r="C928" s="836"/>
      <c r="D928" s="836" t="s">
        <v>823</v>
      </c>
      <c r="E928" s="835">
        <v>201701</v>
      </c>
      <c r="F928" s="837">
        <v>0.57999999999999996</v>
      </c>
      <c r="G928" s="836">
        <f t="shared" si="92"/>
        <v>3.5</v>
      </c>
      <c r="H928" s="838">
        <v>3.1250000000000002E-3</v>
      </c>
      <c r="I928" s="837">
        <f t="shared" si="90"/>
        <v>0.01</v>
      </c>
      <c r="J928" s="837">
        <f t="shared" si="91"/>
        <v>0.02</v>
      </c>
      <c r="Q928" s="559">
        <f t="shared" si="89"/>
        <v>2017</v>
      </c>
    </row>
    <row r="929" spans="1:17" s="559" customFormat="1" ht="12.75" customHeight="1">
      <c r="A929" s="836" t="s">
        <v>346</v>
      </c>
      <c r="B929" s="836" t="s">
        <v>973</v>
      </c>
      <c r="C929" s="836"/>
      <c r="D929" s="836" t="s">
        <v>974</v>
      </c>
      <c r="E929" s="835">
        <v>201701</v>
      </c>
      <c r="F929" s="837">
        <v>151.32</v>
      </c>
      <c r="G929" s="836">
        <f t="shared" si="92"/>
        <v>3.5</v>
      </c>
      <c r="H929" s="838">
        <v>3.1250000000000002E-3</v>
      </c>
      <c r="I929" s="837">
        <f t="shared" si="90"/>
        <v>1.66</v>
      </c>
      <c r="J929" s="837">
        <f t="shared" si="91"/>
        <v>5.67</v>
      </c>
      <c r="Q929" s="559">
        <f t="shared" si="89"/>
        <v>2017</v>
      </c>
    </row>
    <row r="930" spans="1:17" s="559" customFormat="1" ht="12.75" customHeight="1">
      <c r="A930" s="836" t="s">
        <v>346</v>
      </c>
      <c r="B930" s="836" t="s">
        <v>868</v>
      </c>
      <c r="C930" s="836"/>
      <c r="D930" s="836" t="s">
        <v>869</v>
      </c>
      <c r="E930" s="835">
        <v>201701</v>
      </c>
      <c r="F930" s="837">
        <v>-0.11</v>
      </c>
      <c r="G930" s="836">
        <f t="shared" si="92"/>
        <v>3.5</v>
      </c>
      <c r="H930" s="838">
        <v>3.1250000000000002E-3</v>
      </c>
      <c r="I930" s="837">
        <f t="shared" si="90"/>
        <v>0</v>
      </c>
      <c r="J930" s="837">
        <f t="shared" si="91"/>
        <v>0</v>
      </c>
      <c r="Q930" s="559">
        <f t="shared" si="89"/>
        <v>2017</v>
      </c>
    </row>
    <row r="931" spans="1:17" s="559" customFormat="1" ht="12.75" customHeight="1">
      <c r="A931" s="836" t="s">
        <v>346</v>
      </c>
      <c r="B931" s="836" t="s">
        <v>1108</v>
      </c>
      <c r="C931" s="836"/>
      <c r="D931" s="836" t="s">
        <v>1109</v>
      </c>
      <c r="E931" s="835">
        <v>201701</v>
      </c>
      <c r="F931" s="837">
        <v>9413.68</v>
      </c>
      <c r="G931" s="836">
        <f t="shared" si="92"/>
        <v>3.5</v>
      </c>
      <c r="H931" s="838">
        <v>3.1250000000000002E-3</v>
      </c>
      <c r="I931" s="837">
        <f t="shared" si="90"/>
        <v>102.96</v>
      </c>
      <c r="J931" s="837">
        <f t="shared" si="91"/>
        <v>353.01</v>
      </c>
      <c r="Q931" s="559">
        <f t="shared" si="89"/>
        <v>2017</v>
      </c>
    </row>
    <row r="932" spans="1:17" s="559" customFormat="1" ht="12.75" customHeight="1">
      <c r="A932" s="836" t="s">
        <v>346</v>
      </c>
      <c r="B932" s="836" t="s">
        <v>975</v>
      </c>
      <c r="C932" s="836"/>
      <c r="D932" s="836" t="s">
        <v>976</v>
      </c>
      <c r="E932" s="835">
        <v>201701</v>
      </c>
      <c r="F932" s="837">
        <v>66.75</v>
      </c>
      <c r="G932" s="836">
        <f t="shared" si="92"/>
        <v>3.5</v>
      </c>
      <c r="H932" s="838">
        <v>3.1250000000000002E-3</v>
      </c>
      <c r="I932" s="837">
        <f t="shared" si="90"/>
        <v>0.73</v>
      </c>
      <c r="J932" s="837">
        <f t="shared" si="91"/>
        <v>2.5</v>
      </c>
      <c r="Q932" s="559">
        <f t="shared" si="89"/>
        <v>2017</v>
      </c>
    </row>
    <row r="933" spans="1:17" s="559" customFormat="1" ht="12.75" customHeight="1">
      <c r="A933" s="836" t="s">
        <v>346</v>
      </c>
      <c r="B933" s="836" t="s">
        <v>870</v>
      </c>
      <c r="C933" s="836"/>
      <c r="D933" s="836" t="s">
        <v>871</v>
      </c>
      <c r="E933" s="835">
        <v>201701</v>
      </c>
      <c r="F933" s="837">
        <v>-124.77</v>
      </c>
      <c r="G933" s="836">
        <f t="shared" si="92"/>
        <v>3.5</v>
      </c>
      <c r="H933" s="838">
        <v>3.1250000000000002E-3</v>
      </c>
      <c r="I933" s="837">
        <f t="shared" si="90"/>
        <v>-1.36</v>
      </c>
      <c r="J933" s="837">
        <f t="shared" si="91"/>
        <v>-4.68</v>
      </c>
      <c r="Q933" s="559">
        <f t="shared" si="89"/>
        <v>2017</v>
      </c>
    </row>
    <row r="934" spans="1:17" s="559" customFormat="1" ht="12.75" customHeight="1">
      <c r="A934" s="836" t="s">
        <v>346</v>
      </c>
      <c r="B934" s="836" t="s">
        <v>1039</v>
      </c>
      <c r="C934" s="836"/>
      <c r="D934" s="836" t="s">
        <v>1040</v>
      </c>
      <c r="E934" s="835">
        <v>201701</v>
      </c>
      <c r="F934" s="837">
        <v>3692.51</v>
      </c>
      <c r="G934" s="836">
        <f t="shared" si="92"/>
        <v>3.5</v>
      </c>
      <c r="H934" s="838">
        <v>3.1250000000000002E-3</v>
      </c>
      <c r="I934" s="837">
        <f t="shared" si="90"/>
        <v>40.39</v>
      </c>
      <c r="J934" s="837">
        <f t="shared" si="91"/>
        <v>138.47</v>
      </c>
      <c r="Q934" s="559">
        <f t="shared" si="89"/>
        <v>2017</v>
      </c>
    </row>
    <row r="935" spans="1:17" s="559" customFormat="1" ht="12.75" customHeight="1">
      <c r="A935" s="836" t="s">
        <v>346</v>
      </c>
      <c r="B935" s="836" t="s">
        <v>872</v>
      </c>
      <c r="C935" s="836"/>
      <c r="D935" s="836" t="s">
        <v>873</v>
      </c>
      <c r="E935" s="835">
        <v>201701</v>
      </c>
      <c r="F935" s="837">
        <v>13.33</v>
      </c>
      <c r="G935" s="836">
        <f t="shared" si="92"/>
        <v>3.5</v>
      </c>
      <c r="H935" s="838">
        <v>3.1250000000000002E-3</v>
      </c>
      <c r="I935" s="837">
        <f t="shared" si="90"/>
        <v>0.15</v>
      </c>
      <c r="J935" s="837">
        <f t="shared" si="91"/>
        <v>0.5</v>
      </c>
      <c r="Q935" s="559">
        <f t="shared" si="89"/>
        <v>2017</v>
      </c>
    </row>
    <row r="936" spans="1:17" s="559" customFormat="1" ht="12.75" customHeight="1">
      <c r="A936" s="836" t="s">
        <v>346</v>
      </c>
      <c r="B936" s="836" t="s">
        <v>977</v>
      </c>
      <c r="C936" s="836"/>
      <c r="D936" s="836" t="s">
        <v>978</v>
      </c>
      <c r="E936" s="835">
        <v>201701</v>
      </c>
      <c r="F936" s="837">
        <v>142.06</v>
      </c>
      <c r="G936" s="836">
        <f t="shared" si="92"/>
        <v>3.5</v>
      </c>
      <c r="H936" s="838">
        <v>3.1250000000000002E-3</v>
      </c>
      <c r="I936" s="837">
        <f t="shared" si="90"/>
        <v>1.55</v>
      </c>
      <c r="J936" s="837">
        <f t="shared" si="91"/>
        <v>5.33</v>
      </c>
      <c r="Q936" s="559">
        <f t="shared" si="89"/>
        <v>2017</v>
      </c>
    </row>
    <row r="937" spans="1:17" s="559" customFormat="1" ht="12.75" customHeight="1">
      <c r="A937" s="836" t="s">
        <v>346</v>
      </c>
      <c r="B937" s="836" t="s">
        <v>1041</v>
      </c>
      <c r="C937" s="836"/>
      <c r="D937" s="836" t="s">
        <v>1042</v>
      </c>
      <c r="E937" s="835">
        <v>201701</v>
      </c>
      <c r="F937" s="837">
        <v>-14.41</v>
      </c>
      <c r="G937" s="836">
        <f t="shared" si="92"/>
        <v>3.5</v>
      </c>
      <c r="H937" s="838">
        <v>3.1250000000000002E-3</v>
      </c>
      <c r="I937" s="837">
        <f t="shared" si="90"/>
        <v>-0.16</v>
      </c>
      <c r="J937" s="837">
        <f t="shared" si="91"/>
        <v>-0.54</v>
      </c>
      <c r="Q937" s="559">
        <f t="shared" si="89"/>
        <v>2017</v>
      </c>
    </row>
    <row r="938" spans="1:17" s="559" customFormat="1" ht="12.75" customHeight="1">
      <c r="A938" s="836" t="s">
        <v>346</v>
      </c>
      <c r="B938" s="836" t="s">
        <v>979</v>
      </c>
      <c r="C938" s="836"/>
      <c r="D938" s="836" t="s">
        <v>980</v>
      </c>
      <c r="E938" s="835">
        <v>201701</v>
      </c>
      <c r="F938" s="837">
        <v>57.65</v>
      </c>
      <c r="G938" s="836">
        <f t="shared" si="92"/>
        <v>3.5</v>
      </c>
      <c r="H938" s="838">
        <v>3.1250000000000002E-3</v>
      </c>
      <c r="I938" s="837">
        <f t="shared" si="90"/>
        <v>0.63</v>
      </c>
      <c r="J938" s="837">
        <f t="shared" si="91"/>
        <v>2.16</v>
      </c>
      <c r="Q938" s="559">
        <f t="shared" si="89"/>
        <v>2017</v>
      </c>
    </row>
    <row r="939" spans="1:17" s="559" customFormat="1" ht="12.75" customHeight="1">
      <c r="A939" s="836" t="s">
        <v>346</v>
      </c>
      <c r="B939" s="836" t="s">
        <v>981</v>
      </c>
      <c r="C939" s="836"/>
      <c r="D939" s="836" t="s">
        <v>1014</v>
      </c>
      <c r="E939" s="835">
        <v>201701</v>
      </c>
      <c r="F939" s="837">
        <v>1051.6199999999999</v>
      </c>
      <c r="G939" s="836">
        <f t="shared" si="92"/>
        <v>3.5</v>
      </c>
      <c r="H939" s="838">
        <v>3.1250000000000002E-3</v>
      </c>
      <c r="I939" s="837">
        <f t="shared" si="90"/>
        <v>11.5</v>
      </c>
      <c r="J939" s="837">
        <f t="shared" si="91"/>
        <v>39.44</v>
      </c>
      <c r="Q939" s="559">
        <f t="shared" si="89"/>
        <v>2017</v>
      </c>
    </row>
    <row r="940" spans="1:17" s="559" customFormat="1" ht="12.75" customHeight="1">
      <c r="A940" s="836" t="s">
        <v>346</v>
      </c>
      <c r="B940" s="836" t="s">
        <v>983</v>
      </c>
      <c r="C940" s="836"/>
      <c r="D940" s="836" t="s">
        <v>984</v>
      </c>
      <c r="E940" s="835">
        <v>201701</v>
      </c>
      <c r="F940" s="837">
        <v>51.49</v>
      </c>
      <c r="G940" s="836">
        <f t="shared" si="92"/>
        <v>3.5</v>
      </c>
      <c r="H940" s="838">
        <v>3.1250000000000002E-3</v>
      </c>
      <c r="I940" s="837">
        <f t="shared" si="90"/>
        <v>0.56000000000000005</v>
      </c>
      <c r="J940" s="837">
        <f t="shared" si="91"/>
        <v>1.93</v>
      </c>
      <c r="Q940" s="559">
        <f t="shared" si="89"/>
        <v>2017</v>
      </c>
    </row>
    <row r="941" spans="1:17" s="559" customFormat="1" ht="12.75" customHeight="1">
      <c r="A941" s="836" t="s">
        <v>346</v>
      </c>
      <c r="B941" s="836" t="s">
        <v>1043</v>
      </c>
      <c r="C941" s="836"/>
      <c r="D941" s="836" t="s">
        <v>1044</v>
      </c>
      <c r="E941" s="835">
        <v>201701</v>
      </c>
      <c r="F941" s="837">
        <v>-1.19</v>
      </c>
      <c r="G941" s="836">
        <f t="shared" si="92"/>
        <v>3.5</v>
      </c>
      <c r="H941" s="838">
        <v>3.1250000000000002E-3</v>
      </c>
      <c r="I941" s="837">
        <f t="shared" si="90"/>
        <v>-0.01</v>
      </c>
      <c r="J941" s="837">
        <f t="shared" si="91"/>
        <v>-0.04</v>
      </c>
      <c r="Q941" s="559">
        <f t="shared" si="89"/>
        <v>2017</v>
      </c>
    </row>
    <row r="942" spans="1:17" s="559" customFormat="1" ht="12.75" customHeight="1">
      <c r="A942" s="836" t="s">
        <v>346</v>
      </c>
      <c r="B942" s="836" t="s">
        <v>876</v>
      </c>
      <c r="C942" s="836"/>
      <c r="D942" s="836" t="s">
        <v>877</v>
      </c>
      <c r="E942" s="835">
        <v>201701</v>
      </c>
      <c r="F942" s="837">
        <v>-1.3</v>
      </c>
      <c r="G942" s="836">
        <f t="shared" si="92"/>
        <v>3.5</v>
      </c>
      <c r="H942" s="838">
        <v>3.1250000000000002E-3</v>
      </c>
      <c r="I942" s="837">
        <f t="shared" si="90"/>
        <v>-0.01</v>
      </c>
      <c r="J942" s="837">
        <f t="shared" si="91"/>
        <v>-0.05</v>
      </c>
      <c r="Q942" s="559">
        <f t="shared" si="89"/>
        <v>2017</v>
      </c>
    </row>
    <row r="943" spans="1:17" s="559" customFormat="1" ht="12.75" customHeight="1">
      <c r="A943" s="836" t="s">
        <v>346</v>
      </c>
      <c r="B943" s="836" t="s">
        <v>1045</v>
      </c>
      <c r="C943" s="836"/>
      <c r="D943" s="836" t="s">
        <v>1046</v>
      </c>
      <c r="E943" s="835">
        <v>201701</v>
      </c>
      <c r="F943" s="837">
        <v>-3.44</v>
      </c>
      <c r="G943" s="836">
        <f t="shared" si="92"/>
        <v>3.5</v>
      </c>
      <c r="H943" s="838">
        <v>3.1250000000000002E-3</v>
      </c>
      <c r="I943" s="837">
        <f t="shared" si="90"/>
        <v>-0.04</v>
      </c>
      <c r="J943" s="837">
        <f t="shared" si="91"/>
        <v>-0.13</v>
      </c>
      <c r="Q943" s="559">
        <f t="shared" si="89"/>
        <v>2017</v>
      </c>
    </row>
    <row r="944" spans="1:17" s="559" customFormat="1" ht="12.75" customHeight="1">
      <c r="A944" s="836" t="s">
        <v>346</v>
      </c>
      <c r="B944" s="836" t="s">
        <v>878</v>
      </c>
      <c r="C944" s="836"/>
      <c r="D944" s="836" t="s">
        <v>879</v>
      </c>
      <c r="E944" s="835">
        <v>201701</v>
      </c>
      <c r="F944" s="837">
        <v>-17373.240000000002</v>
      </c>
      <c r="G944" s="836">
        <f t="shared" si="92"/>
        <v>3.5</v>
      </c>
      <c r="H944" s="838">
        <v>3.1250000000000002E-3</v>
      </c>
      <c r="I944" s="837">
        <f t="shared" si="90"/>
        <v>-190.02</v>
      </c>
      <c r="J944" s="837">
        <f t="shared" si="91"/>
        <v>-651.5</v>
      </c>
      <c r="Q944" s="559">
        <f t="shared" si="89"/>
        <v>2017</v>
      </c>
    </row>
    <row r="945" spans="1:17" s="559" customFormat="1" ht="12.75" customHeight="1">
      <c r="A945" s="836" t="s">
        <v>346</v>
      </c>
      <c r="B945" s="836" t="s">
        <v>987</v>
      </c>
      <c r="C945" s="836"/>
      <c r="D945" s="836" t="s">
        <v>988</v>
      </c>
      <c r="E945" s="835">
        <v>201701</v>
      </c>
      <c r="F945" s="837">
        <v>-4021.8</v>
      </c>
      <c r="G945" s="836">
        <f t="shared" si="92"/>
        <v>3.5</v>
      </c>
      <c r="H945" s="838">
        <v>3.1250000000000002E-3</v>
      </c>
      <c r="I945" s="837">
        <f t="shared" si="90"/>
        <v>-43.99</v>
      </c>
      <c r="J945" s="837">
        <f t="shared" si="91"/>
        <v>-150.82</v>
      </c>
      <c r="Q945" s="559">
        <f t="shared" si="89"/>
        <v>2017</v>
      </c>
    </row>
    <row r="946" spans="1:17" s="559" customFormat="1" ht="12.75" customHeight="1">
      <c r="A946" s="836" t="s">
        <v>346</v>
      </c>
      <c r="B946" s="836" t="s">
        <v>989</v>
      </c>
      <c r="C946" s="836"/>
      <c r="D946" s="836" t="s">
        <v>990</v>
      </c>
      <c r="E946" s="835">
        <v>201701</v>
      </c>
      <c r="F946" s="837">
        <v>0.92</v>
      </c>
      <c r="G946" s="836">
        <f t="shared" si="92"/>
        <v>3.5</v>
      </c>
      <c r="H946" s="838">
        <v>3.1250000000000002E-3</v>
      </c>
      <c r="I946" s="837">
        <f t="shared" ref="I946:I962" si="93">ROUND(F946*G946*H946,2)</f>
        <v>0.01</v>
      </c>
      <c r="J946" s="837">
        <f t="shared" ref="J946:J962" si="94">ROUND(F946*H946*12,2)</f>
        <v>0.03</v>
      </c>
      <c r="Q946" s="559">
        <f t="shared" si="89"/>
        <v>2017</v>
      </c>
    </row>
    <row r="947" spans="1:17" s="559" customFormat="1" ht="12.75" customHeight="1">
      <c r="A947" s="836" t="s">
        <v>346</v>
      </c>
      <c r="B947" s="836" t="s">
        <v>880</v>
      </c>
      <c r="C947" s="836"/>
      <c r="D947" s="836" t="s">
        <v>881</v>
      </c>
      <c r="E947" s="835">
        <v>201701</v>
      </c>
      <c r="F947" s="837">
        <v>-16.510000000000002</v>
      </c>
      <c r="G947" s="836">
        <f t="shared" si="92"/>
        <v>3.5</v>
      </c>
      <c r="H947" s="838">
        <v>3.1250000000000002E-3</v>
      </c>
      <c r="I947" s="837">
        <f t="shared" si="93"/>
        <v>-0.18</v>
      </c>
      <c r="J947" s="837">
        <f t="shared" si="94"/>
        <v>-0.62</v>
      </c>
      <c r="Q947" s="559">
        <f t="shared" si="89"/>
        <v>2017</v>
      </c>
    </row>
    <row r="948" spans="1:17" s="559" customFormat="1" ht="12.75" customHeight="1">
      <c r="A948" s="836" t="s">
        <v>346</v>
      </c>
      <c r="B948" s="836" t="s">
        <v>993</v>
      </c>
      <c r="C948" s="836"/>
      <c r="D948" s="836" t="s">
        <v>994</v>
      </c>
      <c r="E948" s="835">
        <v>201701</v>
      </c>
      <c r="F948" s="837">
        <v>37.76</v>
      </c>
      <c r="G948" s="836">
        <f t="shared" si="92"/>
        <v>3.5</v>
      </c>
      <c r="H948" s="838">
        <v>3.1250000000000002E-3</v>
      </c>
      <c r="I948" s="837">
        <f t="shared" si="93"/>
        <v>0.41</v>
      </c>
      <c r="J948" s="837">
        <f t="shared" si="94"/>
        <v>1.42</v>
      </c>
      <c r="Q948" s="559">
        <f t="shared" si="89"/>
        <v>2017</v>
      </c>
    </row>
    <row r="949" spans="1:17" s="559" customFormat="1" ht="12.75" customHeight="1">
      <c r="A949" s="836" t="s">
        <v>346</v>
      </c>
      <c r="B949" s="836" t="s">
        <v>996</v>
      </c>
      <c r="C949" s="836"/>
      <c r="D949" s="836" t="s">
        <v>997</v>
      </c>
      <c r="E949" s="835">
        <v>201701</v>
      </c>
      <c r="F949" s="837">
        <v>330.57</v>
      </c>
      <c r="G949" s="836">
        <f t="shared" si="92"/>
        <v>3.5</v>
      </c>
      <c r="H949" s="838">
        <v>3.1250000000000002E-3</v>
      </c>
      <c r="I949" s="837">
        <f t="shared" si="93"/>
        <v>3.62</v>
      </c>
      <c r="J949" s="837">
        <f t="shared" si="94"/>
        <v>12.4</v>
      </c>
      <c r="Q949" s="559">
        <f t="shared" si="89"/>
        <v>2017</v>
      </c>
    </row>
    <row r="950" spans="1:17" s="559" customFormat="1" ht="12.75" customHeight="1">
      <c r="A950" s="836" t="s">
        <v>346</v>
      </c>
      <c r="B950" s="836" t="s">
        <v>1055</v>
      </c>
      <c r="C950" s="836"/>
      <c r="D950" s="836" t="s">
        <v>1056</v>
      </c>
      <c r="E950" s="835">
        <v>201701</v>
      </c>
      <c r="F950" s="837">
        <v>7.97</v>
      </c>
      <c r="G950" s="836">
        <f t="shared" si="92"/>
        <v>3.5</v>
      </c>
      <c r="H950" s="838">
        <v>3.1250000000000002E-3</v>
      </c>
      <c r="I950" s="837">
        <f t="shared" si="93"/>
        <v>0.09</v>
      </c>
      <c r="J950" s="837">
        <f t="shared" si="94"/>
        <v>0.3</v>
      </c>
      <c r="Q950" s="559">
        <f t="shared" si="89"/>
        <v>2017</v>
      </c>
    </row>
    <row r="951" spans="1:17" s="559" customFormat="1" ht="12.75" customHeight="1">
      <c r="A951" s="836" t="s">
        <v>346</v>
      </c>
      <c r="B951" s="836" t="s">
        <v>1110</v>
      </c>
      <c r="C951" s="836"/>
      <c r="D951" s="836" t="s">
        <v>1111</v>
      </c>
      <c r="E951" s="835">
        <v>201701</v>
      </c>
      <c r="F951" s="837">
        <v>1373.36</v>
      </c>
      <c r="G951" s="836">
        <f t="shared" si="92"/>
        <v>3.5</v>
      </c>
      <c r="H951" s="838">
        <v>3.1250000000000002E-3</v>
      </c>
      <c r="I951" s="837">
        <f t="shared" si="93"/>
        <v>15.02</v>
      </c>
      <c r="J951" s="837">
        <f t="shared" si="94"/>
        <v>51.5</v>
      </c>
      <c r="Q951" s="559">
        <f t="shared" si="89"/>
        <v>2017</v>
      </c>
    </row>
    <row r="952" spans="1:17" s="559" customFormat="1" ht="12.75" customHeight="1">
      <c r="A952" s="836" t="s">
        <v>346</v>
      </c>
      <c r="B952" s="836" t="s">
        <v>1112</v>
      </c>
      <c r="C952" s="836"/>
      <c r="D952" s="836" t="s">
        <v>1113</v>
      </c>
      <c r="E952" s="835">
        <v>201701</v>
      </c>
      <c r="F952" s="837">
        <v>111.22</v>
      </c>
      <c r="G952" s="836">
        <f t="shared" si="92"/>
        <v>3.5</v>
      </c>
      <c r="H952" s="838">
        <v>3.1250000000000002E-3</v>
      </c>
      <c r="I952" s="837">
        <f t="shared" si="93"/>
        <v>1.22</v>
      </c>
      <c r="J952" s="837">
        <f t="shared" si="94"/>
        <v>4.17</v>
      </c>
      <c r="Q952" s="559">
        <f t="shared" si="89"/>
        <v>2017</v>
      </c>
    </row>
    <row r="953" spans="1:17" s="559" customFormat="1" ht="12.75" customHeight="1">
      <c r="A953" s="836" t="s">
        <v>346</v>
      </c>
      <c r="B953" s="836" t="s">
        <v>1114</v>
      </c>
      <c r="C953" s="836"/>
      <c r="D953" s="836" t="s">
        <v>1115</v>
      </c>
      <c r="E953" s="835">
        <v>201701</v>
      </c>
      <c r="F953" s="837">
        <v>55.81</v>
      </c>
      <c r="G953" s="836">
        <f t="shared" si="92"/>
        <v>3.5</v>
      </c>
      <c r="H953" s="838">
        <v>3.1250000000000002E-3</v>
      </c>
      <c r="I953" s="837">
        <f t="shared" si="93"/>
        <v>0.61</v>
      </c>
      <c r="J953" s="837">
        <f t="shared" si="94"/>
        <v>2.09</v>
      </c>
      <c r="Q953" s="559">
        <f t="shared" si="89"/>
        <v>2017</v>
      </c>
    </row>
    <row r="954" spans="1:17" s="559" customFormat="1" ht="12.75" customHeight="1">
      <c r="A954" s="836" t="s">
        <v>346</v>
      </c>
      <c r="B954" s="836" t="s">
        <v>1116</v>
      </c>
      <c r="C954" s="836"/>
      <c r="D954" s="836" t="s">
        <v>1117</v>
      </c>
      <c r="E954" s="835">
        <v>201701</v>
      </c>
      <c r="F954" s="837">
        <v>549.54</v>
      </c>
      <c r="G954" s="836">
        <f t="shared" si="92"/>
        <v>3.5</v>
      </c>
      <c r="H954" s="838">
        <v>3.1250000000000002E-3</v>
      </c>
      <c r="I954" s="837">
        <f t="shared" si="93"/>
        <v>6.01</v>
      </c>
      <c r="J954" s="837">
        <f t="shared" si="94"/>
        <v>20.61</v>
      </c>
      <c r="Q954" s="559">
        <f t="shared" si="89"/>
        <v>2017</v>
      </c>
    </row>
    <row r="955" spans="1:17" s="559" customFormat="1" ht="12.75" customHeight="1">
      <c r="A955" s="836" t="s">
        <v>346</v>
      </c>
      <c r="B955" s="836" t="s">
        <v>889</v>
      </c>
      <c r="C955" s="836"/>
      <c r="D955" s="836" t="s">
        <v>890</v>
      </c>
      <c r="E955" s="835">
        <v>201701</v>
      </c>
      <c r="F955" s="837">
        <v>0.04</v>
      </c>
      <c r="G955" s="836">
        <f t="shared" si="92"/>
        <v>3.5</v>
      </c>
      <c r="H955" s="838">
        <v>3.1250000000000002E-3</v>
      </c>
      <c r="I955" s="837">
        <f t="shared" si="93"/>
        <v>0</v>
      </c>
      <c r="J955" s="837">
        <f t="shared" si="94"/>
        <v>0</v>
      </c>
      <c r="Q955" s="559">
        <f t="shared" si="89"/>
        <v>2017</v>
      </c>
    </row>
    <row r="956" spans="1:17" s="559" customFormat="1" ht="12.75" customHeight="1">
      <c r="A956" s="836" t="s">
        <v>346</v>
      </c>
      <c r="B956" s="836" t="s">
        <v>1006</v>
      </c>
      <c r="C956" s="836"/>
      <c r="D956" s="836" t="s">
        <v>1007</v>
      </c>
      <c r="E956" s="835">
        <v>201701</v>
      </c>
      <c r="F956" s="837">
        <v>-0.67</v>
      </c>
      <c r="G956" s="836">
        <f t="shared" si="92"/>
        <v>3.5</v>
      </c>
      <c r="H956" s="838">
        <v>3.1250000000000002E-3</v>
      </c>
      <c r="I956" s="837">
        <f t="shared" si="93"/>
        <v>-0.01</v>
      </c>
      <c r="J956" s="837">
        <f t="shared" si="94"/>
        <v>-0.03</v>
      </c>
      <c r="Q956" s="559">
        <f t="shared" si="89"/>
        <v>2017</v>
      </c>
    </row>
    <row r="957" spans="1:17" s="559" customFormat="1" ht="12.75" customHeight="1">
      <c r="A957" s="836" t="s">
        <v>346</v>
      </c>
      <c r="B957" s="836" t="s">
        <v>1057</v>
      </c>
      <c r="C957" s="836"/>
      <c r="D957" s="836" t="s">
        <v>1058</v>
      </c>
      <c r="E957" s="835">
        <v>201701</v>
      </c>
      <c r="F957" s="837">
        <v>846.26</v>
      </c>
      <c r="G957" s="836">
        <f t="shared" si="92"/>
        <v>3.5</v>
      </c>
      <c r="H957" s="838">
        <v>3.1250000000000002E-3</v>
      </c>
      <c r="I957" s="837">
        <f t="shared" si="93"/>
        <v>9.26</v>
      </c>
      <c r="J957" s="837">
        <f t="shared" si="94"/>
        <v>31.73</v>
      </c>
      <c r="Q957" s="559">
        <f t="shared" si="89"/>
        <v>2017</v>
      </c>
    </row>
    <row r="958" spans="1:17" s="559" customFormat="1" ht="12.75" customHeight="1">
      <c r="A958" s="836" t="s">
        <v>346</v>
      </c>
      <c r="B958" s="836" t="s">
        <v>1049</v>
      </c>
      <c r="C958" s="836"/>
      <c r="D958" s="836" t="s">
        <v>1050</v>
      </c>
      <c r="E958" s="835">
        <v>201701</v>
      </c>
      <c r="F958" s="837">
        <v>14.58</v>
      </c>
      <c r="G958" s="836">
        <f t="shared" ref="G958:G962" si="95">VLOOKUP(E958,$N$6:$O$49,2,FALSE)</f>
        <v>3.5</v>
      </c>
      <c r="H958" s="838">
        <v>3.1250000000000002E-3</v>
      </c>
      <c r="I958" s="837">
        <f t="shared" si="93"/>
        <v>0.16</v>
      </c>
      <c r="J958" s="837">
        <f t="shared" si="94"/>
        <v>0.55000000000000004</v>
      </c>
      <c r="Q958" s="559">
        <f t="shared" si="89"/>
        <v>2017</v>
      </c>
    </row>
    <row r="959" spans="1:17" s="559" customFormat="1" ht="12.75" customHeight="1">
      <c r="A959" s="836" t="s">
        <v>346</v>
      </c>
      <c r="B959" s="836" t="s">
        <v>1077</v>
      </c>
      <c r="C959" s="836"/>
      <c r="D959" s="836" t="s">
        <v>1078</v>
      </c>
      <c r="E959" s="835">
        <v>201701</v>
      </c>
      <c r="F959" s="837">
        <v>552.29</v>
      </c>
      <c r="G959" s="836">
        <f t="shared" si="95"/>
        <v>3.5</v>
      </c>
      <c r="H959" s="838">
        <v>3.1250000000000002E-3</v>
      </c>
      <c r="I959" s="837">
        <f t="shared" si="93"/>
        <v>6.04</v>
      </c>
      <c r="J959" s="837">
        <f t="shared" si="94"/>
        <v>20.71</v>
      </c>
      <c r="Q959" s="559">
        <f t="shared" si="89"/>
        <v>2017</v>
      </c>
    </row>
    <row r="960" spans="1:17" s="559" customFormat="1" ht="12.75" customHeight="1">
      <c r="A960" s="836" t="s">
        <v>346</v>
      </c>
      <c r="B960" s="836" t="s">
        <v>1079</v>
      </c>
      <c r="C960" s="836"/>
      <c r="D960" s="836" t="s">
        <v>1080</v>
      </c>
      <c r="E960" s="835">
        <v>201701</v>
      </c>
      <c r="F960" s="837">
        <v>2527.4499999999998</v>
      </c>
      <c r="G960" s="836">
        <f t="shared" si="95"/>
        <v>3.5</v>
      </c>
      <c r="H960" s="838">
        <v>3.1250000000000002E-3</v>
      </c>
      <c r="I960" s="837">
        <f t="shared" si="93"/>
        <v>27.64</v>
      </c>
      <c r="J960" s="837">
        <f t="shared" si="94"/>
        <v>94.78</v>
      </c>
      <c r="Q960" s="559">
        <f t="shared" si="89"/>
        <v>2017</v>
      </c>
    </row>
    <row r="961" spans="1:17" s="559" customFormat="1" ht="12.75" customHeight="1">
      <c r="A961" s="836" t="s">
        <v>346</v>
      </c>
      <c r="B961" s="836" t="s">
        <v>1118</v>
      </c>
      <c r="C961" s="836"/>
      <c r="D961" s="836" t="s">
        <v>1119</v>
      </c>
      <c r="E961" s="835">
        <v>201701</v>
      </c>
      <c r="F961" s="837">
        <v>4439.05</v>
      </c>
      <c r="G961" s="836">
        <f t="shared" si="95"/>
        <v>3.5</v>
      </c>
      <c r="H961" s="838">
        <v>3.1250000000000002E-3</v>
      </c>
      <c r="I961" s="837">
        <f t="shared" si="93"/>
        <v>48.55</v>
      </c>
      <c r="J961" s="837">
        <f t="shared" si="94"/>
        <v>166.46</v>
      </c>
      <c r="Q961" s="559">
        <f t="shared" si="89"/>
        <v>2017</v>
      </c>
    </row>
    <row r="962" spans="1:17" s="559" customFormat="1" ht="12.75" customHeight="1">
      <c r="A962" s="836" t="s">
        <v>346</v>
      </c>
      <c r="B962" s="836" t="s">
        <v>1140</v>
      </c>
      <c r="C962" s="836"/>
      <c r="D962" s="836" t="s">
        <v>1141</v>
      </c>
      <c r="E962" s="835">
        <v>201701</v>
      </c>
      <c r="F962" s="837">
        <v>7907.97</v>
      </c>
      <c r="G962" s="836">
        <f t="shared" si="95"/>
        <v>3.5</v>
      </c>
      <c r="H962" s="838">
        <v>3.1250000000000002E-3</v>
      </c>
      <c r="I962" s="837">
        <f t="shared" si="93"/>
        <v>86.49</v>
      </c>
      <c r="J962" s="837">
        <f t="shared" si="94"/>
        <v>296.55</v>
      </c>
      <c r="Q962" s="559">
        <f t="shared" si="89"/>
        <v>2017</v>
      </c>
    </row>
    <row r="963" spans="1:17" s="559" customFormat="1" ht="12.75" customHeight="1">
      <c r="A963" s="481"/>
      <c r="B963" s="485"/>
      <c r="C963" s="485"/>
      <c r="D963" s="481"/>
      <c r="E963" s="485"/>
      <c r="F963" s="482"/>
      <c r="G963" s="521"/>
      <c r="H963" s="486"/>
      <c r="I963" s="523">
        <f t="shared" ref="I963" si="96">ROUND(F963*G963*H963,2)</f>
        <v>0</v>
      </c>
      <c r="J963" s="523">
        <f t="shared" ref="J963" si="97">ROUND(F963*H963*12,2)</f>
        <v>0</v>
      </c>
      <c r="Q963" s="559">
        <f t="shared" ref="Q963" si="98">IF(E963&lt;=$Q$1,$S$5,$S$6)</f>
        <v>2016</v>
      </c>
    </row>
    <row r="964" spans="1:17" ht="12.75" customHeight="1">
      <c r="A964" s="426"/>
      <c r="B964" s="579"/>
      <c r="C964" s="435"/>
      <c r="D964" s="598" t="s">
        <v>1024</v>
      </c>
      <c r="E964" s="435">
        <v>201701</v>
      </c>
      <c r="F964" s="427">
        <v>0</v>
      </c>
      <c r="G964" s="426">
        <f t="shared" ref="G964:G965" si="99">VLOOKUP(E964,$N$6:$O$49,2,FALSE)</f>
        <v>3.5</v>
      </c>
      <c r="H964" s="430">
        <v>3.1250000000000002E-3</v>
      </c>
      <c r="I964" s="427">
        <f t="shared" ref="I964:I965" si="100">ROUND(F964*G964*H964,2)</f>
        <v>0</v>
      </c>
      <c r="J964" s="427">
        <f t="shared" ref="J964:J965" si="101">ROUND(F964*H964*12,2)</f>
        <v>0</v>
      </c>
      <c r="Q964" s="101">
        <f t="shared" ref="Q964:Q965" si="102">IF(E964&lt;=$Q$1,$S$5,$S$6)</f>
        <v>2017</v>
      </c>
    </row>
    <row r="965" spans="1:17" ht="12.75" customHeight="1">
      <c r="A965" s="426"/>
      <c r="B965" s="579"/>
      <c r="C965" s="435"/>
      <c r="D965" s="598" t="s">
        <v>1024</v>
      </c>
      <c r="E965" s="435">
        <v>201702</v>
      </c>
      <c r="F965" s="427">
        <v>1550000</v>
      </c>
      <c r="G965" s="426">
        <f t="shared" si="99"/>
        <v>2.5</v>
      </c>
      <c r="H965" s="430">
        <v>3.1250000000000002E-3</v>
      </c>
      <c r="I965" s="427">
        <f t="shared" si="100"/>
        <v>12109.38</v>
      </c>
      <c r="J965" s="427">
        <f t="shared" si="101"/>
        <v>58125</v>
      </c>
      <c r="Q965" s="101">
        <f t="shared" si="102"/>
        <v>2017</v>
      </c>
    </row>
    <row r="966" spans="1:17">
      <c r="A966" s="267"/>
      <c r="B966" s="267"/>
      <c r="C966" s="267"/>
      <c r="D966" s="267"/>
      <c r="E966" s="164"/>
      <c r="F966" s="103"/>
      <c r="G966" s="166"/>
      <c r="H966" s="132"/>
      <c r="I966" s="129"/>
      <c r="J966" s="129"/>
    </row>
    <row r="967" spans="1:17" ht="13.5" thickBot="1">
      <c r="A967" s="102"/>
      <c r="B967" s="102"/>
      <c r="C967" s="102"/>
      <c r="E967" s="73" t="s">
        <v>107</v>
      </c>
      <c r="F967" s="130">
        <f>SUM(F704:F966)</f>
        <v>6334849.6599999992</v>
      </c>
      <c r="I967" s="130">
        <f>SUM(I704:I966)</f>
        <v>78323.549999999988</v>
      </c>
      <c r="J967" s="130">
        <f>SUM(J704:J966)</f>
        <v>237556.83999999988</v>
      </c>
    </row>
    <row r="968" spans="1:17" ht="48" customHeight="1" thickTop="1">
      <c r="A968" s="102"/>
      <c r="B968" s="102"/>
      <c r="C968" s="102"/>
      <c r="E968" s="73"/>
      <c r="F968" s="103"/>
      <c r="I968" s="103"/>
      <c r="J968" s="103"/>
    </row>
    <row r="969" spans="1:17">
      <c r="A969" s="69"/>
      <c r="F969" s="171"/>
      <c r="G969" s="166"/>
      <c r="H969" s="121"/>
      <c r="I969" s="171"/>
      <c r="J969" s="171"/>
    </row>
    <row r="970" spans="1:17" ht="13.5" thickBot="1">
      <c r="A970" s="69" t="s">
        <v>110</v>
      </c>
      <c r="B970" s="102"/>
      <c r="C970" s="102"/>
      <c r="E970" s="73"/>
      <c r="F970" s="130">
        <f>+F967+F698</f>
        <v>6401464.4799999995</v>
      </c>
      <c r="I970" s="130">
        <f>+I967+I698</f>
        <v>79895.449999999983</v>
      </c>
      <c r="J970" s="130">
        <f>+J967+J698</f>
        <v>241040.76999999987</v>
      </c>
    </row>
    <row r="971" spans="1:17" ht="13.5" thickTop="1">
      <c r="A971" s="102"/>
      <c r="B971" s="102"/>
      <c r="C971" s="102"/>
      <c r="F971" s="123"/>
      <c r="I971" s="123"/>
      <c r="J971" s="123"/>
    </row>
    <row r="972" spans="1:17">
      <c r="A972" s="95" t="s">
        <v>111</v>
      </c>
      <c r="B972" s="102"/>
      <c r="C972" s="102"/>
      <c r="F972" s="123"/>
      <c r="I972" s="123" t="s">
        <v>150</v>
      </c>
      <c r="J972" s="123"/>
    </row>
    <row r="973" spans="1:17">
      <c r="A973" s="102"/>
      <c r="B973" s="102"/>
      <c r="C973" s="102"/>
      <c r="F973" s="123"/>
      <c r="I973" s="123"/>
      <c r="J973" s="123"/>
    </row>
    <row r="974" spans="1:17">
      <c r="A974" s="88" t="s">
        <v>411</v>
      </c>
      <c r="B974" s="102"/>
      <c r="C974" s="102"/>
      <c r="F974" s="123"/>
      <c r="I974" s="123" t="s">
        <v>150</v>
      </c>
      <c r="J974" s="123"/>
    </row>
    <row r="975" spans="1:17">
      <c r="A975" s="102"/>
      <c r="B975" s="102"/>
      <c r="C975" s="102"/>
      <c r="F975" s="123"/>
      <c r="I975" s="123"/>
      <c r="J975" s="123"/>
    </row>
    <row r="976" spans="1:17">
      <c r="A976" s="81" t="s">
        <v>86</v>
      </c>
      <c r="B976" s="81" t="s">
        <v>87</v>
      </c>
      <c r="C976" s="81" t="s">
        <v>88</v>
      </c>
      <c r="D976" s="81"/>
      <c r="E976" s="146" t="s">
        <v>89</v>
      </c>
      <c r="F976" s="90" t="s">
        <v>90</v>
      </c>
      <c r="G976" s="147"/>
      <c r="H976" s="81" t="s">
        <v>91</v>
      </c>
      <c r="I976" s="90" t="s">
        <v>92</v>
      </c>
      <c r="J976" s="90" t="s">
        <v>93</v>
      </c>
    </row>
    <row r="977" spans="1:29">
      <c r="A977" s="86" t="s">
        <v>94</v>
      </c>
      <c r="B977" s="86" t="s">
        <v>95</v>
      </c>
      <c r="C977" s="86" t="s">
        <v>96</v>
      </c>
      <c r="D977" s="86" t="s">
        <v>97</v>
      </c>
      <c r="E977" s="148" t="s">
        <v>98</v>
      </c>
      <c r="F977" s="92" t="s">
        <v>99</v>
      </c>
      <c r="G977" s="149" t="s">
        <v>100</v>
      </c>
      <c r="H977" s="86" t="s">
        <v>101</v>
      </c>
      <c r="I977" s="92" t="s">
        <v>93</v>
      </c>
      <c r="J977" s="92" t="s">
        <v>102</v>
      </c>
    </row>
    <row r="978" spans="1:29">
      <c r="A978" s="481"/>
      <c r="B978" s="485"/>
      <c r="C978" s="485"/>
      <c r="D978" s="481"/>
      <c r="E978" s="485"/>
      <c r="F978" s="482"/>
      <c r="G978" s="481"/>
      <c r="H978" s="400"/>
      <c r="I978" s="334">
        <f t="shared" ref="I978:I989" si="103">ROUND(F978*G978*H978,2)</f>
        <v>0</v>
      </c>
      <c r="J978" s="334">
        <f t="shared" ref="J978:J989" si="104">ROUND(F978*H978*12,2)</f>
        <v>0</v>
      </c>
      <c r="Q978" s="101">
        <f t="shared" ref="Q978:Q987" si="105">IF(E978&lt;=$Q$1,$S$5,$S$6)</f>
        <v>2016</v>
      </c>
    </row>
    <row r="979" spans="1:29">
      <c r="A979" s="749"/>
      <c r="B979" s="750"/>
      <c r="C979" s="750"/>
      <c r="D979" s="750"/>
      <c r="E979" s="750"/>
      <c r="F979" s="751"/>
      <c r="G979" s="481"/>
      <c r="H979" s="750"/>
      <c r="I979" s="334">
        <f t="shared" si="103"/>
        <v>0</v>
      </c>
      <c r="J979" s="334">
        <f t="shared" si="104"/>
        <v>0</v>
      </c>
      <c r="Q979" s="101">
        <f t="shared" si="105"/>
        <v>2016</v>
      </c>
    </row>
    <row r="980" spans="1:29">
      <c r="A980" s="481"/>
      <c r="B980" s="485"/>
      <c r="C980" s="485"/>
      <c r="D980" s="481"/>
      <c r="E980" s="485"/>
      <c r="F980" s="482"/>
      <c r="G980" s="481"/>
      <c r="H980" s="400"/>
      <c r="I980" s="334">
        <f t="shared" si="103"/>
        <v>0</v>
      </c>
      <c r="J980" s="334">
        <f t="shared" si="104"/>
        <v>0</v>
      </c>
      <c r="Q980" s="101">
        <f t="shared" si="105"/>
        <v>2016</v>
      </c>
      <c r="T980" s="521" t="s">
        <v>410</v>
      </c>
      <c r="U980" s="522" t="s">
        <v>433</v>
      </c>
      <c r="V980" s="522"/>
      <c r="W980" s="404" t="s">
        <v>434</v>
      </c>
      <c r="X980" s="522">
        <v>201509</v>
      </c>
      <c r="Y980" s="523">
        <v>-97.88</v>
      </c>
      <c r="Z980" s="521">
        <f t="shared" ref="Z980:Z987" si="106">VLOOKUP(X980,$N$6:$O$35,2,FALSE)</f>
        <v>19.5</v>
      </c>
      <c r="AA980" s="486">
        <v>3.0917000000000002E-3</v>
      </c>
      <c r="AB980" s="523">
        <f t="shared" ref="AB980:AB987" si="107">ROUND(Y980*Z980*AA980,2)</f>
        <v>-5.9</v>
      </c>
      <c r="AC980" s="523">
        <f t="shared" ref="AC980:AC987" si="108">ROUND(Y980*AA980*12,2)</f>
        <v>-3.63</v>
      </c>
    </row>
    <row r="981" spans="1:29">
      <c r="A981" s="481"/>
      <c r="B981" s="485"/>
      <c r="C981" s="485"/>
      <c r="D981" s="481"/>
      <c r="E981" s="485"/>
      <c r="F981" s="482"/>
      <c r="G981" s="481"/>
      <c r="H981" s="400"/>
      <c r="I981" s="334">
        <f t="shared" si="103"/>
        <v>0</v>
      </c>
      <c r="J981" s="334">
        <f t="shared" si="104"/>
        <v>0</v>
      </c>
      <c r="Q981" s="101">
        <f t="shared" si="105"/>
        <v>2016</v>
      </c>
      <c r="T981" s="521" t="s">
        <v>410</v>
      </c>
      <c r="U981" s="485" t="s">
        <v>466</v>
      </c>
      <c r="V981" s="485"/>
      <c r="W981" s="521" t="s">
        <v>467</v>
      </c>
      <c r="X981" s="522">
        <v>201509</v>
      </c>
      <c r="Y981" s="523">
        <v>16.05</v>
      </c>
      <c r="Z981" s="521">
        <f t="shared" si="106"/>
        <v>19.5</v>
      </c>
      <c r="AA981" s="486">
        <v>3.0917000000000002E-3</v>
      </c>
      <c r="AB981" s="523">
        <f t="shared" si="107"/>
        <v>0.97</v>
      </c>
      <c r="AC981" s="523">
        <f t="shared" si="108"/>
        <v>0.6</v>
      </c>
    </row>
    <row r="982" spans="1:29">
      <c r="A982" s="481"/>
      <c r="B982" s="485"/>
      <c r="C982" s="485"/>
      <c r="D982" s="481"/>
      <c r="E982" s="485"/>
      <c r="F982" s="452"/>
      <c r="G982" s="481"/>
      <c r="H982" s="400"/>
      <c r="I982" s="334">
        <f t="shared" si="103"/>
        <v>0</v>
      </c>
      <c r="J982" s="334">
        <f t="shared" si="104"/>
        <v>0</v>
      </c>
      <c r="Q982" s="101">
        <f t="shared" si="105"/>
        <v>2016</v>
      </c>
      <c r="T982" s="521" t="s">
        <v>410</v>
      </c>
      <c r="U982" s="522" t="s">
        <v>550</v>
      </c>
      <c r="V982" s="522"/>
      <c r="W982" s="521" t="s">
        <v>551</v>
      </c>
      <c r="X982" s="522">
        <v>201509</v>
      </c>
      <c r="Y982" s="448">
        <v>-2329.1999999999998</v>
      </c>
      <c r="Z982" s="521">
        <f t="shared" si="106"/>
        <v>19.5</v>
      </c>
      <c r="AA982" s="486">
        <v>3.0917000000000002E-3</v>
      </c>
      <c r="AB982" s="523">
        <f t="shared" si="107"/>
        <v>-140.41999999999999</v>
      </c>
      <c r="AC982" s="523">
        <f t="shared" si="108"/>
        <v>-86.41</v>
      </c>
    </row>
    <row r="983" spans="1:29">
      <c r="A983" s="481"/>
      <c r="B983" s="485"/>
      <c r="C983" s="485"/>
      <c r="D983" s="481"/>
      <c r="E983" s="485"/>
      <c r="F983" s="452"/>
      <c r="G983" s="481"/>
      <c r="H983" s="400"/>
      <c r="I983" s="334">
        <f t="shared" si="103"/>
        <v>0</v>
      </c>
      <c r="J983" s="334">
        <f t="shared" si="104"/>
        <v>0</v>
      </c>
      <c r="Q983" s="101">
        <f t="shared" si="105"/>
        <v>2016</v>
      </c>
      <c r="T983" s="521" t="s">
        <v>410</v>
      </c>
      <c r="U983" s="485" t="s">
        <v>570</v>
      </c>
      <c r="V983" s="485"/>
      <c r="W983" s="404" t="s">
        <v>571</v>
      </c>
      <c r="X983" s="522">
        <v>201509</v>
      </c>
      <c r="Y983" s="448">
        <v>72.95</v>
      </c>
      <c r="Z983" s="521">
        <f t="shared" si="106"/>
        <v>19.5</v>
      </c>
      <c r="AA983" s="486">
        <v>3.0917000000000002E-3</v>
      </c>
      <c r="AB983" s="523">
        <f t="shared" si="107"/>
        <v>4.4000000000000004</v>
      </c>
      <c r="AC983" s="523">
        <f t="shared" si="108"/>
        <v>2.71</v>
      </c>
    </row>
    <row r="984" spans="1:29">
      <c r="A984" s="481"/>
      <c r="B984" s="485"/>
      <c r="C984" s="485"/>
      <c r="D984" s="481"/>
      <c r="E984" s="485"/>
      <c r="F984" s="452"/>
      <c r="G984" s="481"/>
      <c r="H984" s="400"/>
      <c r="I984" s="334">
        <f t="shared" si="103"/>
        <v>0</v>
      </c>
      <c r="J984" s="334">
        <f t="shared" si="104"/>
        <v>0</v>
      </c>
      <c r="Q984" s="101">
        <f t="shared" si="105"/>
        <v>2016</v>
      </c>
      <c r="T984" s="521" t="s">
        <v>410</v>
      </c>
      <c r="U984" s="485" t="s">
        <v>572</v>
      </c>
      <c r="V984" s="485"/>
      <c r="W984" s="404" t="s">
        <v>435</v>
      </c>
      <c r="X984" s="522">
        <v>201509</v>
      </c>
      <c r="Y984" s="448">
        <v>31.97</v>
      </c>
      <c r="Z984" s="521">
        <f t="shared" si="106"/>
        <v>19.5</v>
      </c>
      <c r="AA984" s="486">
        <v>3.0917000000000002E-3</v>
      </c>
      <c r="AB984" s="523">
        <f t="shared" si="107"/>
        <v>1.93</v>
      </c>
      <c r="AC984" s="523">
        <f t="shared" si="108"/>
        <v>1.19</v>
      </c>
    </row>
    <row r="985" spans="1:29">
      <c r="A985" s="481"/>
      <c r="B985" s="485"/>
      <c r="C985" s="485"/>
      <c r="D985" s="481"/>
      <c r="E985" s="485"/>
      <c r="F985" s="452"/>
      <c r="G985" s="481"/>
      <c r="H985" s="400"/>
      <c r="I985" s="334">
        <f t="shared" si="103"/>
        <v>0</v>
      </c>
      <c r="J985" s="334">
        <f t="shared" si="104"/>
        <v>0</v>
      </c>
      <c r="Q985" s="101">
        <f t="shared" si="105"/>
        <v>2016</v>
      </c>
      <c r="T985" s="521" t="s">
        <v>410</v>
      </c>
      <c r="U985" s="485" t="s">
        <v>573</v>
      </c>
      <c r="V985" s="485"/>
      <c r="W985" s="404" t="s">
        <v>574</v>
      </c>
      <c r="X985" s="522">
        <v>201509</v>
      </c>
      <c r="Y985" s="448">
        <v>40.51</v>
      </c>
      <c r="Z985" s="521">
        <f t="shared" si="106"/>
        <v>19.5</v>
      </c>
      <c r="AA985" s="486">
        <v>3.0917000000000002E-3</v>
      </c>
      <c r="AB985" s="523">
        <f t="shared" si="107"/>
        <v>2.44</v>
      </c>
      <c r="AC985" s="523">
        <f t="shared" si="108"/>
        <v>1.5</v>
      </c>
    </row>
    <row r="986" spans="1:29">
      <c r="A986" s="481"/>
      <c r="B986" s="485"/>
      <c r="C986" s="485"/>
      <c r="D986" s="481"/>
      <c r="E986" s="485"/>
      <c r="F986" s="482"/>
      <c r="G986" s="481"/>
      <c r="H986" s="400"/>
      <c r="I986" s="334">
        <f t="shared" si="103"/>
        <v>0</v>
      </c>
      <c r="J986" s="334">
        <f t="shared" si="104"/>
        <v>0</v>
      </c>
      <c r="Q986" s="101">
        <f t="shared" si="105"/>
        <v>2016</v>
      </c>
      <c r="T986" s="521" t="s">
        <v>410</v>
      </c>
      <c r="U986" s="485" t="s">
        <v>436</v>
      </c>
      <c r="V986" s="485"/>
      <c r="W986" s="521" t="s">
        <v>437</v>
      </c>
      <c r="X986" s="522">
        <v>201509</v>
      </c>
      <c r="Y986" s="482">
        <v>-271.75</v>
      </c>
      <c r="Z986" s="521">
        <f t="shared" si="106"/>
        <v>19.5</v>
      </c>
      <c r="AA986" s="486">
        <v>3.0917000000000002E-3</v>
      </c>
      <c r="AB986" s="523">
        <f t="shared" si="107"/>
        <v>-16.38</v>
      </c>
      <c r="AC986" s="523">
        <f t="shared" si="108"/>
        <v>-10.08</v>
      </c>
    </row>
    <row r="987" spans="1:29">
      <c r="A987" s="481"/>
      <c r="B987" s="485"/>
      <c r="C987" s="485"/>
      <c r="D987" s="481"/>
      <c r="E987" s="485"/>
      <c r="F987" s="482"/>
      <c r="G987" s="481"/>
      <c r="H987" s="400"/>
      <c r="I987" s="334">
        <f t="shared" si="103"/>
        <v>0</v>
      </c>
      <c r="J987" s="334">
        <f t="shared" si="104"/>
        <v>0</v>
      </c>
      <c r="Q987" s="101">
        <f t="shared" si="105"/>
        <v>2016</v>
      </c>
      <c r="T987" s="521" t="s">
        <v>410</v>
      </c>
      <c r="U987" s="522" t="s">
        <v>733</v>
      </c>
      <c r="V987" s="522"/>
      <c r="W987" s="404" t="s">
        <v>734</v>
      </c>
      <c r="X987" s="522">
        <v>201512</v>
      </c>
      <c r="Y987" s="523">
        <v>81602.64</v>
      </c>
      <c r="Z987" s="521">
        <f t="shared" si="106"/>
        <v>16.5</v>
      </c>
      <c r="AA987" s="486">
        <v>3.0917000000000002E-3</v>
      </c>
      <c r="AB987" s="523">
        <f t="shared" si="107"/>
        <v>4162.8</v>
      </c>
      <c r="AC987" s="523">
        <f t="shared" si="108"/>
        <v>3027.49</v>
      </c>
    </row>
    <row r="988" spans="1:29">
      <c r="A988" s="426"/>
      <c r="B988" s="243"/>
      <c r="C988" s="435"/>
      <c r="D988" s="426"/>
      <c r="E988" s="435"/>
      <c r="F988" s="427"/>
      <c r="G988" s="426"/>
      <c r="H988" s="430"/>
      <c r="I988" s="427">
        <f t="shared" si="103"/>
        <v>0</v>
      </c>
      <c r="J988" s="427">
        <f t="shared" si="104"/>
        <v>0</v>
      </c>
      <c r="Q988" s="101">
        <f t="shared" ref="Q988:Q989" si="109">IF(E988&lt;=$Q$1,$S$5,$S$6)</f>
        <v>2016</v>
      </c>
    </row>
    <row r="989" spans="1:29">
      <c r="A989" s="426"/>
      <c r="B989" s="243"/>
      <c r="C989" s="435"/>
      <c r="D989" s="426"/>
      <c r="E989" s="435"/>
      <c r="F989" s="427"/>
      <c r="G989" s="426"/>
      <c r="H989" s="430"/>
      <c r="I989" s="427">
        <f t="shared" si="103"/>
        <v>0</v>
      </c>
      <c r="J989" s="427">
        <f t="shared" si="104"/>
        <v>0</v>
      </c>
      <c r="Q989" s="101">
        <f t="shared" si="109"/>
        <v>2016</v>
      </c>
    </row>
    <row r="990" spans="1:29">
      <c r="A990" s="267"/>
      <c r="B990" s="267"/>
      <c r="C990" s="267"/>
      <c r="D990" s="267"/>
      <c r="E990" s="164"/>
      <c r="F990" s="129"/>
      <c r="G990" s="166"/>
      <c r="H990" s="132"/>
      <c r="I990" s="129"/>
      <c r="J990" s="129"/>
    </row>
    <row r="991" spans="1:29" ht="13.5" thickBot="1">
      <c r="A991" s="102"/>
      <c r="B991" s="102"/>
      <c r="C991" s="102"/>
      <c r="E991" s="73" t="s">
        <v>107</v>
      </c>
      <c r="F991" s="130">
        <f>SUM(F978:F990)</f>
        <v>0</v>
      </c>
      <c r="I991" s="130">
        <f>SUM(I978:I990)</f>
        <v>0</v>
      </c>
      <c r="J991" s="130">
        <f>SUM(J978:J990)</f>
        <v>0</v>
      </c>
    </row>
    <row r="992" spans="1:29" ht="13.5" thickTop="1">
      <c r="A992" s="102"/>
      <c r="B992" s="102"/>
      <c r="C992" s="102"/>
      <c r="F992" s="123"/>
      <c r="I992" s="123"/>
      <c r="J992" s="123"/>
    </row>
    <row r="993" spans="1:17">
      <c r="A993" s="88" t="s">
        <v>409</v>
      </c>
      <c r="B993" s="102"/>
      <c r="C993" s="102"/>
      <c r="F993" s="123"/>
      <c r="I993" s="123" t="s">
        <v>150</v>
      </c>
      <c r="J993" s="123"/>
    </row>
    <row r="994" spans="1:17">
      <c r="A994" s="102"/>
      <c r="B994" s="102"/>
      <c r="C994" s="102"/>
      <c r="F994" s="123"/>
      <c r="I994" s="123"/>
      <c r="J994" s="123"/>
    </row>
    <row r="995" spans="1:17">
      <c r="A995" s="81" t="s">
        <v>86</v>
      </c>
      <c r="B995" s="81" t="s">
        <v>87</v>
      </c>
      <c r="C995" s="81" t="s">
        <v>88</v>
      </c>
      <c r="D995" s="81"/>
      <c r="E995" s="146" t="s">
        <v>89</v>
      </c>
      <c r="F995" s="90" t="s">
        <v>90</v>
      </c>
      <c r="G995" s="147"/>
      <c r="H995" s="81" t="s">
        <v>91</v>
      </c>
      <c r="I995" s="90" t="s">
        <v>92</v>
      </c>
      <c r="J995" s="90" t="s">
        <v>93</v>
      </c>
    </row>
    <row r="996" spans="1:17">
      <c r="A996" s="86" t="s">
        <v>94</v>
      </c>
      <c r="B996" s="86" t="s">
        <v>95</v>
      </c>
      <c r="C996" s="86" t="s">
        <v>96</v>
      </c>
      <c r="D996" s="86" t="s">
        <v>97</v>
      </c>
      <c r="E996" s="148" t="s">
        <v>98</v>
      </c>
      <c r="F996" s="92" t="s">
        <v>99</v>
      </c>
      <c r="G996" s="149" t="s">
        <v>100</v>
      </c>
      <c r="H996" s="86" t="s">
        <v>101</v>
      </c>
      <c r="I996" s="92" t="s">
        <v>93</v>
      </c>
      <c r="J996" s="92" t="s">
        <v>102</v>
      </c>
    </row>
    <row r="997" spans="1:17" ht="13.5" customHeight="1">
      <c r="A997" s="332"/>
      <c r="B997" s="380"/>
      <c r="C997" s="380"/>
      <c r="D997" s="332"/>
      <c r="E997" s="333"/>
      <c r="F997" s="20"/>
      <c r="G997" s="332"/>
      <c r="H997" s="381"/>
      <c r="I997" s="334"/>
      <c r="J997" s="334"/>
      <c r="Q997" s="101">
        <f t="shared" ref="Q997:Q1005" si="110">IF(E997&lt;=$Q$1,$S$5,$S$6)</f>
        <v>2016</v>
      </c>
    </row>
    <row r="998" spans="1:17" ht="13.5" customHeight="1">
      <c r="A998" s="332"/>
      <c r="B998" s="333"/>
      <c r="C998" s="333"/>
      <c r="D998" s="332"/>
      <c r="E998" s="333"/>
      <c r="F998" s="334"/>
      <c r="G998" s="332"/>
      <c r="H998" s="381"/>
      <c r="I998" s="334">
        <f t="shared" ref="I998:I1007" si="111">ROUND(F998*G998*H998,2)</f>
        <v>0</v>
      </c>
      <c r="J998" s="334">
        <f t="shared" ref="J998:J1007" si="112">ROUND(F998*H998*12,2)</f>
        <v>0</v>
      </c>
      <c r="Q998" s="101">
        <f t="shared" si="110"/>
        <v>2016</v>
      </c>
    </row>
    <row r="999" spans="1:17" ht="13.5" customHeight="1">
      <c r="A999" s="332"/>
      <c r="B999" s="333"/>
      <c r="C999" s="333"/>
      <c r="D999" s="332"/>
      <c r="E999" s="333"/>
      <c r="F999" s="334"/>
      <c r="G999" s="332"/>
      <c r="H999" s="381"/>
      <c r="I999" s="334">
        <f t="shared" si="111"/>
        <v>0</v>
      </c>
      <c r="J999" s="334">
        <f t="shared" si="112"/>
        <v>0</v>
      </c>
      <c r="Q999" s="101">
        <f t="shared" si="110"/>
        <v>2016</v>
      </c>
    </row>
    <row r="1000" spans="1:17" ht="13.5" customHeight="1">
      <c r="A1000" s="332"/>
      <c r="B1000" s="333"/>
      <c r="C1000" s="333"/>
      <c r="D1000" s="332"/>
      <c r="E1000" s="333"/>
      <c r="F1000" s="334"/>
      <c r="G1000" s="332"/>
      <c r="H1000" s="381"/>
      <c r="I1000" s="334">
        <f t="shared" si="111"/>
        <v>0</v>
      </c>
      <c r="J1000" s="334">
        <f t="shared" si="112"/>
        <v>0</v>
      </c>
      <c r="Q1000" s="101">
        <f t="shared" si="110"/>
        <v>2016</v>
      </c>
    </row>
    <row r="1001" spans="1:17" s="559" customFormat="1" ht="13.5" customHeight="1">
      <c r="A1001" s="521"/>
      <c r="B1001" s="522"/>
      <c r="C1001" s="522"/>
      <c r="D1001" s="521"/>
      <c r="E1001" s="522"/>
      <c r="F1001" s="523"/>
      <c r="G1001" s="521"/>
      <c r="H1001" s="486"/>
      <c r="I1001" s="523">
        <f t="shared" si="111"/>
        <v>0</v>
      </c>
      <c r="J1001" s="523">
        <f t="shared" si="112"/>
        <v>0</v>
      </c>
      <c r="Q1001" s="559">
        <f t="shared" si="110"/>
        <v>2016</v>
      </c>
    </row>
    <row r="1002" spans="1:17" s="559" customFormat="1" ht="13.5" customHeight="1">
      <c r="A1002" s="481"/>
      <c r="B1002" s="485"/>
      <c r="C1002" s="485"/>
      <c r="D1002" s="481"/>
      <c r="E1002" s="485"/>
      <c r="F1002" s="482"/>
      <c r="G1002" s="521"/>
      <c r="H1002" s="486"/>
      <c r="I1002" s="523">
        <f t="shared" si="111"/>
        <v>0</v>
      </c>
      <c r="J1002" s="523">
        <f t="shared" si="112"/>
        <v>0</v>
      </c>
      <c r="Q1002" s="559">
        <f t="shared" si="110"/>
        <v>2016</v>
      </c>
    </row>
    <row r="1003" spans="1:17" s="559" customFormat="1" ht="13.5" customHeight="1">
      <c r="A1003" s="521"/>
      <c r="B1003" s="522"/>
      <c r="C1003" s="522"/>
      <c r="D1003" s="521"/>
      <c r="E1003" s="522"/>
      <c r="F1003" s="523"/>
      <c r="G1003" s="521"/>
      <c r="H1003" s="486"/>
      <c r="I1003" s="523">
        <f t="shared" si="111"/>
        <v>0</v>
      </c>
      <c r="J1003" s="523">
        <f t="shared" si="112"/>
        <v>0</v>
      </c>
      <c r="Q1003" s="559">
        <f t="shared" si="110"/>
        <v>2016</v>
      </c>
    </row>
    <row r="1004" spans="1:17" s="559" customFormat="1" ht="13.5" customHeight="1">
      <c r="A1004" s="521"/>
      <c r="B1004" s="522"/>
      <c r="C1004" s="522"/>
      <c r="D1004" s="521"/>
      <c r="E1004" s="522"/>
      <c r="F1004" s="523"/>
      <c r="G1004" s="521"/>
      <c r="H1004" s="486"/>
      <c r="I1004" s="523">
        <f t="shared" si="111"/>
        <v>0</v>
      </c>
      <c r="J1004" s="523">
        <f t="shared" si="112"/>
        <v>0</v>
      </c>
      <c r="Q1004" s="559">
        <f t="shared" si="110"/>
        <v>2016</v>
      </c>
    </row>
    <row r="1005" spans="1:17" s="559" customFormat="1" ht="13.5" customHeight="1">
      <c r="A1005" s="521"/>
      <c r="B1005" s="522"/>
      <c r="C1005" s="522"/>
      <c r="D1005" s="521"/>
      <c r="E1005" s="522"/>
      <c r="F1005" s="523"/>
      <c r="G1005" s="521"/>
      <c r="H1005" s="486"/>
      <c r="I1005" s="523">
        <f t="shared" si="111"/>
        <v>0</v>
      </c>
      <c r="J1005" s="523">
        <f t="shared" si="112"/>
        <v>0</v>
      </c>
      <c r="Q1005" s="559">
        <f t="shared" si="110"/>
        <v>2016</v>
      </c>
    </row>
    <row r="1006" spans="1:17" ht="13.5" customHeight="1">
      <c r="A1006" s="426"/>
      <c r="B1006" s="243"/>
      <c r="C1006" s="435"/>
      <c r="D1006" s="426"/>
      <c r="E1006" s="435"/>
      <c r="F1006" s="427"/>
      <c r="G1006" s="426"/>
      <c r="H1006" s="430"/>
      <c r="I1006" s="427">
        <f t="shared" si="111"/>
        <v>0</v>
      </c>
      <c r="J1006" s="427">
        <f t="shared" si="112"/>
        <v>0</v>
      </c>
      <c r="Q1006" s="101">
        <f t="shared" ref="Q1006:Q1007" si="113">IF(E1006&lt;=$Q$1,$S$5,$S$6)</f>
        <v>2016</v>
      </c>
    </row>
    <row r="1007" spans="1:17" ht="13.5" customHeight="1">
      <c r="A1007" s="426"/>
      <c r="B1007" s="243"/>
      <c r="C1007" s="435"/>
      <c r="D1007" s="426"/>
      <c r="E1007" s="435"/>
      <c r="F1007" s="427"/>
      <c r="G1007" s="426"/>
      <c r="H1007" s="430"/>
      <c r="I1007" s="427">
        <f t="shared" si="111"/>
        <v>0</v>
      </c>
      <c r="J1007" s="427">
        <f t="shared" si="112"/>
        <v>0</v>
      </c>
      <c r="Q1007" s="101">
        <f t="shared" si="113"/>
        <v>2016</v>
      </c>
    </row>
    <row r="1008" spans="1:17">
      <c r="A1008" s="267"/>
      <c r="B1008" s="267"/>
      <c r="C1008" s="267"/>
      <c r="D1008" s="267"/>
      <c r="E1008" s="164"/>
      <c r="F1008" s="103"/>
      <c r="G1008" s="166"/>
      <c r="H1008" s="132"/>
      <c r="I1008" s="103"/>
      <c r="J1008" s="103"/>
    </row>
    <row r="1009" spans="1:17" ht="13.5" thickBot="1">
      <c r="A1009" s="102"/>
      <c r="B1009" s="102"/>
      <c r="C1009" s="102"/>
      <c r="E1009" s="73" t="s">
        <v>107</v>
      </c>
      <c r="F1009" s="130">
        <f>SUM(F997:F1008)</f>
        <v>0</v>
      </c>
      <c r="I1009" s="130">
        <f>SUM(I997:I1008)</f>
        <v>0</v>
      </c>
      <c r="J1009" s="130">
        <f>SUM(J997:J1008)</f>
        <v>0</v>
      </c>
    </row>
    <row r="1010" spans="1:17" ht="13.5" thickTop="1">
      <c r="A1010" s="102"/>
      <c r="B1010" s="102"/>
      <c r="C1010" s="102"/>
      <c r="F1010" s="123"/>
      <c r="I1010" s="123"/>
      <c r="J1010" s="123"/>
    </row>
    <row r="1011" spans="1:17">
      <c r="A1011" s="102"/>
      <c r="B1011" s="102"/>
      <c r="C1011" s="102"/>
      <c r="F1011" s="123"/>
      <c r="I1011" s="123"/>
      <c r="J1011" s="123"/>
    </row>
    <row r="1012" spans="1:17" ht="13.5" thickBot="1">
      <c r="A1012" s="95" t="s">
        <v>112</v>
      </c>
      <c r="B1012" s="102"/>
      <c r="C1012" s="102"/>
      <c r="F1012" s="130">
        <f>+F991+F1009</f>
        <v>0</v>
      </c>
      <c r="I1012" s="130">
        <f>+I991+I1009</f>
        <v>0</v>
      </c>
      <c r="J1012" s="130">
        <f>+J991+J1009</f>
        <v>0</v>
      </c>
    </row>
    <row r="1013" spans="1:17" ht="13.5" thickTop="1">
      <c r="A1013" s="102"/>
      <c r="B1013" s="102"/>
      <c r="C1013" s="102"/>
      <c r="F1013" s="123"/>
      <c r="I1013" s="123"/>
      <c r="J1013" s="123"/>
    </row>
    <row r="1014" spans="1:17">
      <c r="A1014" s="69" t="s">
        <v>113</v>
      </c>
      <c r="F1014" s="105"/>
    </row>
    <row r="1016" spans="1:17">
      <c r="A1016" s="81" t="s">
        <v>86</v>
      </c>
      <c r="B1016" s="81" t="s">
        <v>87</v>
      </c>
      <c r="C1016" s="81" t="s">
        <v>88</v>
      </c>
      <c r="D1016" s="81"/>
      <c r="E1016" s="146" t="s">
        <v>89</v>
      </c>
      <c r="F1016" s="90" t="s">
        <v>90</v>
      </c>
      <c r="G1016" s="147"/>
      <c r="H1016" s="81" t="s">
        <v>91</v>
      </c>
      <c r="I1016" s="90" t="s">
        <v>92</v>
      </c>
      <c r="J1016" s="90" t="s">
        <v>93</v>
      </c>
      <c r="O1016" s="81" t="s">
        <v>91</v>
      </c>
    </row>
    <row r="1017" spans="1:17">
      <c r="A1017" s="86" t="s">
        <v>94</v>
      </c>
      <c r="B1017" s="86" t="s">
        <v>95</v>
      </c>
      <c r="C1017" s="86" t="s">
        <v>96</v>
      </c>
      <c r="D1017" s="86" t="s">
        <v>97</v>
      </c>
      <c r="E1017" s="148" t="s">
        <v>98</v>
      </c>
      <c r="F1017" s="92" t="s">
        <v>99</v>
      </c>
      <c r="G1017" s="149" t="s">
        <v>100</v>
      </c>
      <c r="H1017" s="86" t="s">
        <v>101</v>
      </c>
      <c r="I1017" s="92" t="s">
        <v>93</v>
      </c>
      <c r="J1017" s="92" t="s">
        <v>102</v>
      </c>
      <c r="L1017" s="102" t="s">
        <v>575</v>
      </c>
      <c r="M1017" s="102" t="s">
        <v>576</v>
      </c>
      <c r="N1017" s="102" t="s">
        <v>577</v>
      </c>
      <c r="O1017" s="86" t="s">
        <v>101</v>
      </c>
    </row>
    <row r="1018" spans="1:17" ht="15">
      <c r="A1018" s="332" t="s">
        <v>322</v>
      </c>
      <c r="B1018" s="333" t="s">
        <v>943</v>
      </c>
      <c r="C1018" s="424" t="s">
        <v>331</v>
      </c>
      <c r="D1018" s="332" t="s">
        <v>944</v>
      </c>
      <c r="E1018" s="333">
        <v>201611</v>
      </c>
      <c r="F1018" s="334">
        <v>14.29</v>
      </c>
      <c r="G1018" s="521">
        <f t="shared" ref="G1018:G1081" si="114">VLOOKUP(E1018,$N$6:$O$49,2,FALSE)</f>
        <v>5.5</v>
      </c>
      <c r="H1018" s="381">
        <v>1.1999999999999999E-3</v>
      </c>
      <c r="I1018" s="334">
        <f t="shared" ref="I1018:I1059" si="115">ROUND(F1018*G1018*H1018,2)</f>
        <v>0.09</v>
      </c>
      <c r="J1018" s="334">
        <f t="shared" ref="J1018:J1059" si="116">ROUND(F1018*H1018*12,2)</f>
        <v>0.21</v>
      </c>
      <c r="L1018" s="101">
        <f t="shared" ref="L1018:L1049" si="117">+IF(LEFT(A1018,4)="3763",0.0157,IF(LEFT(A1018,4)="3761",0.0144,"0"))</f>
        <v>1.44E-2</v>
      </c>
      <c r="M1018" s="413">
        <f>ROUND(+L1018/12,7)</f>
        <v>1.1999999999999999E-3</v>
      </c>
      <c r="N1018" s="101" t="b">
        <f>+M1018=O1018</f>
        <v>0</v>
      </c>
      <c r="O1018" s="336">
        <v>1.3083000000000001E-3</v>
      </c>
      <c r="Q1018" s="101">
        <f t="shared" ref="Q1018:Q1090" si="118">IF(E1018&lt;=$Q$1,$S$5,$S$6)</f>
        <v>2017</v>
      </c>
    </row>
    <row r="1019" spans="1:17">
      <c r="A1019" s="521" t="s">
        <v>322</v>
      </c>
      <c r="B1019" s="522" t="s">
        <v>943</v>
      </c>
      <c r="C1019" s="423" t="s">
        <v>331</v>
      </c>
      <c r="D1019" s="521" t="s">
        <v>944</v>
      </c>
      <c r="E1019" s="522">
        <v>201611</v>
      </c>
      <c r="F1019" s="523">
        <v>48.86</v>
      </c>
      <c r="G1019" s="521">
        <f t="shared" si="114"/>
        <v>5.5</v>
      </c>
      <c r="H1019" s="524">
        <v>1.1999999999999999E-3</v>
      </c>
      <c r="I1019" s="523">
        <f t="shared" si="115"/>
        <v>0.32</v>
      </c>
      <c r="J1019" s="523">
        <f t="shared" si="116"/>
        <v>0.7</v>
      </c>
      <c r="L1019" s="101">
        <f t="shared" si="117"/>
        <v>1.44E-2</v>
      </c>
      <c r="M1019" s="413">
        <f t="shared" ref="M1019:M1059" si="119">ROUND(+L1019/12,7)</f>
        <v>1.1999999999999999E-3</v>
      </c>
      <c r="N1019" s="101" t="b">
        <f t="shared" ref="N1019:N1059" si="120">+M1019=O1019</f>
        <v>0</v>
      </c>
      <c r="O1019" s="336">
        <v>1.3083000000000001E-3</v>
      </c>
      <c r="Q1019" s="101">
        <f t="shared" si="118"/>
        <v>2017</v>
      </c>
    </row>
    <row r="1020" spans="1:17">
      <c r="A1020" s="521" t="s">
        <v>318</v>
      </c>
      <c r="B1020" s="522" t="s">
        <v>891</v>
      </c>
      <c r="C1020" s="423" t="s">
        <v>331</v>
      </c>
      <c r="D1020" s="521" t="s">
        <v>892</v>
      </c>
      <c r="E1020" s="522">
        <v>201611</v>
      </c>
      <c r="F1020" s="523">
        <v>-21836.07</v>
      </c>
      <c r="G1020" s="521">
        <f t="shared" si="114"/>
        <v>5.5</v>
      </c>
      <c r="H1020" s="524">
        <v>1.3083000000000001E-3</v>
      </c>
      <c r="I1020" s="523">
        <f t="shared" si="115"/>
        <v>-157.12</v>
      </c>
      <c r="J1020" s="523">
        <f t="shared" si="116"/>
        <v>-342.82</v>
      </c>
      <c r="L1020" s="101">
        <f t="shared" si="117"/>
        <v>1.5699999999999999E-2</v>
      </c>
      <c r="M1020" s="413">
        <f t="shared" si="119"/>
        <v>1.3083000000000001E-3</v>
      </c>
      <c r="N1020" s="101" t="b">
        <f t="shared" si="120"/>
        <v>1</v>
      </c>
      <c r="O1020" s="336">
        <v>1.3083000000000001E-3</v>
      </c>
      <c r="Q1020" s="101">
        <f t="shared" si="118"/>
        <v>2017</v>
      </c>
    </row>
    <row r="1021" spans="1:17">
      <c r="A1021" s="332" t="s">
        <v>318</v>
      </c>
      <c r="B1021" s="333" t="s">
        <v>891</v>
      </c>
      <c r="C1021" s="423" t="s">
        <v>331</v>
      </c>
      <c r="D1021" s="332" t="s">
        <v>892</v>
      </c>
      <c r="E1021" s="333">
        <v>201611</v>
      </c>
      <c r="F1021" s="334">
        <v>14181.41</v>
      </c>
      <c r="G1021" s="521">
        <f t="shared" si="114"/>
        <v>5.5</v>
      </c>
      <c r="H1021" s="381">
        <v>1.3083000000000001E-3</v>
      </c>
      <c r="I1021" s="523">
        <f t="shared" si="115"/>
        <v>102.04</v>
      </c>
      <c r="J1021" s="523">
        <f t="shared" si="116"/>
        <v>222.64</v>
      </c>
      <c r="L1021" s="101">
        <f t="shared" si="117"/>
        <v>1.5699999999999999E-2</v>
      </c>
      <c r="M1021" s="413">
        <f t="shared" si="119"/>
        <v>1.3083000000000001E-3</v>
      </c>
      <c r="N1021" s="101" t="b">
        <f t="shared" si="120"/>
        <v>1</v>
      </c>
      <c r="O1021" s="336">
        <v>1.3083000000000001E-3</v>
      </c>
      <c r="Q1021" s="101">
        <f t="shared" si="118"/>
        <v>2017</v>
      </c>
    </row>
    <row r="1022" spans="1:17">
      <c r="A1022" s="332" t="s">
        <v>322</v>
      </c>
      <c r="B1022" s="333" t="s">
        <v>1055</v>
      </c>
      <c r="C1022" s="423" t="s">
        <v>331</v>
      </c>
      <c r="D1022" s="332" t="s">
        <v>1056</v>
      </c>
      <c r="E1022" s="333">
        <v>201611</v>
      </c>
      <c r="F1022" s="334">
        <v>9.75</v>
      </c>
      <c r="G1022" s="521">
        <f t="shared" si="114"/>
        <v>5.5</v>
      </c>
      <c r="H1022" s="336">
        <v>1.1999999999999999E-3</v>
      </c>
      <c r="I1022" s="523">
        <f t="shared" si="115"/>
        <v>0.06</v>
      </c>
      <c r="J1022" s="523">
        <f t="shared" si="116"/>
        <v>0.14000000000000001</v>
      </c>
      <c r="L1022" s="101">
        <f t="shared" si="117"/>
        <v>1.44E-2</v>
      </c>
      <c r="M1022" s="413">
        <f t="shared" si="119"/>
        <v>1.1999999999999999E-3</v>
      </c>
      <c r="N1022" s="101" t="b">
        <f t="shared" si="120"/>
        <v>0</v>
      </c>
      <c r="O1022" s="336">
        <v>1.3083000000000001E-3</v>
      </c>
      <c r="Q1022" s="101">
        <f t="shared" si="118"/>
        <v>2017</v>
      </c>
    </row>
    <row r="1023" spans="1:17">
      <c r="A1023" s="332" t="s">
        <v>322</v>
      </c>
      <c r="B1023" s="333" t="s">
        <v>1055</v>
      </c>
      <c r="C1023" s="423" t="s">
        <v>331</v>
      </c>
      <c r="D1023" s="332" t="s">
        <v>1056</v>
      </c>
      <c r="E1023" s="333">
        <v>201611</v>
      </c>
      <c r="F1023" s="334">
        <v>194.01</v>
      </c>
      <c r="G1023" s="521">
        <f t="shared" si="114"/>
        <v>5.5</v>
      </c>
      <c r="H1023" s="336">
        <v>1.1999999999999999E-3</v>
      </c>
      <c r="I1023" s="523">
        <f t="shared" si="115"/>
        <v>1.28</v>
      </c>
      <c r="J1023" s="523">
        <f t="shared" si="116"/>
        <v>2.79</v>
      </c>
      <c r="L1023" s="101">
        <f t="shared" si="117"/>
        <v>1.44E-2</v>
      </c>
      <c r="M1023" s="413">
        <f t="shared" si="119"/>
        <v>1.1999999999999999E-3</v>
      </c>
      <c r="N1023" s="101" t="b">
        <f t="shared" si="120"/>
        <v>0</v>
      </c>
      <c r="O1023" s="336">
        <v>1.3083000000000001E-3</v>
      </c>
      <c r="Q1023" s="101">
        <f t="shared" si="118"/>
        <v>2017</v>
      </c>
    </row>
    <row r="1024" spans="1:17">
      <c r="A1024" s="332" t="s">
        <v>318</v>
      </c>
      <c r="B1024" s="333" t="s">
        <v>1055</v>
      </c>
      <c r="C1024" s="423" t="s">
        <v>331</v>
      </c>
      <c r="D1024" s="332" t="s">
        <v>1056</v>
      </c>
      <c r="E1024" s="333">
        <v>201611</v>
      </c>
      <c r="F1024" s="334">
        <v>84.8</v>
      </c>
      <c r="G1024" s="521">
        <f t="shared" si="114"/>
        <v>5.5</v>
      </c>
      <c r="H1024" s="336">
        <v>1.3083000000000001E-3</v>
      </c>
      <c r="I1024" s="523">
        <f t="shared" si="115"/>
        <v>0.61</v>
      </c>
      <c r="J1024" s="523">
        <f t="shared" si="116"/>
        <v>1.33</v>
      </c>
      <c r="L1024" s="101">
        <f t="shared" si="117"/>
        <v>1.5699999999999999E-2</v>
      </c>
      <c r="M1024" s="413">
        <f t="shared" si="119"/>
        <v>1.3083000000000001E-3</v>
      </c>
      <c r="N1024" s="101" t="b">
        <f t="shared" si="120"/>
        <v>1</v>
      </c>
      <c r="O1024" s="336">
        <v>1.3083000000000001E-3</v>
      </c>
      <c r="Q1024" s="101">
        <f t="shared" si="118"/>
        <v>2017</v>
      </c>
    </row>
    <row r="1025" spans="1:17">
      <c r="A1025" s="332" t="s">
        <v>318</v>
      </c>
      <c r="B1025" s="333" t="s">
        <v>1081</v>
      </c>
      <c r="C1025" s="423" t="s">
        <v>331</v>
      </c>
      <c r="D1025" s="332" t="s">
        <v>1082</v>
      </c>
      <c r="E1025" s="333">
        <v>201611</v>
      </c>
      <c r="F1025" s="334">
        <v>-584.21</v>
      </c>
      <c r="G1025" s="521">
        <f t="shared" si="114"/>
        <v>5.5</v>
      </c>
      <c r="H1025" s="336">
        <v>1.3083000000000001E-3</v>
      </c>
      <c r="I1025" s="523">
        <f t="shared" si="115"/>
        <v>-4.2</v>
      </c>
      <c r="J1025" s="523">
        <f t="shared" si="116"/>
        <v>-9.17</v>
      </c>
      <c r="L1025" s="101">
        <f t="shared" si="117"/>
        <v>1.5699999999999999E-2</v>
      </c>
      <c r="M1025" s="413">
        <f t="shared" si="119"/>
        <v>1.3083000000000001E-3</v>
      </c>
      <c r="N1025" s="101" t="b">
        <f t="shared" si="120"/>
        <v>1</v>
      </c>
      <c r="O1025" s="336">
        <v>1.3083000000000001E-3</v>
      </c>
      <c r="Q1025" s="101">
        <f t="shared" si="118"/>
        <v>2017</v>
      </c>
    </row>
    <row r="1026" spans="1:17">
      <c r="A1026" s="332" t="s">
        <v>318</v>
      </c>
      <c r="B1026" s="333" t="s">
        <v>1083</v>
      </c>
      <c r="C1026" s="423" t="s">
        <v>331</v>
      </c>
      <c r="D1026" s="332" t="s">
        <v>1084</v>
      </c>
      <c r="E1026" s="333">
        <v>201611</v>
      </c>
      <c r="F1026" s="334">
        <v>2729.79</v>
      </c>
      <c r="G1026" s="521">
        <f t="shared" si="114"/>
        <v>5.5</v>
      </c>
      <c r="H1026" s="336">
        <v>1.3083000000000001E-3</v>
      </c>
      <c r="I1026" s="523">
        <f t="shared" si="115"/>
        <v>19.64</v>
      </c>
      <c r="J1026" s="523">
        <f t="shared" si="116"/>
        <v>42.86</v>
      </c>
      <c r="L1026" s="101">
        <f t="shared" si="117"/>
        <v>1.5699999999999999E-2</v>
      </c>
      <c r="M1026" s="413">
        <f t="shared" si="119"/>
        <v>1.3083000000000001E-3</v>
      </c>
      <c r="N1026" s="101" t="b">
        <f t="shared" si="120"/>
        <v>1</v>
      </c>
      <c r="O1026" s="336">
        <v>1.3083000000000001E-3</v>
      </c>
      <c r="Q1026" s="101">
        <f t="shared" si="118"/>
        <v>2017</v>
      </c>
    </row>
    <row r="1027" spans="1:17" ht="15">
      <c r="A1027" s="332" t="s">
        <v>318</v>
      </c>
      <c r="B1027" s="333" t="s">
        <v>1010</v>
      </c>
      <c r="C1027" s="424" t="s">
        <v>331</v>
      </c>
      <c r="D1027" s="332" t="s">
        <v>1011</v>
      </c>
      <c r="E1027" s="333">
        <v>201611</v>
      </c>
      <c r="F1027" s="334">
        <v>0.41</v>
      </c>
      <c r="G1027" s="521">
        <f t="shared" si="114"/>
        <v>5.5</v>
      </c>
      <c r="H1027" s="336">
        <v>1.3083000000000001E-3</v>
      </c>
      <c r="I1027" s="523">
        <f t="shared" si="115"/>
        <v>0</v>
      </c>
      <c r="J1027" s="523">
        <f t="shared" si="116"/>
        <v>0.01</v>
      </c>
      <c r="L1027" s="101">
        <f t="shared" si="117"/>
        <v>1.5699999999999999E-2</v>
      </c>
      <c r="M1027" s="413">
        <f t="shared" si="119"/>
        <v>1.3083000000000001E-3</v>
      </c>
      <c r="N1027" s="101" t="b">
        <f t="shared" si="120"/>
        <v>1</v>
      </c>
      <c r="O1027" s="336">
        <v>1.3083000000000001E-3</v>
      </c>
      <c r="Q1027" s="101">
        <f t="shared" si="118"/>
        <v>2017</v>
      </c>
    </row>
    <row r="1028" spans="1:17" ht="15">
      <c r="A1028" s="332" t="s">
        <v>318</v>
      </c>
      <c r="B1028" s="333" t="s">
        <v>1010</v>
      </c>
      <c r="C1028" s="424" t="s">
        <v>331</v>
      </c>
      <c r="D1028" s="332" t="s">
        <v>1011</v>
      </c>
      <c r="E1028" s="333">
        <v>201611</v>
      </c>
      <c r="F1028" s="334">
        <v>5.27</v>
      </c>
      <c r="G1028" s="521">
        <f t="shared" si="114"/>
        <v>5.5</v>
      </c>
      <c r="H1028" s="336">
        <v>1.3083000000000001E-3</v>
      </c>
      <c r="I1028" s="523">
        <f t="shared" si="115"/>
        <v>0.04</v>
      </c>
      <c r="J1028" s="523">
        <f t="shared" si="116"/>
        <v>0.08</v>
      </c>
      <c r="L1028" s="101">
        <f t="shared" si="117"/>
        <v>1.5699999999999999E-2</v>
      </c>
      <c r="M1028" s="413">
        <f t="shared" si="119"/>
        <v>1.3083000000000001E-3</v>
      </c>
      <c r="N1028" s="101" t="b">
        <f t="shared" si="120"/>
        <v>1</v>
      </c>
      <c r="O1028" s="336">
        <v>1.3083000000000001E-3</v>
      </c>
      <c r="Q1028" s="101">
        <f t="shared" si="118"/>
        <v>2017</v>
      </c>
    </row>
    <row r="1029" spans="1:17">
      <c r="A1029" s="332" t="s">
        <v>318</v>
      </c>
      <c r="B1029" s="333" t="s">
        <v>1057</v>
      </c>
      <c r="C1029" s="423" t="s">
        <v>331</v>
      </c>
      <c r="D1029" s="332" t="s">
        <v>1058</v>
      </c>
      <c r="E1029" s="333">
        <v>201611</v>
      </c>
      <c r="F1029" s="334">
        <v>204.29</v>
      </c>
      <c r="G1029" s="521">
        <f t="shared" si="114"/>
        <v>5.5</v>
      </c>
      <c r="H1029" s="336">
        <v>1.3083000000000001E-3</v>
      </c>
      <c r="I1029" s="523">
        <f t="shared" si="115"/>
        <v>1.47</v>
      </c>
      <c r="J1029" s="523">
        <f t="shared" si="116"/>
        <v>3.21</v>
      </c>
      <c r="L1029" s="101">
        <f t="shared" si="117"/>
        <v>1.5699999999999999E-2</v>
      </c>
      <c r="M1029" s="413">
        <f t="shared" si="119"/>
        <v>1.3083000000000001E-3</v>
      </c>
      <c r="N1029" s="101" t="b">
        <f t="shared" si="120"/>
        <v>1</v>
      </c>
      <c r="O1029" s="336">
        <v>1.3083000000000001E-3</v>
      </c>
      <c r="Q1029" s="101">
        <f t="shared" si="118"/>
        <v>2017</v>
      </c>
    </row>
    <row r="1030" spans="1:17">
      <c r="A1030" s="332" t="s">
        <v>318</v>
      </c>
      <c r="B1030" s="333" t="s">
        <v>1057</v>
      </c>
      <c r="C1030" s="423" t="s">
        <v>331</v>
      </c>
      <c r="D1030" s="332" t="s">
        <v>1058</v>
      </c>
      <c r="E1030" s="333">
        <v>201611</v>
      </c>
      <c r="F1030" s="334">
        <v>3012.96</v>
      </c>
      <c r="G1030" s="521">
        <f t="shared" si="114"/>
        <v>5.5</v>
      </c>
      <c r="H1030" s="336">
        <v>1.3083000000000001E-3</v>
      </c>
      <c r="I1030" s="523">
        <f t="shared" si="115"/>
        <v>21.68</v>
      </c>
      <c r="J1030" s="523">
        <f t="shared" si="116"/>
        <v>47.3</v>
      </c>
      <c r="L1030" s="101">
        <f t="shared" si="117"/>
        <v>1.5699999999999999E-2</v>
      </c>
      <c r="M1030" s="413">
        <f t="shared" si="119"/>
        <v>1.3083000000000001E-3</v>
      </c>
      <c r="N1030" s="101" t="b">
        <f t="shared" si="120"/>
        <v>1</v>
      </c>
      <c r="O1030" s="336">
        <v>1.3083000000000001E-3</v>
      </c>
      <c r="Q1030" s="101">
        <f t="shared" si="118"/>
        <v>2017</v>
      </c>
    </row>
    <row r="1031" spans="1:17">
      <c r="A1031" s="332" t="s">
        <v>318</v>
      </c>
      <c r="B1031" s="333" t="s">
        <v>1075</v>
      </c>
      <c r="C1031" s="423" t="s">
        <v>331</v>
      </c>
      <c r="D1031" s="332" t="s">
        <v>1076</v>
      </c>
      <c r="E1031" s="333">
        <v>201611</v>
      </c>
      <c r="F1031" s="334">
        <v>-5153.08</v>
      </c>
      <c r="G1031" s="521">
        <f t="shared" si="114"/>
        <v>5.5</v>
      </c>
      <c r="H1031" s="336">
        <v>1.3083000000000001E-3</v>
      </c>
      <c r="I1031" s="523">
        <f t="shared" si="115"/>
        <v>-37.08</v>
      </c>
      <c r="J1031" s="523">
        <f t="shared" si="116"/>
        <v>-80.900000000000006</v>
      </c>
      <c r="L1031" s="101">
        <f t="shared" si="117"/>
        <v>1.5699999999999999E-2</v>
      </c>
      <c r="M1031" s="413">
        <f t="shared" si="119"/>
        <v>1.3083000000000001E-3</v>
      </c>
      <c r="N1031" s="101" t="b">
        <f t="shared" si="120"/>
        <v>1</v>
      </c>
      <c r="O1031" s="336">
        <v>1.3083000000000001E-3</v>
      </c>
      <c r="Q1031" s="101">
        <f t="shared" si="118"/>
        <v>2017</v>
      </c>
    </row>
    <row r="1032" spans="1:17">
      <c r="A1032" s="332" t="s">
        <v>318</v>
      </c>
      <c r="B1032" s="333" t="s">
        <v>1053</v>
      </c>
      <c r="C1032" s="423" t="s">
        <v>331</v>
      </c>
      <c r="D1032" s="332" t="s">
        <v>1054</v>
      </c>
      <c r="E1032" s="333">
        <v>201611</v>
      </c>
      <c r="F1032" s="334">
        <v>24.59</v>
      </c>
      <c r="G1032" s="521">
        <f t="shared" si="114"/>
        <v>5.5</v>
      </c>
      <c r="H1032" s="336">
        <v>1.3083000000000001E-3</v>
      </c>
      <c r="I1032" s="523">
        <f t="shared" si="115"/>
        <v>0.18</v>
      </c>
      <c r="J1032" s="523">
        <f t="shared" si="116"/>
        <v>0.39</v>
      </c>
      <c r="L1032" s="101">
        <f t="shared" si="117"/>
        <v>1.5699999999999999E-2</v>
      </c>
      <c r="M1032" s="413">
        <f t="shared" si="119"/>
        <v>1.3083000000000001E-3</v>
      </c>
      <c r="N1032" s="101" t="b">
        <f t="shared" si="120"/>
        <v>1</v>
      </c>
      <c r="O1032" s="336">
        <v>1.3083000000000001E-3</v>
      </c>
      <c r="Q1032" s="101">
        <f t="shared" si="118"/>
        <v>2017</v>
      </c>
    </row>
    <row r="1033" spans="1:17">
      <c r="A1033" s="332" t="s">
        <v>322</v>
      </c>
      <c r="B1033" s="333" t="s">
        <v>943</v>
      </c>
      <c r="C1033" s="423" t="s">
        <v>331</v>
      </c>
      <c r="D1033" s="332" t="s">
        <v>944</v>
      </c>
      <c r="E1033" s="333">
        <v>201612</v>
      </c>
      <c r="F1033" s="334">
        <v>-327.88</v>
      </c>
      <c r="G1033" s="521">
        <f t="shared" si="114"/>
        <v>4.5</v>
      </c>
      <c r="H1033" s="336">
        <v>1.1999999999999999E-3</v>
      </c>
      <c r="I1033" s="523">
        <f t="shared" si="115"/>
        <v>-1.77</v>
      </c>
      <c r="J1033" s="523">
        <f t="shared" si="116"/>
        <v>-4.72</v>
      </c>
      <c r="L1033" s="101">
        <f t="shared" si="117"/>
        <v>1.44E-2</v>
      </c>
      <c r="M1033" s="413">
        <f t="shared" si="119"/>
        <v>1.1999999999999999E-3</v>
      </c>
      <c r="N1033" s="101" t="b">
        <f t="shared" si="120"/>
        <v>0</v>
      </c>
      <c r="O1033" s="336">
        <v>1.3083000000000001E-3</v>
      </c>
      <c r="Q1033" s="101">
        <f t="shared" si="118"/>
        <v>2017</v>
      </c>
    </row>
    <row r="1034" spans="1:17" ht="15">
      <c r="A1034" s="332" t="s">
        <v>322</v>
      </c>
      <c r="B1034" s="333" t="s">
        <v>943</v>
      </c>
      <c r="C1034" s="424" t="s">
        <v>331</v>
      </c>
      <c r="D1034" s="332" t="s">
        <v>944</v>
      </c>
      <c r="E1034" s="333">
        <v>201612</v>
      </c>
      <c r="F1034" s="334">
        <v>-95.91</v>
      </c>
      <c r="G1034" s="521">
        <f t="shared" si="114"/>
        <v>4.5</v>
      </c>
      <c r="H1034" s="336">
        <v>1.1999999999999999E-3</v>
      </c>
      <c r="I1034" s="523">
        <f t="shared" si="115"/>
        <v>-0.52</v>
      </c>
      <c r="J1034" s="523">
        <f t="shared" si="116"/>
        <v>-1.38</v>
      </c>
      <c r="L1034" s="101">
        <f t="shared" si="117"/>
        <v>1.44E-2</v>
      </c>
      <c r="M1034" s="413">
        <f t="shared" si="119"/>
        <v>1.1999999999999999E-3</v>
      </c>
      <c r="N1034" s="101" t="b">
        <f t="shared" si="120"/>
        <v>0</v>
      </c>
      <c r="O1034" s="336">
        <v>1.3083000000000001E-3</v>
      </c>
      <c r="Q1034" s="101">
        <f t="shared" si="118"/>
        <v>2017</v>
      </c>
    </row>
    <row r="1035" spans="1:17" ht="15">
      <c r="A1035" s="332" t="s">
        <v>322</v>
      </c>
      <c r="B1035" s="333" t="s">
        <v>1122</v>
      </c>
      <c r="C1035" s="424" t="s">
        <v>331</v>
      </c>
      <c r="D1035" s="332" t="s">
        <v>1123</v>
      </c>
      <c r="E1035" s="333">
        <v>201612</v>
      </c>
      <c r="F1035" s="334">
        <v>7176.99</v>
      </c>
      <c r="G1035" s="521">
        <f t="shared" si="114"/>
        <v>4.5</v>
      </c>
      <c r="H1035" s="336">
        <v>1.1999999999999999E-3</v>
      </c>
      <c r="I1035" s="523">
        <f t="shared" si="115"/>
        <v>38.76</v>
      </c>
      <c r="J1035" s="523">
        <f t="shared" si="116"/>
        <v>103.35</v>
      </c>
      <c r="L1035" s="101">
        <f t="shared" si="117"/>
        <v>1.44E-2</v>
      </c>
      <c r="M1035" s="413">
        <f t="shared" si="119"/>
        <v>1.1999999999999999E-3</v>
      </c>
      <c r="N1035" s="101" t="b">
        <f t="shared" si="120"/>
        <v>1</v>
      </c>
      <c r="O1035" s="336">
        <v>1.1999999999999999E-3</v>
      </c>
      <c r="Q1035" s="101">
        <f t="shared" si="118"/>
        <v>2017</v>
      </c>
    </row>
    <row r="1036" spans="1:17" ht="15">
      <c r="A1036" s="332" t="s">
        <v>322</v>
      </c>
      <c r="B1036" s="333" t="s">
        <v>1122</v>
      </c>
      <c r="C1036" s="424" t="s">
        <v>331</v>
      </c>
      <c r="D1036" s="332" t="s">
        <v>1123</v>
      </c>
      <c r="E1036" s="333">
        <v>201612</v>
      </c>
      <c r="F1036" s="334">
        <v>81125.009999999995</v>
      </c>
      <c r="G1036" s="521">
        <f t="shared" si="114"/>
        <v>4.5</v>
      </c>
      <c r="H1036" s="336">
        <v>1.1999999999999999E-3</v>
      </c>
      <c r="I1036" s="523">
        <f t="shared" si="115"/>
        <v>438.08</v>
      </c>
      <c r="J1036" s="523">
        <f t="shared" si="116"/>
        <v>1168.2</v>
      </c>
      <c r="L1036" s="101">
        <f t="shared" si="117"/>
        <v>1.44E-2</v>
      </c>
      <c r="M1036" s="413">
        <f t="shared" si="119"/>
        <v>1.1999999999999999E-3</v>
      </c>
      <c r="N1036" s="101" t="b">
        <f t="shared" si="120"/>
        <v>0</v>
      </c>
      <c r="O1036" s="336">
        <v>1.3083000000000001E-3</v>
      </c>
      <c r="Q1036" s="101">
        <f t="shared" si="118"/>
        <v>2017</v>
      </c>
    </row>
    <row r="1037" spans="1:17" ht="15">
      <c r="A1037" s="332" t="s">
        <v>318</v>
      </c>
      <c r="B1037" s="333" t="s">
        <v>893</v>
      </c>
      <c r="C1037" s="424" t="s">
        <v>331</v>
      </c>
      <c r="D1037" s="332" t="s">
        <v>894</v>
      </c>
      <c r="E1037" s="333">
        <v>201612</v>
      </c>
      <c r="F1037" s="334">
        <v>8877.27</v>
      </c>
      <c r="G1037" s="521">
        <f t="shared" si="114"/>
        <v>4.5</v>
      </c>
      <c r="H1037" s="336">
        <v>1.3083000000000001E-3</v>
      </c>
      <c r="I1037" s="523">
        <f t="shared" si="115"/>
        <v>52.26</v>
      </c>
      <c r="J1037" s="523">
        <f t="shared" si="116"/>
        <v>139.37</v>
      </c>
      <c r="L1037" s="101">
        <f t="shared" si="117"/>
        <v>1.5699999999999999E-2</v>
      </c>
      <c r="M1037" s="413">
        <f t="shared" si="119"/>
        <v>1.3083000000000001E-3</v>
      </c>
      <c r="N1037" s="101" t="b">
        <f t="shared" si="120"/>
        <v>1</v>
      </c>
      <c r="O1037" s="336">
        <v>1.3083000000000001E-3</v>
      </c>
      <c r="Q1037" s="101">
        <f t="shared" si="118"/>
        <v>2017</v>
      </c>
    </row>
    <row r="1038" spans="1:17">
      <c r="A1038" s="332" t="s">
        <v>318</v>
      </c>
      <c r="B1038" s="333" t="s">
        <v>969</v>
      </c>
      <c r="C1038" s="423" t="s">
        <v>331</v>
      </c>
      <c r="D1038" s="332" t="s">
        <v>970</v>
      </c>
      <c r="E1038" s="333">
        <v>201612</v>
      </c>
      <c r="F1038" s="334">
        <v>-8500.25</v>
      </c>
      <c r="G1038" s="521">
        <f t="shared" si="114"/>
        <v>4.5</v>
      </c>
      <c r="H1038" s="336">
        <v>1.3083000000000001E-3</v>
      </c>
      <c r="I1038" s="523">
        <f t="shared" si="115"/>
        <v>-50.04</v>
      </c>
      <c r="J1038" s="523">
        <f t="shared" si="116"/>
        <v>-133.44999999999999</v>
      </c>
      <c r="L1038" s="101">
        <f t="shared" si="117"/>
        <v>1.5699999999999999E-2</v>
      </c>
      <c r="M1038" s="413">
        <f t="shared" si="119"/>
        <v>1.3083000000000001E-3</v>
      </c>
      <c r="N1038" s="101" t="b">
        <f t="shared" si="120"/>
        <v>1</v>
      </c>
      <c r="O1038" s="336">
        <v>1.3083000000000001E-3</v>
      </c>
      <c r="Q1038" s="101">
        <f t="shared" si="118"/>
        <v>2017</v>
      </c>
    </row>
    <row r="1039" spans="1:17">
      <c r="A1039" s="332" t="s">
        <v>318</v>
      </c>
      <c r="B1039" s="333" t="s">
        <v>969</v>
      </c>
      <c r="C1039" s="423" t="s">
        <v>331</v>
      </c>
      <c r="D1039" s="332" t="s">
        <v>970</v>
      </c>
      <c r="E1039" s="333">
        <v>201612</v>
      </c>
      <c r="F1039" s="334">
        <v>8500.25</v>
      </c>
      <c r="G1039" s="521">
        <f t="shared" si="114"/>
        <v>4.5</v>
      </c>
      <c r="H1039" s="336">
        <v>1.3083000000000001E-3</v>
      </c>
      <c r="I1039" s="523">
        <f t="shared" si="115"/>
        <v>50.04</v>
      </c>
      <c r="J1039" s="523">
        <f t="shared" si="116"/>
        <v>133.44999999999999</v>
      </c>
      <c r="L1039" s="101">
        <f t="shared" si="117"/>
        <v>1.5699999999999999E-2</v>
      </c>
      <c r="M1039" s="413">
        <f t="shared" si="119"/>
        <v>1.3083000000000001E-3</v>
      </c>
      <c r="N1039" s="101" t="b">
        <f t="shared" si="120"/>
        <v>1</v>
      </c>
      <c r="O1039" s="336">
        <v>1.3083000000000001E-3</v>
      </c>
      <c r="Q1039" s="101">
        <f t="shared" si="118"/>
        <v>2017</v>
      </c>
    </row>
    <row r="1040" spans="1:17">
      <c r="A1040" s="332" t="s">
        <v>322</v>
      </c>
      <c r="B1040" s="333" t="s">
        <v>1124</v>
      </c>
      <c r="C1040" s="423" t="s">
        <v>331</v>
      </c>
      <c r="D1040" s="332" t="s">
        <v>1125</v>
      </c>
      <c r="E1040" s="333">
        <v>201612</v>
      </c>
      <c r="F1040" s="334">
        <v>426.74</v>
      </c>
      <c r="G1040" s="521">
        <f t="shared" si="114"/>
        <v>4.5</v>
      </c>
      <c r="H1040" s="336">
        <v>1.1999999999999999E-3</v>
      </c>
      <c r="I1040" s="523">
        <f t="shared" si="115"/>
        <v>2.2999999999999998</v>
      </c>
      <c r="J1040" s="523">
        <f t="shared" si="116"/>
        <v>6.15</v>
      </c>
      <c r="L1040" s="101">
        <f t="shared" si="117"/>
        <v>1.44E-2</v>
      </c>
      <c r="M1040" s="413">
        <f t="shared" si="119"/>
        <v>1.1999999999999999E-3</v>
      </c>
      <c r="N1040" s="101" t="b">
        <f t="shared" si="120"/>
        <v>0</v>
      </c>
      <c r="O1040" s="336">
        <v>1.3083000000000001E-3</v>
      </c>
      <c r="Q1040" s="101">
        <f t="shared" si="118"/>
        <v>2017</v>
      </c>
    </row>
    <row r="1041" spans="1:17" ht="15">
      <c r="A1041" s="332" t="s">
        <v>322</v>
      </c>
      <c r="B1041" s="333" t="s">
        <v>1124</v>
      </c>
      <c r="C1041" s="424" t="s">
        <v>331</v>
      </c>
      <c r="D1041" s="332" t="s">
        <v>1125</v>
      </c>
      <c r="E1041" s="333">
        <v>201612</v>
      </c>
      <c r="F1041" s="334">
        <v>105619.29</v>
      </c>
      <c r="G1041" s="521">
        <f t="shared" si="114"/>
        <v>4.5</v>
      </c>
      <c r="H1041" s="336">
        <v>1.1999999999999999E-3</v>
      </c>
      <c r="I1041" s="523">
        <f t="shared" si="115"/>
        <v>570.34</v>
      </c>
      <c r="J1041" s="523">
        <f t="shared" si="116"/>
        <v>1520.92</v>
      </c>
      <c r="L1041" s="101">
        <f t="shared" si="117"/>
        <v>1.44E-2</v>
      </c>
      <c r="M1041" s="413">
        <f t="shared" si="119"/>
        <v>1.1999999999999999E-3</v>
      </c>
      <c r="N1041" s="101" t="b">
        <f t="shared" si="120"/>
        <v>0</v>
      </c>
      <c r="O1041" s="336">
        <v>1.3083000000000001E-3</v>
      </c>
      <c r="Q1041" s="101">
        <f t="shared" si="118"/>
        <v>2017</v>
      </c>
    </row>
    <row r="1042" spans="1:17" ht="15">
      <c r="A1042" s="332" t="s">
        <v>318</v>
      </c>
      <c r="B1042" s="333" t="s">
        <v>899</v>
      </c>
      <c r="C1042" s="424" t="s">
        <v>331</v>
      </c>
      <c r="D1042" s="332" t="s">
        <v>900</v>
      </c>
      <c r="E1042" s="333">
        <v>201612</v>
      </c>
      <c r="F1042" s="334">
        <v>-78074.33</v>
      </c>
      <c r="G1042" s="521">
        <f t="shared" si="114"/>
        <v>4.5</v>
      </c>
      <c r="H1042" s="336">
        <v>1.3083000000000001E-3</v>
      </c>
      <c r="I1042" s="523">
        <f t="shared" si="115"/>
        <v>-459.65</v>
      </c>
      <c r="J1042" s="523">
        <f t="shared" si="116"/>
        <v>-1225.74</v>
      </c>
      <c r="L1042" s="101">
        <f t="shared" si="117"/>
        <v>1.5699999999999999E-2</v>
      </c>
      <c r="M1042" s="413">
        <f t="shared" si="119"/>
        <v>1.3083000000000001E-3</v>
      </c>
      <c r="N1042" s="101" t="b">
        <f t="shared" si="120"/>
        <v>1</v>
      </c>
      <c r="O1042" s="336">
        <v>1.3083000000000001E-3</v>
      </c>
      <c r="Q1042" s="101">
        <f t="shared" si="118"/>
        <v>2017</v>
      </c>
    </row>
    <row r="1043" spans="1:17">
      <c r="A1043" s="332" t="s">
        <v>318</v>
      </c>
      <c r="B1043" s="333" t="s">
        <v>899</v>
      </c>
      <c r="C1043" s="423" t="s">
        <v>331</v>
      </c>
      <c r="D1043" s="332" t="s">
        <v>900</v>
      </c>
      <c r="E1043" s="333">
        <v>201612</v>
      </c>
      <c r="F1043" s="334">
        <v>539.79</v>
      </c>
      <c r="G1043" s="521">
        <f t="shared" si="114"/>
        <v>4.5</v>
      </c>
      <c r="H1043" s="336">
        <v>1.3083000000000001E-3</v>
      </c>
      <c r="I1043" s="523">
        <f t="shared" si="115"/>
        <v>3.18</v>
      </c>
      <c r="J1043" s="523">
        <f t="shared" si="116"/>
        <v>8.4700000000000006</v>
      </c>
      <c r="L1043" s="101">
        <f t="shared" si="117"/>
        <v>1.5699999999999999E-2</v>
      </c>
      <c r="M1043" s="413">
        <f t="shared" si="119"/>
        <v>1.3083000000000001E-3</v>
      </c>
      <c r="N1043" s="101" t="b">
        <f t="shared" si="120"/>
        <v>1</v>
      </c>
      <c r="O1043" s="336">
        <v>1.3083000000000001E-3</v>
      </c>
      <c r="Q1043" s="101">
        <f t="shared" si="118"/>
        <v>2017</v>
      </c>
    </row>
    <row r="1044" spans="1:17">
      <c r="A1044" s="332" t="s">
        <v>318</v>
      </c>
      <c r="B1044" s="333" t="s">
        <v>899</v>
      </c>
      <c r="C1044" s="423" t="s">
        <v>331</v>
      </c>
      <c r="D1044" s="332" t="s">
        <v>900</v>
      </c>
      <c r="E1044" s="333">
        <v>201612</v>
      </c>
      <c r="F1044" s="334">
        <v>73798.64</v>
      </c>
      <c r="G1044" s="521">
        <f t="shared" si="114"/>
        <v>4.5</v>
      </c>
      <c r="H1044" s="336">
        <v>1.3083000000000001E-3</v>
      </c>
      <c r="I1044" s="523">
        <f t="shared" si="115"/>
        <v>434.48</v>
      </c>
      <c r="J1044" s="523">
        <f t="shared" si="116"/>
        <v>1158.6099999999999</v>
      </c>
      <c r="L1044" s="101">
        <f t="shared" si="117"/>
        <v>1.5699999999999999E-2</v>
      </c>
      <c r="M1044" s="413">
        <f t="shared" si="119"/>
        <v>1.3083000000000001E-3</v>
      </c>
      <c r="N1044" s="101" t="b">
        <f t="shared" si="120"/>
        <v>1</v>
      </c>
      <c r="O1044" s="336">
        <v>1.3083000000000001E-3</v>
      </c>
      <c r="Q1044" s="101">
        <f t="shared" si="118"/>
        <v>2017</v>
      </c>
    </row>
    <row r="1045" spans="1:17">
      <c r="A1045" s="332" t="s">
        <v>318</v>
      </c>
      <c r="B1045" s="333" t="s">
        <v>891</v>
      </c>
      <c r="C1045" s="423" t="s">
        <v>331</v>
      </c>
      <c r="D1045" s="332" t="s">
        <v>892</v>
      </c>
      <c r="E1045" s="333">
        <v>201612</v>
      </c>
      <c r="F1045" s="334">
        <v>21.1</v>
      </c>
      <c r="G1045" s="521">
        <f t="shared" si="114"/>
        <v>4.5</v>
      </c>
      <c r="H1045" s="336">
        <v>1.3083000000000001E-3</v>
      </c>
      <c r="I1045" s="523">
        <f t="shared" si="115"/>
        <v>0.12</v>
      </c>
      <c r="J1045" s="523">
        <f t="shared" si="116"/>
        <v>0.33</v>
      </c>
      <c r="L1045" s="101">
        <f t="shared" si="117"/>
        <v>1.5699999999999999E-2</v>
      </c>
      <c r="M1045" s="413">
        <f t="shared" si="119"/>
        <v>1.3083000000000001E-3</v>
      </c>
      <c r="N1045" s="101" t="b">
        <f t="shared" si="120"/>
        <v>0</v>
      </c>
      <c r="O1045" s="336">
        <v>1.1999999999999999E-3</v>
      </c>
      <c r="Q1045" s="101">
        <f t="shared" si="118"/>
        <v>2017</v>
      </c>
    </row>
    <row r="1046" spans="1:17">
      <c r="A1046" s="332" t="s">
        <v>322</v>
      </c>
      <c r="B1046" s="333" t="s">
        <v>1055</v>
      </c>
      <c r="C1046" s="423" t="s">
        <v>331</v>
      </c>
      <c r="D1046" s="332" t="s">
        <v>1056</v>
      </c>
      <c r="E1046" s="333">
        <v>201612</v>
      </c>
      <c r="F1046" s="334">
        <v>-16.07</v>
      </c>
      <c r="G1046" s="521">
        <f t="shared" si="114"/>
        <v>4.5</v>
      </c>
      <c r="H1046" s="336">
        <v>1.1999999999999999E-3</v>
      </c>
      <c r="I1046" s="523">
        <f t="shared" si="115"/>
        <v>-0.09</v>
      </c>
      <c r="J1046" s="523">
        <f t="shared" si="116"/>
        <v>-0.23</v>
      </c>
      <c r="L1046" s="101">
        <f t="shared" si="117"/>
        <v>1.44E-2</v>
      </c>
      <c r="M1046" s="413">
        <f t="shared" si="119"/>
        <v>1.1999999999999999E-3</v>
      </c>
      <c r="N1046" s="101" t="b">
        <f t="shared" si="120"/>
        <v>0</v>
      </c>
      <c r="O1046" s="336">
        <v>1.3083000000000001E-3</v>
      </c>
      <c r="Q1046" s="101">
        <f t="shared" si="118"/>
        <v>2017</v>
      </c>
    </row>
    <row r="1047" spans="1:17" ht="15">
      <c r="A1047" s="481" t="s">
        <v>322</v>
      </c>
      <c r="B1047" s="485" t="s">
        <v>1055</v>
      </c>
      <c r="C1047" s="428" t="s">
        <v>331</v>
      </c>
      <c r="D1047" s="481" t="s">
        <v>1056</v>
      </c>
      <c r="E1047" s="485">
        <v>201612</v>
      </c>
      <c r="F1047" s="482">
        <v>-0.81</v>
      </c>
      <c r="G1047" s="481">
        <f t="shared" si="114"/>
        <v>4.5</v>
      </c>
      <c r="H1047" s="451">
        <v>1.1999999999999999E-3</v>
      </c>
      <c r="I1047" s="523">
        <f t="shared" si="115"/>
        <v>0</v>
      </c>
      <c r="J1047" s="523">
        <f t="shared" si="116"/>
        <v>-0.01</v>
      </c>
      <c r="L1047" s="101">
        <f t="shared" si="117"/>
        <v>1.44E-2</v>
      </c>
      <c r="M1047" s="413">
        <f t="shared" si="119"/>
        <v>1.1999999999999999E-3</v>
      </c>
      <c r="N1047" s="101" t="b">
        <f t="shared" si="120"/>
        <v>0</v>
      </c>
      <c r="O1047" s="336">
        <v>1.3083000000000001E-3</v>
      </c>
      <c r="Q1047" s="101">
        <f t="shared" si="118"/>
        <v>2017</v>
      </c>
    </row>
    <row r="1048" spans="1:17">
      <c r="A1048" s="332" t="s">
        <v>318</v>
      </c>
      <c r="B1048" s="333" t="s">
        <v>1055</v>
      </c>
      <c r="C1048" s="423" t="s">
        <v>331</v>
      </c>
      <c r="D1048" s="332" t="s">
        <v>1056</v>
      </c>
      <c r="E1048" s="333">
        <v>201612</v>
      </c>
      <c r="F1048" s="334">
        <v>-7.02</v>
      </c>
      <c r="G1048" s="521">
        <f t="shared" si="114"/>
        <v>4.5</v>
      </c>
      <c r="H1048" s="336">
        <v>1.3083000000000001E-3</v>
      </c>
      <c r="I1048" s="523">
        <f t="shared" si="115"/>
        <v>-0.04</v>
      </c>
      <c r="J1048" s="523">
        <f t="shared" si="116"/>
        <v>-0.11</v>
      </c>
      <c r="L1048" s="101">
        <f t="shared" si="117"/>
        <v>1.5699999999999999E-2</v>
      </c>
      <c r="M1048" s="413">
        <f t="shared" si="119"/>
        <v>1.3083000000000001E-3</v>
      </c>
      <c r="N1048" s="101" t="b">
        <f t="shared" si="120"/>
        <v>1</v>
      </c>
      <c r="O1048" s="336">
        <v>1.3083000000000001E-3</v>
      </c>
      <c r="Q1048" s="101">
        <f t="shared" si="118"/>
        <v>2017</v>
      </c>
    </row>
    <row r="1049" spans="1:17">
      <c r="A1049" s="332" t="s">
        <v>318</v>
      </c>
      <c r="B1049" s="333" t="s">
        <v>1000</v>
      </c>
      <c r="C1049" s="423" t="s">
        <v>343</v>
      </c>
      <c r="D1049" s="332" t="s">
        <v>1001</v>
      </c>
      <c r="E1049" s="333">
        <v>201612</v>
      </c>
      <c r="F1049" s="334">
        <v>-135.94999999999999</v>
      </c>
      <c r="G1049" s="521">
        <f t="shared" si="114"/>
        <v>4.5</v>
      </c>
      <c r="H1049" s="336">
        <v>1.3083000000000001E-3</v>
      </c>
      <c r="I1049" s="523">
        <f t="shared" si="115"/>
        <v>-0.8</v>
      </c>
      <c r="J1049" s="523">
        <f t="shared" si="116"/>
        <v>-2.13</v>
      </c>
      <c r="L1049" s="101">
        <f t="shared" si="117"/>
        <v>1.5699999999999999E-2</v>
      </c>
      <c r="M1049" s="413">
        <f t="shared" si="119"/>
        <v>1.3083000000000001E-3</v>
      </c>
      <c r="N1049" s="101" t="b">
        <f t="shared" si="120"/>
        <v>1</v>
      </c>
      <c r="O1049" s="336">
        <v>1.3083000000000001E-3</v>
      </c>
      <c r="Q1049" s="101">
        <f t="shared" si="118"/>
        <v>2017</v>
      </c>
    </row>
    <row r="1050" spans="1:17" ht="15">
      <c r="A1050" s="332" t="s">
        <v>318</v>
      </c>
      <c r="B1050" s="333" t="s">
        <v>1000</v>
      </c>
      <c r="C1050" s="424" t="s">
        <v>343</v>
      </c>
      <c r="D1050" s="332" t="s">
        <v>1001</v>
      </c>
      <c r="E1050" s="333">
        <v>201612</v>
      </c>
      <c r="F1050" s="334">
        <v>-1.1499999999999999</v>
      </c>
      <c r="G1050" s="521">
        <f t="shared" si="114"/>
        <v>4.5</v>
      </c>
      <c r="H1050" s="336">
        <v>1.3083000000000001E-3</v>
      </c>
      <c r="I1050" s="523">
        <f t="shared" si="115"/>
        <v>-0.01</v>
      </c>
      <c r="J1050" s="523">
        <f t="shared" si="116"/>
        <v>-0.02</v>
      </c>
      <c r="L1050" s="101">
        <f t="shared" ref="L1050:L1059" si="121">+IF(LEFT(A1050,4)="3763",0.0157,IF(LEFT(A1050,4)="3761",0.0144,"0"))</f>
        <v>1.5699999999999999E-2</v>
      </c>
      <c r="M1050" s="413">
        <f t="shared" si="119"/>
        <v>1.3083000000000001E-3</v>
      </c>
      <c r="N1050" s="101" t="b">
        <f t="shared" si="120"/>
        <v>1</v>
      </c>
      <c r="O1050" s="336">
        <v>1.3083000000000001E-3</v>
      </c>
      <c r="Q1050" s="101">
        <f t="shared" si="118"/>
        <v>2017</v>
      </c>
    </row>
    <row r="1051" spans="1:17" ht="15">
      <c r="A1051" s="332" t="s">
        <v>318</v>
      </c>
      <c r="B1051" s="333" t="s">
        <v>1081</v>
      </c>
      <c r="C1051" s="424" t="s">
        <v>331</v>
      </c>
      <c r="D1051" s="332" t="s">
        <v>1082</v>
      </c>
      <c r="E1051" s="333">
        <v>201612</v>
      </c>
      <c r="F1051" s="334">
        <v>95.5</v>
      </c>
      <c r="G1051" s="521">
        <f t="shared" si="114"/>
        <v>4.5</v>
      </c>
      <c r="H1051" s="336">
        <v>1.3083000000000001E-3</v>
      </c>
      <c r="I1051" s="523">
        <f t="shared" si="115"/>
        <v>0.56000000000000005</v>
      </c>
      <c r="J1051" s="523">
        <f t="shared" si="116"/>
        <v>1.5</v>
      </c>
      <c r="L1051" s="101">
        <f t="shared" si="121"/>
        <v>1.5699999999999999E-2</v>
      </c>
      <c r="M1051" s="413">
        <f t="shared" si="119"/>
        <v>1.3083000000000001E-3</v>
      </c>
      <c r="N1051" s="101" t="b">
        <f t="shared" si="120"/>
        <v>1</v>
      </c>
      <c r="O1051" s="336">
        <v>1.3083000000000001E-3</v>
      </c>
      <c r="Q1051" s="101">
        <f t="shared" si="118"/>
        <v>2017</v>
      </c>
    </row>
    <row r="1052" spans="1:17" ht="15">
      <c r="A1052" s="394" t="s">
        <v>318</v>
      </c>
      <c r="B1052" s="380" t="s">
        <v>1008</v>
      </c>
      <c r="C1052" s="428" t="s">
        <v>331</v>
      </c>
      <c r="D1052" s="394" t="s">
        <v>1009</v>
      </c>
      <c r="E1052" s="380">
        <v>201612</v>
      </c>
      <c r="F1052" s="395">
        <v>-66.069999999999993</v>
      </c>
      <c r="G1052" s="521">
        <f t="shared" si="114"/>
        <v>4.5</v>
      </c>
      <c r="H1052" s="396">
        <v>1.3083000000000001E-3</v>
      </c>
      <c r="I1052" s="523">
        <f t="shared" si="115"/>
        <v>-0.39</v>
      </c>
      <c r="J1052" s="523">
        <f t="shared" si="116"/>
        <v>-1.04</v>
      </c>
      <c r="L1052" s="101">
        <f t="shared" si="121"/>
        <v>1.5699999999999999E-2</v>
      </c>
      <c r="M1052" s="413">
        <f t="shared" si="119"/>
        <v>1.3083000000000001E-3</v>
      </c>
      <c r="N1052" s="101" t="b">
        <f t="shared" si="120"/>
        <v>1</v>
      </c>
      <c r="O1052" s="336">
        <v>1.3083000000000001E-3</v>
      </c>
      <c r="Q1052" s="101">
        <f t="shared" si="118"/>
        <v>2017</v>
      </c>
    </row>
    <row r="1053" spans="1:17" ht="15">
      <c r="A1053" s="394" t="s">
        <v>318</v>
      </c>
      <c r="B1053" s="380" t="s">
        <v>1083</v>
      </c>
      <c r="C1053" s="428" t="s">
        <v>331</v>
      </c>
      <c r="D1053" s="394" t="s">
        <v>1084</v>
      </c>
      <c r="E1053" s="380">
        <v>201612</v>
      </c>
      <c r="F1053" s="395">
        <v>215.03</v>
      </c>
      <c r="G1053" s="521">
        <f t="shared" si="114"/>
        <v>4.5</v>
      </c>
      <c r="H1053" s="396">
        <v>1.3083000000000001E-3</v>
      </c>
      <c r="I1053" s="523">
        <f t="shared" si="115"/>
        <v>1.27</v>
      </c>
      <c r="J1053" s="523">
        <f t="shared" si="116"/>
        <v>3.38</v>
      </c>
      <c r="L1053" s="101">
        <f t="shared" si="121"/>
        <v>1.5699999999999999E-2</v>
      </c>
      <c r="M1053" s="413">
        <f t="shared" si="119"/>
        <v>1.3083000000000001E-3</v>
      </c>
      <c r="N1053" s="101" t="b">
        <f t="shared" si="120"/>
        <v>1</v>
      </c>
      <c r="O1053" s="336">
        <v>1.3083000000000001E-3</v>
      </c>
      <c r="Q1053" s="101">
        <f t="shared" si="118"/>
        <v>2017</v>
      </c>
    </row>
    <row r="1054" spans="1:17" ht="15">
      <c r="A1054" s="332" t="s">
        <v>318</v>
      </c>
      <c r="B1054" s="333" t="s">
        <v>1010</v>
      </c>
      <c r="C1054" s="424" t="s">
        <v>331</v>
      </c>
      <c r="D1054" s="332" t="s">
        <v>1011</v>
      </c>
      <c r="E1054" s="333">
        <v>201612</v>
      </c>
      <c r="F1054" s="334">
        <v>-2.58</v>
      </c>
      <c r="G1054" s="521">
        <f t="shared" si="114"/>
        <v>4.5</v>
      </c>
      <c r="H1054" s="336">
        <v>1.3083000000000001E-3</v>
      </c>
      <c r="I1054" s="523">
        <f t="shared" si="115"/>
        <v>-0.02</v>
      </c>
      <c r="J1054" s="523">
        <f t="shared" si="116"/>
        <v>-0.04</v>
      </c>
      <c r="L1054" s="101">
        <f t="shared" si="121"/>
        <v>1.5699999999999999E-2</v>
      </c>
      <c r="M1054" s="413">
        <f t="shared" si="119"/>
        <v>1.3083000000000001E-3</v>
      </c>
      <c r="N1054" s="101" t="b">
        <f t="shared" si="120"/>
        <v>1</v>
      </c>
      <c r="O1054" s="336">
        <v>1.3083000000000001E-3</v>
      </c>
      <c r="Q1054" s="101">
        <f t="shared" si="118"/>
        <v>2017</v>
      </c>
    </row>
    <row r="1055" spans="1:17" ht="15">
      <c r="A1055" s="332" t="s">
        <v>318</v>
      </c>
      <c r="B1055" s="333" t="s">
        <v>1010</v>
      </c>
      <c r="C1055" s="424" t="s">
        <v>331</v>
      </c>
      <c r="D1055" s="332" t="s">
        <v>1011</v>
      </c>
      <c r="E1055" s="333">
        <v>201612</v>
      </c>
      <c r="F1055" s="334">
        <v>-0.2</v>
      </c>
      <c r="G1055" s="521">
        <f t="shared" si="114"/>
        <v>4.5</v>
      </c>
      <c r="H1055" s="336">
        <v>1.3083000000000001E-3</v>
      </c>
      <c r="I1055" s="523">
        <f t="shared" si="115"/>
        <v>0</v>
      </c>
      <c r="J1055" s="523">
        <f t="shared" si="116"/>
        <v>0</v>
      </c>
      <c r="L1055" s="101">
        <f t="shared" si="121"/>
        <v>1.5699999999999999E-2</v>
      </c>
      <c r="M1055" s="413">
        <f t="shared" si="119"/>
        <v>1.3083000000000001E-3</v>
      </c>
      <c r="N1055" s="101" t="b">
        <f t="shared" si="120"/>
        <v>1</v>
      </c>
      <c r="O1055" s="336">
        <v>1.3083000000000001E-3</v>
      </c>
      <c r="Q1055" s="101">
        <f t="shared" si="118"/>
        <v>2017</v>
      </c>
    </row>
    <row r="1056" spans="1:17" ht="15">
      <c r="A1056" s="332" t="s">
        <v>318</v>
      </c>
      <c r="B1056" s="333" t="s">
        <v>1057</v>
      </c>
      <c r="C1056" s="424" t="s">
        <v>331</v>
      </c>
      <c r="D1056" s="332" t="s">
        <v>1058</v>
      </c>
      <c r="E1056" s="333">
        <v>201612</v>
      </c>
      <c r="F1056" s="334">
        <v>280.83</v>
      </c>
      <c r="G1056" s="521">
        <f t="shared" si="114"/>
        <v>4.5</v>
      </c>
      <c r="H1056" s="336">
        <v>1.3083000000000001E-3</v>
      </c>
      <c r="I1056" s="523">
        <f t="shared" si="115"/>
        <v>1.65</v>
      </c>
      <c r="J1056" s="523">
        <f t="shared" si="116"/>
        <v>4.41</v>
      </c>
      <c r="L1056" s="101">
        <f t="shared" si="121"/>
        <v>1.5699999999999999E-2</v>
      </c>
      <c r="M1056" s="413">
        <f t="shared" si="119"/>
        <v>1.3083000000000001E-3</v>
      </c>
      <c r="N1056" s="101" t="b">
        <f t="shared" si="120"/>
        <v>1</v>
      </c>
      <c r="O1056" s="336">
        <v>1.3083000000000001E-3</v>
      </c>
      <c r="Q1056" s="101">
        <f t="shared" si="118"/>
        <v>2017</v>
      </c>
    </row>
    <row r="1057" spans="1:17">
      <c r="A1057" s="332" t="s">
        <v>318</v>
      </c>
      <c r="B1057" s="333" t="s">
        <v>1057</v>
      </c>
      <c r="C1057" s="423" t="s">
        <v>331</v>
      </c>
      <c r="D1057" s="332" t="s">
        <v>1058</v>
      </c>
      <c r="E1057" s="333">
        <v>201612</v>
      </c>
      <c r="F1057" s="334">
        <v>4142.01</v>
      </c>
      <c r="G1057" s="521">
        <f t="shared" si="114"/>
        <v>4.5</v>
      </c>
      <c r="H1057" s="336">
        <v>1.3083000000000001E-3</v>
      </c>
      <c r="I1057" s="523">
        <f t="shared" si="115"/>
        <v>24.39</v>
      </c>
      <c r="J1057" s="523">
        <f t="shared" si="116"/>
        <v>65.03</v>
      </c>
      <c r="L1057" s="101">
        <f t="shared" si="121"/>
        <v>1.5699999999999999E-2</v>
      </c>
      <c r="M1057" s="413">
        <f t="shared" si="119"/>
        <v>1.3083000000000001E-3</v>
      </c>
      <c r="N1057" s="101" t="b">
        <f t="shared" si="120"/>
        <v>1</v>
      </c>
      <c r="O1057" s="336">
        <v>1.3083000000000001E-3</v>
      </c>
      <c r="Q1057" s="101">
        <f t="shared" si="118"/>
        <v>2017</v>
      </c>
    </row>
    <row r="1058" spans="1:17">
      <c r="A1058" s="332" t="s">
        <v>318</v>
      </c>
      <c r="B1058" s="333" t="s">
        <v>1075</v>
      </c>
      <c r="C1058" s="423" t="s">
        <v>331</v>
      </c>
      <c r="D1058" s="332" t="s">
        <v>1076</v>
      </c>
      <c r="E1058" s="333">
        <v>201612</v>
      </c>
      <c r="F1058" s="334">
        <v>2459.19</v>
      </c>
      <c r="G1058" s="521">
        <f t="shared" si="114"/>
        <v>4.5</v>
      </c>
      <c r="H1058" s="336">
        <v>1.3083000000000001E-3</v>
      </c>
      <c r="I1058" s="523">
        <f t="shared" si="115"/>
        <v>14.48</v>
      </c>
      <c r="J1058" s="523">
        <f t="shared" si="116"/>
        <v>38.61</v>
      </c>
      <c r="L1058" s="101">
        <f t="shared" si="121"/>
        <v>1.5699999999999999E-2</v>
      </c>
      <c r="M1058" s="413">
        <f t="shared" si="119"/>
        <v>1.3083000000000001E-3</v>
      </c>
      <c r="N1058" s="101" t="b">
        <f t="shared" si="120"/>
        <v>1</v>
      </c>
      <c r="O1058" s="336">
        <v>1.3083000000000001E-3</v>
      </c>
      <c r="Q1058" s="101">
        <f t="shared" si="118"/>
        <v>2017</v>
      </c>
    </row>
    <row r="1059" spans="1:17">
      <c r="A1059" s="332" t="s">
        <v>318</v>
      </c>
      <c r="B1059" s="333" t="s">
        <v>1053</v>
      </c>
      <c r="C1059" s="423" t="s">
        <v>331</v>
      </c>
      <c r="D1059" s="332" t="s">
        <v>1054</v>
      </c>
      <c r="E1059" s="333">
        <v>201612</v>
      </c>
      <c r="F1059" s="334">
        <v>-5.45</v>
      </c>
      <c r="G1059" s="521">
        <f t="shared" si="114"/>
        <v>4.5</v>
      </c>
      <c r="H1059" s="336">
        <v>1.3083000000000001E-3</v>
      </c>
      <c r="I1059" s="523">
        <f t="shared" si="115"/>
        <v>-0.03</v>
      </c>
      <c r="J1059" s="523">
        <f t="shared" si="116"/>
        <v>-0.09</v>
      </c>
      <c r="L1059" s="101">
        <f t="shared" si="121"/>
        <v>1.5699999999999999E-2</v>
      </c>
      <c r="M1059" s="413">
        <f t="shared" si="119"/>
        <v>1.3083000000000001E-3</v>
      </c>
      <c r="N1059" s="101" t="b">
        <f t="shared" si="120"/>
        <v>1</v>
      </c>
      <c r="O1059" s="336">
        <v>1.3083000000000001E-3</v>
      </c>
      <c r="Q1059" s="101">
        <f t="shared" si="118"/>
        <v>2017</v>
      </c>
    </row>
    <row r="1060" spans="1:17" s="559" customFormat="1" ht="15">
      <c r="A1060" s="829" t="s">
        <v>322</v>
      </c>
      <c r="B1060" s="829" t="s">
        <v>1144</v>
      </c>
      <c r="C1060" s="826" t="s">
        <v>331</v>
      </c>
      <c r="D1060" s="829" t="s">
        <v>1145</v>
      </c>
      <c r="E1060" s="830">
        <v>201701</v>
      </c>
      <c r="F1060" s="831">
        <v>389829.62</v>
      </c>
      <c r="G1060" s="521">
        <f t="shared" si="114"/>
        <v>3.5</v>
      </c>
      <c r="H1060" s="828">
        <v>1.1999999999999999E-3</v>
      </c>
      <c r="I1060" s="523">
        <f t="shared" ref="I1060:I1086" si="122">ROUND(F1060*G1060*H1060,2)</f>
        <v>1637.28</v>
      </c>
      <c r="J1060" s="523">
        <f t="shared" ref="J1060:J1086" si="123">ROUND(F1060*H1060*12,2)</f>
        <v>5613.55</v>
      </c>
      <c r="M1060" s="413"/>
      <c r="O1060" s="524"/>
      <c r="Q1060" s="559">
        <f t="shared" si="118"/>
        <v>2017</v>
      </c>
    </row>
    <row r="1061" spans="1:17" s="559" customFormat="1" ht="15">
      <c r="A1061" s="829" t="s">
        <v>322</v>
      </c>
      <c r="B1061" s="829" t="s">
        <v>943</v>
      </c>
      <c r="C1061" s="826" t="s">
        <v>331</v>
      </c>
      <c r="D1061" s="829" t="s">
        <v>944</v>
      </c>
      <c r="E1061" s="830">
        <v>201701</v>
      </c>
      <c r="F1061" s="831">
        <v>11.67</v>
      </c>
      <c r="G1061" s="521">
        <f t="shared" si="114"/>
        <v>3.5</v>
      </c>
      <c r="H1061" s="828">
        <v>1.1999999999999999E-3</v>
      </c>
      <c r="I1061" s="523">
        <f t="shared" si="122"/>
        <v>0.05</v>
      </c>
      <c r="J1061" s="523">
        <f t="shared" si="123"/>
        <v>0.17</v>
      </c>
      <c r="M1061" s="413"/>
      <c r="O1061" s="524"/>
      <c r="Q1061" s="559">
        <f t="shared" si="118"/>
        <v>2017</v>
      </c>
    </row>
    <row r="1062" spans="1:17" s="559" customFormat="1" ht="15">
      <c r="A1062" s="829" t="s">
        <v>322</v>
      </c>
      <c r="B1062" s="829" t="s">
        <v>943</v>
      </c>
      <c r="C1062" s="826" t="s">
        <v>331</v>
      </c>
      <c r="D1062" s="829" t="s">
        <v>944</v>
      </c>
      <c r="E1062" s="830">
        <v>201701</v>
      </c>
      <c r="F1062" s="831">
        <v>39.89</v>
      </c>
      <c r="G1062" s="521">
        <f t="shared" si="114"/>
        <v>3.5</v>
      </c>
      <c r="H1062" s="828">
        <v>1.1999999999999999E-3</v>
      </c>
      <c r="I1062" s="523">
        <f t="shared" si="122"/>
        <v>0.17</v>
      </c>
      <c r="J1062" s="523">
        <f t="shared" si="123"/>
        <v>0.56999999999999995</v>
      </c>
      <c r="M1062" s="413"/>
      <c r="O1062" s="524"/>
      <c r="Q1062" s="559">
        <f t="shared" si="118"/>
        <v>2017</v>
      </c>
    </row>
    <row r="1063" spans="1:17" s="559" customFormat="1" ht="15">
      <c r="A1063" s="829" t="s">
        <v>322</v>
      </c>
      <c r="B1063" s="829" t="s">
        <v>1122</v>
      </c>
      <c r="C1063" s="826" t="s">
        <v>331</v>
      </c>
      <c r="D1063" s="829" t="s">
        <v>1123</v>
      </c>
      <c r="E1063" s="830">
        <v>201701</v>
      </c>
      <c r="F1063" s="831">
        <v>452.76</v>
      </c>
      <c r="G1063" s="521">
        <f t="shared" si="114"/>
        <v>3.5</v>
      </c>
      <c r="H1063" s="828">
        <v>1.1999999999999999E-3</v>
      </c>
      <c r="I1063" s="523">
        <f t="shared" si="122"/>
        <v>1.9</v>
      </c>
      <c r="J1063" s="523">
        <f t="shared" si="123"/>
        <v>6.52</v>
      </c>
      <c r="M1063" s="413"/>
      <c r="O1063" s="524"/>
      <c r="Q1063" s="559">
        <f t="shared" si="118"/>
        <v>2017</v>
      </c>
    </row>
    <row r="1064" spans="1:17" s="559" customFormat="1" ht="15">
      <c r="A1064" s="829" t="s">
        <v>322</v>
      </c>
      <c r="B1064" s="829" t="s">
        <v>1122</v>
      </c>
      <c r="C1064" s="826" t="s">
        <v>331</v>
      </c>
      <c r="D1064" s="829" t="s">
        <v>1123</v>
      </c>
      <c r="E1064" s="830">
        <v>201701</v>
      </c>
      <c r="F1064" s="831">
        <v>5117.8500000000004</v>
      </c>
      <c r="G1064" s="521">
        <f t="shared" si="114"/>
        <v>3.5</v>
      </c>
      <c r="H1064" s="828">
        <v>1.1999999999999999E-3</v>
      </c>
      <c r="I1064" s="523">
        <f t="shared" si="122"/>
        <v>21.49</v>
      </c>
      <c r="J1064" s="523">
        <f t="shared" si="123"/>
        <v>73.7</v>
      </c>
      <c r="M1064" s="413"/>
      <c r="O1064" s="524"/>
      <c r="Q1064" s="559">
        <f t="shared" si="118"/>
        <v>2017</v>
      </c>
    </row>
    <row r="1065" spans="1:17" s="559" customFormat="1" ht="15">
      <c r="A1065" s="829" t="s">
        <v>318</v>
      </c>
      <c r="B1065" s="829" t="s">
        <v>893</v>
      </c>
      <c r="C1065" s="826" t="s">
        <v>331</v>
      </c>
      <c r="D1065" s="829" t="s">
        <v>894</v>
      </c>
      <c r="E1065" s="830">
        <v>201701</v>
      </c>
      <c r="F1065" s="831">
        <v>68.03</v>
      </c>
      <c r="G1065" s="521">
        <f t="shared" si="114"/>
        <v>3.5</v>
      </c>
      <c r="H1065" s="827">
        <v>1.3083000000000001E-3</v>
      </c>
      <c r="I1065" s="523">
        <f t="shared" si="122"/>
        <v>0.31</v>
      </c>
      <c r="J1065" s="523">
        <f t="shared" si="123"/>
        <v>1.07</v>
      </c>
      <c r="M1065" s="413"/>
      <c r="O1065" s="524"/>
      <c r="Q1065" s="559">
        <f t="shared" si="118"/>
        <v>2017</v>
      </c>
    </row>
    <row r="1066" spans="1:17" s="559" customFormat="1" ht="15">
      <c r="A1066" s="829" t="s">
        <v>318</v>
      </c>
      <c r="B1066" s="829" t="s">
        <v>969</v>
      </c>
      <c r="C1066" s="826" t="s">
        <v>331</v>
      </c>
      <c r="D1066" s="829" t="s">
        <v>970</v>
      </c>
      <c r="E1066" s="830">
        <v>201701</v>
      </c>
      <c r="F1066" s="831">
        <v>57.5</v>
      </c>
      <c r="G1066" s="521">
        <f t="shared" si="114"/>
        <v>3.5</v>
      </c>
      <c r="H1066" s="827">
        <v>1.3083000000000001E-3</v>
      </c>
      <c r="I1066" s="523">
        <f t="shared" si="122"/>
        <v>0.26</v>
      </c>
      <c r="J1066" s="523">
        <f t="shared" si="123"/>
        <v>0.9</v>
      </c>
      <c r="M1066" s="413"/>
      <c r="O1066" s="524"/>
      <c r="Q1066" s="559">
        <f t="shared" si="118"/>
        <v>2017</v>
      </c>
    </row>
    <row r="1067" spans="1:17" s="559" customFormat="1" ht="15">
      <c r="A1067" s="829" t="s">
        <v>322</v>
      </c>
      <c r="B1067" s="829" t="s">
        <v>1124</v>
      </c>
      <c r="C1067" s="826" t="s">
        <v>331</v>
      </c>
      <c r="D1067" s="829" t="s">
        <v>1125</v>
      </c>
      <c r="E1067" s="830">
        <v>201701</v>
      </c>
      <c r="F1067" s="831">
        <v>12.01</v>
      </c>
      <c r="G1067" s="521">
        <f t="shared" si="114"/>
        <v>3.5</v>
      </c>
      <c r="H1067" s="828">
        <v>1.1999999999999999E-3</v>
      </c>
      <c r="I1067" s="523">
        <f t="shared" si="122"/>
        <v>0.05</v>
      </c>
      <c r="J1067" s="523">
        <f t="shared" si="123"/>
        <v>0.17</v>
      </c>
      <c r="M1067" s="413"/>
      <c r="O1067" s="524"/>
      <c r="Q1067" s="559">
        <f t="shared" si="118"/>
        <v>2017</v>
      </c>
    </row>
    <row r="1068" spans="1:17" s="559" customFormat="1" ht="15">
      <c r="A1068" s="829" t="s">
        <v>322</v>
      </c>
      <c r="B1068" s="829" t="s">
        <v>1124</v>
      </c>
      <c r="C1068" s="826" t="s">
        <v>331</v>
      </c>
      <c r="D1068" s="829" t="s">
        <v>1125</v>
      </c>
      <c r="E1068" s="830">
        <v>201701</v>
      </c>
      <c r="F1068" s="831">
        <v>2970.5</v>
      </c>
      <c r="G1068" s="521">
        <f t="shared" si="114"/>
        <v>3.5</v>
      </c>
      <c r="H1068" s="828">
        <v>1.1999999999999999E-3</v>
      </c>
      <c r="I1068" s="523">
        <f t="shared" si="122"/>
        <v>12.48</v>
      </c>
      <c r="J1068" s="523">
        <f t="shared" si="123"/>
        <v>42.78</v>
      </c>
      <c r="M1068" s="413"/>
      <c r="O1068" s="524"/>
      <c r="Q1068" s="559">
        <f t="shared" si="118"/>
        <v>2017</v>
      </c>
    </row>
    <row r="1069" spans="1:17" s="559" customFormat="1" ht="15">
      <c r="A1069" s="829" t="s">
        <v>322</v>
      </c>
      <c r="B1069" s="829" t="s">
        <v>1055</v>
      </c>
      <c r="C1069" s="826" t="s">
        <v>331</v>
      </c>
      <c r="D1069" s="829" t="s">
        <v>1056</v>
      </c>
      <c r="E1069" s="830">
        <v>201701</v>
      </c>
      <c r="F1069" s="831">
        <v>5.34</v>
      </c>
      <c r="G1069" s="521">
        <f t="shared" si="114"/>
        <v>3.5</v>
      </c>
      <c r="H1069" s="828">
        <v>1.1999999999999999E-3</v>
      </c>
      <c r="I1069" s="523">
        <f t="shared" si="122"/>
        <v>0.02</v>
      </c>
      <c r="J1069" s="523">
        <f t="shared" si="123"/>
        <v>0.08</v>
      </c>
      <c r="M1069" s="413"/>
      <c r="O1069" s="524"/>
      <c r="Q1069" s="559">
        <f t="shared" si="118"/>
        <v>2017</v>
      </c>
    </row>
    <row r="1070" spans="1:17" s="559" customFormat="1" ht="15">
      <c r="A1070" s="829" t="s">
        <v>318</v>
      </c>
      <c r="B1070" s="829" t="s">
        <v>1055</v>
      </c>
      <c r="C1070" s="826" t="s">
        <v>331</v>
      </c>
      <c r="D1070" s="829" t="s">
        <v>1056</v>
      </c>
      <c r="E1070" s="830">
        <v>201701</v>
      </c>
      <c r="F1070" s="831">
        <v>46.51</v>
      </c>
      <c r="G1070" s="521">
        <f t="shared" si="114"/>
        <v>3.5</v>
      </c>
      <c r="H1070" s="827">
        <v>1.3083000000000001E-3</v>
      </c>
      <c r="I1070" s="523">
        <f t="shared" si="122"/>
        <v>0.21</v>
      </c>
      <c r="J1070" s="523">
        <f t="shared" si="123"/>
        <v>0.73</v>
      </c>
      <c r="M1070" s="413"/>
      <c r="O1070" s="524"/>
      <c r="Q1070" s="559">
        <f t="shared" si="118"/>
        <v>2017</v>
      </c>
    </row>
    <row r="1071" spans="1:17" s="559" customFormat="1" ht="15">
      <c r="A1071" s="829" t="s">
        <v>322</v>
      </c>
      <c r="B1071" s="829" t="s">
        <v>1055</v>
      </c>
      <c r="C1071" s="826" t="s">
        <v>331</v>
      </c>
      <c r="D1071" s="829" t="s">
        <v>1056</v>
      </c>
      <c r="E1071" s="830">
        <v>201701</v>
      </c>
      <c r="F1071" s="831">
        <v>106.39</v>
      </c>
      <c r="G1071" s="521">
        <f t="shared" si="114"/>
        <v>3.5</v>
      </c>
      <c r="H1071" s="828">
        <v>1.1999999999999999E-3</v>
      </c>
      <c r="I1071" s="523">
        <f t="shared" si="122"/>
        <v>0.45</v>
      </c>
      <c r="J1071" s="523">
        <f t="shared" si="123"/>
        <v>1.53</v>
      </c>
      <c r="M1071" s="413"/>
      <c r="O1071" s="524"/>
      <c r="Q1071" s="559">
        <f t="shared" si="118"/>
        <v>2017</v>
      </c>
    </row>
    <row r="1072" spans="1:17" s="559" customFormat="1" ht="15">
      <c r="A1072" s="829" t="s">
        <v>318</v>
      </c>
      <c r="B1072" s="829" t="s">
        <v>1000</v>
      </c>
      <c r="C1072" s="826" t="s">
        <v>343</v>
      </c>
      <c r="D1072" s="829" t="s">
        <v>1001</v>
      </c>
      <c r="E1072" s="830">
        <v>201701</v>
      </c>
      <c r="F1072" s="831">
        <v>0.01</v>
      </c>
      <c r="G1072" s="521">
        <f t="shared" si="114"/>
        <v>3.5</v>
      </c>
      <c r="H1072" s="827">
        <v>1.3083000000000001E-3</v>
      </c>
      <c r="I1072" s="523">
        <f t="shared" si="122"/>
        <v>0</v>
      </c>
      <c r="J1072" s="523">
        <f t="shared" si="123"/>
        <v>0</v>
      </c>
      <c r="M1072" s="413"/>
      <c r="O1072" s="524"/>
      <c r="Q1072" s="559">
        <f t="shared" si="118"/>
        <v>2017</v>
      </c>
    </row>
    <row r="1073" spans="1:17" s="559" customFormat="1" ht="15">
      <c r="A1073" s="829" t="s">
        <v>318</v>
      </c>
      <c r="B1073" s="829" t="s">
        <v>1000</v>
      </c>
      <c r="C1073" s="826" t="s">
        <v>343</v>
      </c>
      <c r="D1073" s="829" t="s">
        <v>1001</v>
      </c>
      <c r="E1073" s="830">
        <v>201701</v>
      </c>
      <c r="F1073" s="831">
        <v>0.82</v>
      </c>
      <c r="G1073" s="521">
        <f t="shared" si="114"/>
        <v>3.5</v>
      </c>
      <c r="H1073" s="827">
        <v>1.3083000000000001E-3</v>
      </c>
      <c r="I1073" s="523">
        <f t="shared" si="122"/>
        <v>0</v>
      </c>
      <c r="J1073" s="523">
        <f t="shared" si="123"/>
        <v>0.01</v>
      </c>
      <c r="M1073" s="413"/>
      <c r="O1073" s="524"/>
      <c r="Q1073" s="559">
        <f t="shared" si="118"/>
        <v>2017</v>
      </c>
    </row>
    <row r="1074" spans="1:17" s="559" customFormat="1" ht="15">
      <c r="A1074" s="829" t="s">
        <v>318</v>
      </c>
      <c r="B1074" s="829" t="s">
        <v>1081</v>
      </c>
      <c r="C1074" s="826" t="s">
        <v>331</v>
      </c>
      <c r="D1074" s="829" t="s">
        <v>1082</v>
      </c>
      <c r="E1074" s="830">
        <v>201701</v>
      </c>
      <c r="F1074" s="831">
        <v>52.21</v>
      </c>
      <c r="G1074" s="521">
        <f t="shared" si="114"/>
        <v>3.5</v>
      </c>
      <c r="H1074" s="827">
        <v>1.3083000000000001E-3</v>
      </c>
      <c r="I1074" s="523">
        <f t="shared" si="122"/>
        <v>0.24</v>
      </c>
      <c r="J1074" s="523">
        <f t="shared" si="123"/>
        <v>0.82</v>
      </c>
      <c r="M1074" s="413"/>
      <c r="O1074" s="524"/>
      <c r="Q1074" s="559">
        <f t="shared" si="118"/>
        <v>2017</v>
      </c>
    </row>
    <row r="1075" spans="1:17" s="559" customFormat="1" ht="15">
      <c r="A1075" s="829" t="s">
        <v>318</v>
      </c>
      <c r="B1075" s="829" t="s">
        <v>1083</v>
      </c>
      <c r="C1075" s="826" t="s">
        <v>331</v>
      </c>
      <c r="D1075" s="829" t="s">
        <v>1084</v>
      </c>
      <c r="E1075" s="830">
        <v>201701</v>
      </c>
      <c r="F1075" s="831">
        <v>700.92</v>
      </c>
      <c r="G1075" s="521">
        <f t="shared" si="114"/>
        <v>3.5</v>
      </c>
      <c r="H1075" s="827">
        <v>1.3083000000000001E-3</v>
      </c>
      <c r="I1075" s="523">
        <f t="shared" si="122"/>
        <v>3.21</v>
      </c>
      <c r="J1075" s="523">
        <f t="shared" si="123"/>
        <v>11</v>
      </c>
      <c r="M1075" s="413"/>
      <c r="O1075" s="524"/>
      <c r="Q1075" s="559">
        <f t="shared" si="118"/>
        <v>2017</v>
      </c>
    </row>
    <row r="1076" spans="1:17" s="559" customFormat="1" ht="15">
      <c r="A1076" s="829" t="s">
        <v>318</v>
      </c>
      <c r="B1076" s="829" t="s">
        <v>1010</v>
      </c>
      <c r="C1076" s="826" t="s">
        <v>331</v>
      </c>
      <c r="D1076" s="829" t="s">
        <v>1011</v>
      </c>
      <c r="E1076" s="830">
        <v>201701</v>
      </c>
      <c r="F1076" s="831">
        <v>-1.26</v>
      </c>
      <c r="G1076" s="521">
        <f t="shared" si="114"/>
        <v>3.5</v>
      </c>
      <c r="H1076" s="827">
        <v>1.3083000000000001E-3</v>
      </c>
      <c r="I1076" s="523">
        <f t="shared" si="122"/>
        <v>-0.01</v>
      </c>
      <c r="J1076" s="523">
        <f t="shared" si="123"/>
        <v>-0.02</v>
      </c>
      <c r="M1076" s="413"/>
      <c r="O1076" s="524"/>
      <c r="Q1076" s="559">
        <f t="shared" si="118"/>
        <v>2017</v>
      </c>
    </row>
    <row r="1077" spans="1:17" s="559" customFormat="1" ht="15">
      <c r="A1077" s="829" t="s">
        <v>318</v>
      </c>
      <c r="B1077" s="829" t="s">
        <v>1010</v>
      </c>
      <c r="C1077" s="826" t="s">
        <v>331</v>
      </c>
      <c r="D1077" s="829" t="s">
        <v>1011</v>
      </c>
      <c r="E1077" s="830">
        <v>201701</v>
      </c>
      <c r="F1077" s="831">
        <v>-0.09</v>
      </c>
      <c r="G1077" s="521">
        <f t="shared" si="114"/>
        <v>3.5</v>
      </c>
      <c r="H1077" s="827">
        <v>1.3083000000000001E-3</v>
      </c>
      <c r="I1077" s="523">
        <f t="shared" si="122"/>
        <v>0</v>
      </c>
      <c r="J1077" s="523">
        <f t="shared" si="123"/>
        <v>0</v>
      </c>
      <c r="M1077" s="413"/>
      <c r="O1077" s="524"/>
      <c r="Q1077" s="559">
        <f t="shared" si="118"/>
        <v>2017</v>
      </c>
    </row>
    <row r="1078" spans="1:17" s="559" customFormat="1" ht="15">
      <c r="A1078" s="829" t="s">
        <v>318</v>
      </c>
      <c r="B1078" s="829" t="s">
        <v>1012</v>
      </c>
      <c r="C1078" s="826" t="s">
        <v>331</v>
      </c>
      <c r="D1078" s="829" t="s">
        <v>1013</v>
      </c>
      <c r="E1078" s="830">
        <v>201701</v>
      </c>
      <c r="F1078" s="831">
        <v>-1.66</v>
      </c>
      <c r="G1078" s="521">
        <f t="shared" si="114"/>
        <v>3.5</v>
      </c>
      <c r="H1078" s="827">
        <v>1.3083000000000001E-3</v>
      </c>
      <c r="I1078" s="523">
        <f t="shared" si="122"/>
        <v>-0.01</v>
      </c>
      <c r="J1078" s="523">
        <f t="shared" si="123"/>
        <v>-0.03</v>
      </c>
      <c r="M1078" s="413"/>
      <c r="O1078" s="524"/>
      <c r="Q1078" s="559">
        <f t="shared" si="118"/>
        <v>2017</v>
      </c>
    </row>
    <row r="1079" spans="1:17" s="559" customFormat="1" ht="15">
      <c r="A1079" s="829" t="s">
        <v>318</v>
      </c>
      <c r="B1079" s="829" t="s">
        <v>1012</v>
      </c>
      <c r="C1079" s="826" t="s">
        <v>331</v>
      </c>
      <c r="D1079" s="829" t="s">
        <v>1013</v>
      </c>
      <c r="E1079" s="830">
        <v>201701</v>
      </c>
      <c r="F1079" s="831">
        <v>-0.12</v>
      </c>
      <c r="G1079" s="521">
        <f t="shared" si="114"/>
        <v>3.5</v>
      </c>
      <c r="H1079" s="827">
        <v>1.3083000000000001E-3</v>
      </c>
      <c r="I1079" s="523">
        <f t="shared" si="122"/>
        <v>0</v>
      </c>
      <c r="J1079" s="523">
        <f t="shared" si="123"/>
        <v>0</v>
      </c>
      <c r="M1079" s="413"/>
      <c r="O1079" s="524"/>
      <c r="Q1079" s="559">
        <f t="shared" si="118"/>
        <v>2017</v>
      </c>
    </row>
    <row r="1080" spans="1:17" s="559" customFormat="1" ht="15">
      <c r="A1080" s="829" t="s">
        <v>318</v>
      </c>
      <c r="B1080" s="829" t="s">
        <v>1057</v>
      </c>
      <c r="C1080" s="826" t="s">
        <v>331</v>
      </c>
      <c r="D1080" s="829" t="s">
        <v>1058</v>
      </c>
      <c r="E1080" s="830">
        <v>201701</v>
      </c>
      <c r="F1080" s="831">
        <v>319.81</v>
      </c>
      <c r="G1080" s="521">
        <f t="shared" si="114"/>
        <v>3.5</v>
      </c>
      <c r="H1080" s="827">
        <v>1.3083000000000001E-3</v>
      </c>
      <c r="I1080" s="523">
        <f t="shared" si="122"/>
        <v>1.46</v>
      </c>
      <c r="J1080" s="523">
        <f t="shared" si="123"/>
        <v>5.0199999999999996</v>
      </c>
      <c r="M1080" s="413"/>
      <c r="O1080" s="524"/>
      <c r="Q1080" s="559">
        <f t="shared" si="118"/>
        <v>2017</v>
      </c>
    </row>
    <row r="1081" spans="1:17" s="559" customFormat="1" ht="15">
      <c r="A1081" s="829" t="s">
        <v>318</v>
      </c>
      <c r="B1081" s="829" t="s">
        <v>1057</v>
      </c>
      <c r="C1081" s="826" t="s">
        <v>331</v>
      </c>
      <c r="D1081" s="829" t="s">
        <v>1058</v>
      </c>
      <c r="E1081" s="830">
        <v>201701</v>
      </c>
      <c r="F1081" s="831">
        <v>4717.05</v>
      </c>
      <c r="G1081" s="521">
        <f t="shared" si="114"/>
        <v>3.5</v>
      </c>
      <c r="H1081" s="827">
        <v>1.3083000000000001E-3</v>
      </c>
      <c r="I1081" s="523">
        <f t="shared" si="122"/>
        <v>21.6</v>
      </c>
      <c r="J1081" s="523">
        <f t="shared" si="123"/>
        <v>74.06</v>
      </c>
      <c r="M1081" s="413"/>
      <c r="O1081" s="524"/>
      <c r="Q1081" s="559">
        <f t="shared" si="118"/>
        <v>2017</v>
      </c>
    </row>
    <row r="1082" spans="1:17" s="559" customFormat="1" ht="15">
      <c r="A1082" s="829" t="s">
        <v>318</v>
      </c>
      <c r="B1082" s="829" t="s">
        <v>1073</v>
      </c>
      <c r="C1082" s="826" t="s">
        <v>331</v>
      </c>
      <c r="D1082" s="829" t="s">
        <v>1074</v>
      </c>
      <c r="E1082" s="830">
        <v>201701</v>
      </c>
      <c r="F1082" s="831">
        <v>227.68</v>
      </c>
      <c r="G1082" s="521">
        <f t="shared" ref="G1082:G1087" si="124">VLOOKUP(E1082,$N$6:$O$49,2,FALSE)</f>
        <v>3.5</v>
      </c>
      <c r="H1082" s="827">
        <v>1.3083000000000001E-3</v>
      </c>
      <c r="I1082" s="523">
        <f t="shared" si="122"/>
        <v>1.04</v>
      </c>
      <c r="J1082" s="523">
        <f t="shared" si="123"/>
        <v>3.57</v>
      </c>
      <c r="M1082" s="413"/>
      <c r="O1082" s="524"/>
      <c r="Q1082" s="559">
        <f t="shared" si="118"/>
        <v>2017</v>
      </c>
    </row>
    <row r="1083" spans="1:17" s="559" customFormat="1" ht="15">
      <c r="A1083" s="829" t="s">
        <v>318</v>
      </c>
      <c r="B1083" s="829" t="s">
        <v>1073</v>
      </c>
      <c r="C1083" s="826" t="s">
        <v>331</v>
      </c>
      <c r="D1083" s="829" t="s">
        <v>1074</v>
      </c>
      <c r="E1083" s="830">
        <v>201701</v>
      </c>
      <c r="F1083" s="831">
        <v>2374.0300000000002</v>
      </c>
      <c r="G1083" s="521">
        <f t="shared" si="124"/>
        <v>3.5</v>
      </c>
      <c r="H1083" s="827">
        <v>1.3083000000000001E-3</v>
      </c>
      <c r="I1083" s="523">
        <f t="shared" si="122"/>
        <v>10.87</v>
      </c>
      <c r="J1083" s="523">
        <f t="shared" si="123"/>
        <v>37.270000000000003</v>
      </c>
      <c r="M1083" s="413"/>
      <c r="O1083" s="524"/>
      <c r="Q1083" s="559">
        <f t="shared" si="118"/>
        <v>2017</v>
      </c>
    </row>
    <row r="1084" spans="1:17" s="559" customFormat="1" ht="15">
      <c r="A1084" s="829" t="s">
        <v>318</v>
      </c>
      <c r="B1084" s="829" t="s">
        <v>1075</v>
      </c>
      <c r="C1084" s="826" t="s">
        <v>331</v>
      </c>
      <c r="D1084" s="829" t="s">
        <v>1076</v>
      </c>
      <c r="E1084" s="830">
        <v>201701</v>
      </c>
      <c r="F1084" s="831">
        <v>2616.09</v>
      </c>
      <c r="G1084" s="521">
        <f t="shared" si="124"/>
        <v>3.5</v>
      </c>
      <c r="H1084" s="827">
        <v>1.3083000000000001E-3</v>
      </c>
      <c r="I1084" s="523">
        <f t="shared" si="122"/>
        <v>11.98</v>
      </c>
      <c r="J1084" s="523">
        <f t="shared" si="123"/>
        <v>41.07</v>
      </c>
      <c r="M1084" s="413"/>
      <c r="O1084" s="524"/>
      <c r="Q1084" s="559">
        <f t="shared" si="118"/>
        <v>2017</v>
      </c>
    </row>
    <row r="1085" spans="1:17" s="559" customFormat="1" ht="15">
      <c r="A1085" s="829" t="s">
        <v>318</v>
      </c>
      <c r="B1085" s="829" t="s">
        <v>1053</v>
      </c>
      <c r="C1085" s="826" t="s">
        <v>331</v>
      </c>
      <c r="D1085" s="829" t="s">
        <v>1054</v>
      </c>
      <c r="E1085" s="830">
        <v>201701</v>
      </c>
      <c r="F1085" s="831">
        <v>-2.88</v>
      </c>
      <c r="G1085" s="521">
        <f t="shared" si="124"/>
        <v>3.5</v>
      </c>
      <c r="H1085" s="827">
        <v>1.3083000000000001E-3</v>
      </c>
      <c r="I1085" s="523">
        <f t="shared" si="122"/>
        <v>-0.01</v>
      </c>
      <c r="J1085" s="523">
        <f t="shared" si="123"/>
        <v>-0.05</v>
      </c>
      <c r="M1085" s="413"/>
      <c r="O1085" s="524"/>
      <c r="Q1085" s="559">
        <f t="shared" si="118"/>
        <v>2017</v>
      </c>
    </row>
    <row r="1086" spans="1:17" s="559" customFormat="1" ht="15">
      <c r="A1086" s="829" t="s">
        <v>318</v>
      </c>
      <c r="B1086" s="829" t="s">
        <v>1142</v>
      </c>
      <c r="C1086" s="826" t="s">
        <v>331</v>
      </c>
      <c r="D1086" s="829" t="s">
        <v>1143</v>
      </c>
      <c r="E1086" s="830">
        <v>201701</v>
      </c>
      <c r="F1086" s="831">
        <v>710.48</v>
      </c>
      <c r="G1086" s="521">
        <f t="shared" si="124"/>
        <v>3.5</v>
      </c>
      <c r="H1086" s="827">
        <v>1.3083000000000001E-3</v>
      </c>
      <c r="I1086" s="523">
        <f t="shared" si="122"/>
        <v>3.25</v>
      </c>
      <c r="J1086" s="523">
        <f t="shared" si="123"/>
        <v>11.15</v>
      </c>
      <c r="M1086" s="413"/>
      <c r="O1086" s="524"/>
      <c r="Q1086" s="559">
        <f t="shared" si="118"/>
        <v>2017</v>
      </c>
    </row>
    <row r="1087" spans="1:17" s="559" customFormat="1" ht="15">
      <c r="A1087" s="829" t="s">
        <v>318</v>
      </c>
      <c r="B1087" s="829" t="s">
        <v>1142</v>
      </c>
      <c r="C1087" s="826" t="s">
        <v>331</v>
      </c>
      <c r="D1087" s="829" t="s">
        <v>1143</v>
      </c>
      <c r="E1087" s="830">
        <v>201701</v>
      </c>
      <c r="F1087" s="831">
        <v>25182.32</v>
      </c>
      <c r="G1087" s="521">
        <f t="shared" si="124"/>
        <v>3.5</v>
      </c>
      <c r="H1087" s="827">
        <v>1.3083000000000001E-3</v>
      </c>
      <c r="I1087" s="523">
        <f t="shared" ref="I1087" si="125">ROUND(F1087*G1087*H1087,2)</f>
        <v>115.31</v>
      </c>
      <c r="J1087" s="523">
        <f t="shared" ref="J1087" si="126">ROUND(F1087*H1087*12,2)</f>
        <v>395.35</v>
      </c>
      <c r="M1087" s="413"/>
      <c r="O1087" s="524"/>
      <c r="Q1087" s="559">
        <f t="shared" si="118"/>
        <v>2017</v>
      </c>
    </row>
    <row r="1088" spans="1:17" s="559" customFormat="1" ht="15">
      <c r="A1088" s="481"/>
      <c r="B1088" s="485"/>
      <c r="C1088" s="428"/>
      <c r="D1088" s="481"/>
      <c r="E1088" s="485"/>
      <c r="F1088" s="482"/>
      <c r="G1088" s="521"/>
      <c r="H1088" s="486"/>
      <c r="I1088" s="523">
        <f t="shared" ref="I1088" si="127">ROUND(F1088*G1088*H1088,2)</f>
        <v>0</v>
      </c>
      <c r="J1088" s="523">
        <f t="shared" ref="J1088" si="128">ROUND(F1088*H1088*12,2)</f>
        <v>0</v>
      </c>
      <c r="M1088" s="413"/>
      <c r="O1088" s="419"/>
      <c r="Q1088" s="559">
        <f t="shared" si="118"/>
        <v>2016</v>
      </c>
    </row>
    <row r="1089" spans="1:17">
      <c r="A1089" s="426"/>
      <c r="B1089" s="243"/>
      <c r="C1089" s="243"/>
      <c r="D1089" s="242" t="s">
        <v>149</v>
      </c>
      <c r="E1089" s="244">
        <v>201701</v>
      </c>
      <c r="F1089" s="245">
        <v>0</v>
      </c>
      <c r="G1089" s="519">
        <f t="shared" ref="G1089:G1090" si="129">VLOOKUP(E1089,$N$6:$O$49,2,FALSE)</f>
        <v>3.5</v>
      </c>
      <c r="H1089" s="430">
        <v>1.3083000000000001E-3</v>
      </c>
      <c r="I1089" s="427">
        <f t="shared" ref="I1089:I1090" si="130">ROUND(F1089*G1089*H1089,2)</f>
        <v>0</v>
      </c>
      <c r="J1089" s="427">
        <f t="shared" ref="J1089:J1090" si="131">ROUND(F1089*H1089*12,2)</f>
        <v>0</v>
      </c>
      <c r="M1089" s="413"/>
      <c r="O1089" s="419"/>
      <c r="Q1089" s="559">
        <f t="shared" si="118"/>
        <v>2017</v>
      </c>
    </row>
    <row r="1090" spans="1:17">
      <c r="A1090" s="426"/>
      <c r="B1090" s="243"/>
      <c r="C1090" s="243"/>
      <c r="D1090" s="242" t="s">
        <v>149</v>
      </c>
      <c r="E1090" s="244">
        <v>201702</v>
      </c>
      <c r="F1090" s="245">
        <v>550000</v>
      </c>
      <c r="G1090" s="519">
        <f t="shared" si="129"/>
        <v>2.5</v>
      </c>
      <c r="H1090" s="430">
        <v>1.3083000000000001E-3</v>
      </c>
      <c r="I1090" s="427">
        <f t="shared" si="130"/>
        <v>1798.91</v>
      </c>
      <c r="J1090" s="427">
        <f t="shared" si="131"/>
        <v>8634.7800000000007</v>
      </c>
      <c r="Q1090" s="559">
        <f t="shared" si="118"/>
        <v>2017</v>
      </c>
    </row>
    <row r="1091" spans="1:17">
      <c r="A1091" s="103"/>
      <c r="B1091" s="267"/>
      <c r="C1091" s="267"/>
      <c r="D1091" s="267"/>
      <c r="E1091" s="164"/>
      <c r="F1091" s="115"/>
      <c r="G1091" s="166"/>
      <c r="H1091" s="121"/>
      <c r="I1091" s="103"/>
      <c r="J1091" s="103"/>
    </row>
    <row r="1092" spans="1:17" ht="13.5" thickBot="1">
      <c r="A1092" s="69" t="s">
        <v>114</v>
      </c>
      <c r="B1092" s="118"/>
      <c r="E1092" s="152" t="s">
        <v>107</v>
      </c>
      <c r="F1092" s="120">
        <f>SUM(F1018:F1091)</f>
        <v>1184594.52</v>
      </c>
      <c r="I1092" s="120">
        <f>SUM(I1018:I1091)</f>
        <v>4710.07</v>
      </c>
      <c r="J1092" s="120">
        <f>SUM(J1018:J1091)</f>
        <v>17827.36</v>
      </c>
    </row>
    <row r="1093" spans="1:17" ht="13.5" thickTop="1">
      <c r="B1093" s="118"/>
    </row>
    <row r="1094" spans="1:17">
      <c r="A1094" s="69" t="s">
        <v>115</v>
      </c>
      <c r="B1094" s="118"/>
      <c r="F1094" s="105"/>
    </row>
    <row r="1095" spans="1:17">
      <c r="B1095" s="118"/>
    </row>
    <row r="1096" spans="1:17">
      <c r="A1096" s="88" t="s">
        <v>210</v>
      </c>
      <c r="B1096" s="102"/>
      <c r="C1096" s="102"/>
      <c r="F1096" s="123"/>
      <c r="I1096" s="123"/>
      <c r="J1096" s="123"/>
    </row>
    <row r="1097" spans="1:17">
      <c r="A1097" s="102"/>
      <c r="B1097" s="102"/>
      <c r="C1097" s="102"/>
      <c r="F1097" s="123"/>
      <c r="I1097" s="123"/>
      <c r="J1097" s="123"/>
    </row>
    <row r="1098" spans="1:17">
      <c r="A1098" s="81" t="s">
        <v>86</v>
      </c>
      <c r="B1098" s="81" t="s">
        <v>87</v>
      </c>
      <c r="C1098" s="81" t="s">
        <v>88</v>
      </c>
      <c r="D1098" s="81"/>
      <c r="E1098" s="146" t="s">
        <v>89</v>
      </c>
      <c r="F1098" s="90" t="s">
        <v>90</v>
      </c>
      <c r="G1098" s="147"/>
      <c r="H1098" s="81" t="s">
        <v>91</v>
      </c>
      <c r="I1098" s="90" t="s">
        <v>92</v>
      </c>
      <c r="J1098" s="90" t="s">
        <v>93</v>
      </c>
    </row>
    <row r="1099" spans="1:17">
      <c r="A1099" s="86" t="s">
        <v>94</v>
      </c>
      <c r="B1099" s="96" t="s">
        <v>95</v>
      </c>
      <c r="C1099" s="96" t="s">
        <v>96</v>
      </c>
      <c r="D1099" s="96" t="s">
        <v>97</v>
      </c>
      <c r="E1099" s="150" t="s">
        <v>98</v>
      </c>
      <c r="F1099" s="98" t="s">
        <v>99</v>
      </c>
      <c r="G1099" s="151" t="s">
        <v>100</v>
      </c>
      <c r="H1099" s="96" t="s">
        <v>101</v>
      </c>
      <c r="I1099" s="98" t="s">
        <v>93</v>
      </c>
      <c r="J1099" s="98" t="s">
        <v>102</v>
      </c>
    </row>
    <row r="1100" spans="1:17">
      <c r="A1100" s="108"/>
      <c r="B1100" s="108"/>
      <c r="C1100" s="108"/>
      <c r="D1100" s="108"/>
      <c r="E1100" s="159"/>
      <c r="F1100" s="82"/>
      <c r="G1100" s="170"/>
      <c r="H1100" s="126"/>
      <c r="I1100" s="82"/>
      <c r="J1100" s="82"/>
    </row>
    <row r="1101" spans="1:17">
      <c r="A1101" s="108"/>
      <c r="B1101" s="108"/>
      <c r="C1101" s="108"/>
      <c r="D1101" s="108"/>
      <c r="E1101" s="159"/>
      <c r="F1101" s="82"/>
      <c r="G1101" s="170"/>
      <c r="H1101" s="126"/>
      <c r="I1101" s="82"/>
      <c r="J1101" s="82"/>
    </row>
    <row r="1102" spans="1:17">
      <c r="A1102" s="267"/>
      <c r="B1102" s="267"/>
      <c r="C1102" s="267"/>
      <c r="D1102" s="267"/>
      <c r="E1102" s="164"/>
      <c r="F1102" s="123"/>
      <c r="G1102" s="166"/>
      <c r="H1102" s="121"/>
      <c r="I1102" s="129"/>
      <c r="J1102" s="129"/>
    </row>
    <row r="1103" spans="1:17" ht="13.5" thickBot="1">
      <c r="A1103" s="102"/>
      <c r="B1103" s="102"/>
      <c r="C1103" s="102"/>
      <c r="E1103" s="73" t="s">
        <v>107</v>
      </c>
      <c r="F1103" s="130">
        <f>SUM(F1100:F1101)</f>
        <v>0</v>
      </c>
      <c r="I1103" s="130">
        <f>SUM(I1100:I1101)</f>
        <v>0</v>
      </c>
      <c r="J1103" s="130">
        <f>SUM(J1100:J1101)</f>
        <v>0</v>
      </c>
    </row>
    <row r="1104" spans="1:17" ht="13.5" thickTop="1">
      <c r="A1104" s="267"/>
      <c r="B1104" s="267"/>
      <c r="C1104" s="267"/>
      <c r="D1104" s="267"/>
      <c r="E1104" s="164"/>
      <c r="F1104" s="103"/>
      <c r="G1104" s="166"/>
      <c r="H1104" s="121"/>
      <c r="I1104" s="103"/>
      <c r="J1104" s="103"/>
    </row>
    <row r="1105" spans="1:17" ht="13.5" thickBot="1">
      <c r="A1105" s="95" t="s">
        <v>117</v>
      </c>
      <c r="B1105" s="102"/>
      <c r="C1105" s="102"/>
      <c r="E1105" s="73" t="s">
        <v>107</v>
      </c>
      <c r="F1105" s="130">
        <f>+F1103</f>
        <v>0</v>
      </c>
      <c r="I1105" s="130">
        <f>+I1103</f>
        <v>0</v>
      </c>
      <c r="J1105" s="130">
        <f>+J1103</f>
        <v>0</v>
      </c>
    </row>
    <row r="1106" spans="1:17" ht="13.5" thickTop="1">
      <c r="A1106" s="102"/>
      <c r="B1106" s="102"/>
      <c r="C1106" s="102"/>
      <c r="F1106" s="123"/>
      <c r="I1106" s="123"/>
      <c r="J1106" s="123"/>
    </row>
    <row r="1107" spans="1:17" ht="13.5" thickBot="1">
      <c r="A1107" s="69" t="s">
        <v>118</v>
      </c>
      <c r="B1107" s="118"/>
      <c r="F1107" s="120">
        <f>+F1105+F1092+F1012+F970+F668</f>
        <v>15027426.350000001</v>
      </c>
      <c r="I1107" s="120">
        <f>+I1105+I1092+I1012+I970+I668</f>
        <v>119991.38999999998</v>
      </c>
      <c r="J1107" s="120">
        <f>+J1105+J1092+J1012+J970+J668</f>
        <v>383480.31999999995</v>
      </c>
      <c r="Q1107" s="437"/>
    </row>
    <row r="1108" spans="1:17" ht="13.5" thickTop="1">
      <c r="B1108" s="118"/>
      <c r="F1108" s="105"/>
    </row>
    <row r="1109" spans="1:17">
      <c r="A1109" s="69"/>
      <c r="B1109" s="118"/>
      <c r="F1109" s="105"/>
      <c r="Q1109" s="105"/>
    </row>
    <row r="1110" spans="1:17">
      <c r="B1110" s="118"/>
      <c r="C1110" s="206" t="str">
        <f>+A1</f>
        <v>MAIN REPLACEMENTS - ADDITIONS</v>
      </c>
      <c r="D1110" s="101"/>
      <c r="F1110" s="105">
        <f>+F464</f>
        <v>4687242.9799999995</v>
      </c>
      <c r="Q1110" s="105"/>
    </row>
    <row r="1111" spans="1:17">
      <c r="C1111" s="206" t="str">
        <f>+A466</f>
        <v>SERVICE TRANSFER WORK ORDERS</v>
      </c>
      <c r="D1111" s="101"/>
      <c r="F1111" s="498">
        <f>+F639</f>
        <v>2304437.9800000004</v>
      </c>
      <c r="Q1111" s="105"/>
    </row>
    <row r="1112" spans="1:17">
      <c r="C1112" s="206" t="str">
        <f>+A641</f>
        <v>ACCOUNT 37620 MAINS CAST IRON LEAK CLAMPS</v>
      </c>
      <c r="D1112" s="101"/>
      <c r="F1112" s="498">
        <f>+F653</f>
        <v>447474.19000000006</v>
      </c>
      <c r="Q1112" s="105"/>
    </row>
    <row r="1113" spans="1:17">
      <c r="C1113" s="206" t="str">
        <f>+A656</f>
        <v>ACCOUNT 37670 MAINS CATHODIC PROTECTION</v>
      </c>
      <c r="D1113" s="101"/>
      <c r="F1113" s="498">
        <f>+F665</f>
        <v>2212.1999999999998</v>
      </c>
      <c r="Q1113" s="105"/>
    </row>
    <row r="1114" spans="1:17">
      <c r="C1114" s="206" t="str">
        <f>+A672</f>
        <v>ACCOUNT 38010 SERVICES STEEL</v>
      </c>
      <c r="D1114" s="101"/>
      <c r="F1114" s="498">
        <f>+F698</f>
        <v>66614.820000000022</v>
      </c>
    </row>
    <row r="1115" spans="1:17">
      <c r="C1115" s="206" t="str">
        <f>+A700</f>
        <v>ACCOUNT 38020 SERVICES PLASTIC &amp; COPPER</v>
      </c>
      <c r="D1115" s="101"/>
      <c r="F1115" s="498">
        <f>+F967</f>
        <v>6334849.6599999992</v>
      </c>
      <c r="Q1115" s="105"/>
    </row>
    <row r="1116" spans="1:17">
      <c r="C1116" s="206" t="str">
        <f>+A993</f>
        <v>ACCOUNT 379000 MEASURING &amp; REGULATING STATION EQUIPMENT - CITY GATE</v>
      </c>
      <c r="D1116" s="101"/>
      <c r="F1116" s="498">
        <f>+F1009</f>
        <v>0</v>
      </c>
    </row>
    <row r="1117" spans="1:17">
      <c r="C1117" s="101" t="str">
        <f>+A1014</f>
        <v>MAIN RELOCATIONS NET OF REIMBURSEMENTS - NET ADDITIONS</v>
      </c>
      <c r="D1117" s="206"/>
      <c r="F1117" s="498">
        <f>+F1092</f>
        <v>1184594.52</v>
      </c>
      <c r="Q1117" s="105"/>
    </row>
    <row r="1118" spans="1:17">
      <c r="D1118" s="206"/>
      <c r="F1118" s="498">
        <f>SUM(F1110:F1117)</f>
        <v>15027426.35</v>
      </c>
    </row>
    <row r="1119" spans="1:17">
      <c r="D1119" s="206"/>
    </row>
    <row r="1120" spans="1:17">
      <c r="D1120" s="206"/>
      <c r="F1120" s="498">
        <f>+F1110+F1112+F1113+F1117+F1111</f>
        <v>8625961.870000001</v>
      </c>
    </row>
    <row r="1121" spans="4:6">
      <c r="D1121" s="206"/>
      <c r="F1121" s="498">
        <f>+F1114+F1115</f>
        <v>6401464.4799999995</v>
      </c>
    </row>
    <row r="1122" spans="4:6">
      <c r="D1122" s="206"/>
    </row>
    <row r="1123" spans="4:6">
      <c r="D1123" s="206"/>
    </row>
  </sheetData>
  <phoneticPr fontId="10" type="noConversion"/>
  <printOptions horizontalCentered="1"/>
  <pageMargins left="0.4" right="0.4" top="0.5" bottom="1" header="0.5" footer="0.5"/>
  <pageSetup scale="72" fitToHeight="0" orientation="landscape" r:id="rId1"/>
  <headerFooter alignWithMargins="0">
    <oddFooter>&amp;R&amp;"Arial,Bold"APPENDIX A
SCHEDULE 1
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G237"/>
  <sheetViews>
    <sheetView view="pageBreakPreview" topLeftCell="A110" zoomScale="120" zoomScaleNormal="100" zoomScaleSheetLayoutView="120" workbookViewId="0">
      <selection activeCell="F135" sqref="F135"/>
    </sheetView>
  </sheetViews>
  <sheetFormatPr defaultColWidth="9.140625" defaultRowHeight="12.75"/>
  <cols>
    <col min="1" max="1" width="36.85546875" style="102" customWidth="1"/>
    <col min="2" max="2" width="11.140625" style="102" customWidth="1"/>
    <col min="3" max="4" width="10.140625" style="102" customWidth="1"/>
    <col min="5" max="5" width="38.28515625" style="102" bestFit="1" customWidth="1"/>
    <col min="6" max="6" width="12.5703125" style="152" customWidth="1"/>
    <col min="7" max="7" width="15.85546875" style="123" customWidth="1"/>
    <col min="8" max="8" width="9.7109375" style="176" customWidth="1"/>
    <col min="9" max="9" width="11.140625" style="101" customWidth="1"/>
    <col min="10" max="10" width="14.28515625" style="123" customWidth="1"/>
    <col min="11" max="11" width="15.140625" style="123" bestFit="1" customWidth="1"/>
    <col min="12" max="12" width="13.140625" style="101" customWidth="1"/>
    <col min="13" max="13" width="9.140625" style="101"/>
    <col min="14" max="14" width="10.42578125" style="101" bestFit="1" customWidth="1"/>
    <col min="15" max="15" width="9.140625" style="101"/>
    <col min="16" max="16" width="10.5703125" style="101" bestFit="1" customWidth="1"/>
    <col min="17" max="18" width="9.140625" style="101"/>
    <col min="19" max="19" width="9.7109375" style="101" bestFit="1" customWidth="1"/>
    <col min="20" max="16384" width="9.140625" style="101"/>
  </cols>
  <sheetData>
    <row r="1" spans="1:21">
      <c r="A1" s="95" t="s">
        <v>119</v>
      </c>
      <c r="S1" s="154">
        <v>201609</v>
      </c>
    </row>
    <row r="2" spans="1:21">
      <c r="O2" s="126" t="s">
        <v>154</v>
      </c>
      <c r="P2" s="126" t="s">
        <v>155</v>
      </c>
    </row>
    <row r="3" spans="1:21">
      <c r="A3" s="88" t="s">
        <v>120</v>
      </c>
      <c r="O3" s="159">
        <f>+Additions!N6</f>
        <v>201309</v>
      </c>
      <c r="P3" s="126">
        <f>+Additions!O6</f>
        <v>43.5</v>
      </c>
    </row>
    <row r="4" spans="1:21">
      <c r="O4" s="555">
        <f>+Additions!N7</f>
        <v>201310</v>
      </c>
      <c r="P4" s="590">
        <f>+Additions!O7</f>
        <v>42.5</v>
      </c>
    </row>
    <row r="5" spans="1:21">
      <c r="A5" s="81" t="s">
        <v>86</v>
      </c>
      <c r="B5" s="81" t="s">
        <v>87</v>
      </c>
      <c r="C5" s="81" t="s">
        <v>88</v>
      </c>
      <c r="D5" s="81" t="s">
        <v>104</v>
      </c>
      <c r="E5" s="81"/>
      <c r="F5" s="146" t="s">
        <v>121</v>
      </c>
      <c r="G5" s="90" t="s">
        <v>121</v>
      </c>
      <c r="H5" s="177"/>
      <c r="I5" s="81" t="s">
        <v>91</v>
      </c>
      <c r="J5" s="90" t="s">
        <v>92</v>
      </c>
      <c r="K5" s="90" t="s">
        <v>93</v>
      </c>
      <c r="O5" s="555">
        <f>+Additions!N8</f>
        <v>201311</v>
      </c>
      <c r="P5" s="590">
        <f>+Additions!O8</f>
        <v>41.5</v>
      </c>
      <c r="S5" s="101" t="s">
        <v>214</v>
      </c>
      <c r="T5" s="121"/>
      <c r="U5" s="101">
        <v>2016</v>
      </c>
    </row>
    <row r="6" spans="1:21">
      <c r="A6" s="86" t="s">
        <v>94</v>
      </c>
      <c r="B6" s="96" t="s">
        <v>95</v>
      </c>
      <c r="C6" s="96" t="s">
        <v>96</v>
      </c>
      <c r="D6" s="96" t="s">
        <v>122</v>
      </c>
      <c r="E6" s="96" t="s">
        <v>97</v>
      </c>
      <c r="F6" s="150" t="s">
        <v>98</v>
      </c>
      <c r="G6" s="98" t="s">
        <v>99</v>
      </c>
      <c r="H6" s="179" t="s">
        <v>100</v>
      </c>
      <c r="I6" s="96" t="s">
        <v>101</v>
      </c>
      <c r="J6" s="98" t="s">
        <v>123</v>
      </c>
      <c r="K6" s="98" t="s">
        <v>102</v>
      </c>
      <c r="O6" s="555">
        <f>+Additions!N9</f>
        <v>201312</v>
      </c>
      <c r="P6" s="590">
        <f>+Additions!O9</f>
        <v>40.5</v>
      </c>
      <c r="S6" s="101" t="s">
        <v>215</v>
      </c>
      <c r="U6" s="101">
        <v>2017</v>
      </c>
    </row>
    <row r="7" spans="1:21">
      <c r="A7" s="332" t="s">
        <v>318</v>
      </c>
      <c r="B7" s="333" t="s">
        <v>327</v>
      </c>
      <c r="C7" s="423" t="s">
        <v>319</v>
      </c>
      <c r="D7" s="333" t="s">
        <v>327</v>
      </c>
      <c r="E7" s="332" t="s">
        <v>328</v>
      </c>
      <c r="F7" s="333">
        <v>201611</v>
      </c>
      <c r="G7" s="334">
        <v>-171.53</v>
      </c>
      <c r="H7" s="590">
        <f>VLOOKUP(F7,Additions!$N$5:$O$49,2)</f>
        <v>5.5</v>
      </c>
      <c r="I7" s="332">
        <v>1.3083000000000001E-3</v>
      </c>
      <c r="J7" s="398">
        <f t="shared" ref="J7" si="0">ROUND(G7*H7*I7,2)</f>
        <v>-1.23</v>
      </c>
      <c r="K7" s="334">
        <f t="shared" ref="K7" si="1">ROUND(G7*I7*12,2)</f>
        <v>-2.69</v>
      </c>
      <c r="L7" s="403"/>
      <c r="O7" s="555">
        <f>+Additions!N10</f>
        <v>201401</v>
      </c>
      <c r="P7" s="590">
        <f>+Additions!O10</f>
        <v>39.5</v>
      </c>
      <c r="S7" s="101">
        <f>IF(F7&lt;=$S$1,$U$5,$U$6)</f>
        <v>2017</v>
      </c>
    </row>
    <row r="8" spans="1:21">
      <c r="A8" s="332" t="s">
        <v>318</v>
      </c>
      <c r="B8" s="333" t="s">
        <v>973</v>
      </c>
      <c r="C8" s="429" t="s">
        <v>330</v>
      </c>
      <c r="D8" s="333" t="s">
        <v>973</v>
      </c>
      <c r="E8" s="332" t="s">
        <v>974</v>
      </c>
      <c r="F8" s="333">
        <v>201612</v>
      </c>
      <c r="G8" s="334">
        <v>-1499.6</v>
      </c>
      <c r="H8" s="590">
        <f>VLOOKUP(F8,Additions!$N$5:$O$49,2)</f>
        <v>4.5</v>
      </c>
      <c r="I8" s="332">
        <v>1.3083000000000001E-3</v>
      </c>
      <c r="J8" s="491">
        <f t="shared" ref="J8" si="2">ROUND(G8*H8*I8,2)</f>
        <v>-8.83</v>
      </c>
      <c r="K8" s="523">
        <f t="shared" ref="K8" si="3">ROUND(G8*I8*12,2)</f>
        <v>-23.54</v>
      </c>
      <c r="L8" s="403"/>
      <c r="O8" s="555">
        <f>+Additions!N11</f>
        <v>201402</v>
      </c>
      <c r="P8" s="590">
        <f>+Additions!O11</f>
        <v>38.5</v>
      </c>
      <c r="S8" s="101">
        <f t="shared" ref="S8:S10" si="4">IF(F8&lt;=$S$1,$U$5,$U$6)</f>
        <v>2017</v>
      </c>
    </row>
    <row r="9" spans="1:21" ht="13.5" customHeight="1">
      <c r="A9" s="840" t="s">
        <v>318</v>
      </c>
      <c r="B9" s="843" t="s">
        <v>949</v>
      </c>
      <c r="C9" s="845" t="s">
        <v>330</v>
      </c>
      <c r="D9" s="843" t="s">
        <v>949</v>
      </c>
      <c r="E9" s="840" t="s">
        <v>950</v>
      </c>
      <c r="F9" s="843">
        <v>201701</v>
      </c>
      <c r="G9" s="841">
        <v>-10078.5</v>
      </c>
      <c r="H9" s="590">
        <f>VLOOKUP(F9,Additions!$N$5:$O$49,2)</f>
        <v>3.5</v>
      </c>
      <c r="I9" s="844">
        <v>1.3083000000000001E-3</v>
      </c>
      <c r="J9" s="491">
        <f t="shared" ref="J9:J10" si="5">ROUND(G9*H9*I9,2)</f>
        <v>-46.15</v>
      </c>
      <c r="K9" s="841">
        <f t="shared" ref="K9:K10" si="6">ROUND(G9*I9*12,2)</f>
        <v>-158.22999999999999</v>
      </c>
      <c r="L9" s="288"/>
      <c r="O9" s="555">
        <f>+Additions!N12</f>
        <v>201403</v>
      </c>
      <c r="P9" s="590">
        <f>+Additions!O12</f>
        <v>37.5</v>
      </c>
      <c r="S9" s="101">
        <f t="shared" si="4"/>
        <v>2017</v>
      </c>
    </row>
    <row r="10" spans="1:21" ht="13.5" customHeight="1">
      <c r="A10" s="840" t="s">
        <v>318</v>
      </c>
      <c r="B10" s="843" t="s">
        <v>961</v>
      </c>
      <c r="C10" s="845" t="s">
        <v>330</v>
      </c>
      <c r="D10" s="843" t="s">
        <v>961</v>
      </c>
      <c r="E10" s="840" t="s">
        <v>962</v>
      </c>
      <c r="F10" s="843">
        <v>201701</v>
      </c>
      <c r="G10" s="841">
        <v>-1851.68</v>
      </c>
      <c r="H10" s="590">
        <f>VLOOKUP(F10,Additions!$N$5:$O$49,2)</f>
        <v>3.5</v>
      </c>
      <c r="I10" s="844">
        <v>1.3083000000000001E-3</v>
      </c>
      <c r="J10" s="491">
        <f t="shared" si="5"/>
        <v>-8.48</v>
      </c>
      <c r="K10" s="841">
        <f t="shared" si="6"/>
        <v>-29.07</v>
      </c>
      <c r="L10" s="403"/>
      <c r="O10" s="555">
        <f>+Additions!N13</f>
        <v>201404</v>
      </c>
      <c r="P10" s="590">
        <f>+Additions!O13</f>
        <v>36.5</v>
      </c>
      <c r="S10" s="101">
        <f t="shared" si="4"/>
        <v>2017</v>
      </c>
    </row>
    <row r="11" spans="1:21" s="559" customFormat="1" ht="13.5" customHeight="1">
      <c r="A11" s="521"/>
      <c r="B11" s="522"/>
      <c r="C11" s="522"/>
      <c r="D11" s="522"/>
      <c r="E11" s="521"/>
      <c r="F11" s="522"/>
      <c r="G11" s="523"/>
      <c r="H11" s="590"/>
      <c r="I11" s="481"/>
      <c r="J11" s="491"/>
      <c r="K11" s="523"/>
      <c r="L11" s="403"/>
      <c r="O11" s="555">
        <f>+Additions!N48</f>
        <v>201703</v>
      </c>
      <c r="P11" s="590">
        <f>+Additions!O48</f>
        <v>0</v>
      </c>
      <c r="S11" s="559">
        <f t="shared" ref="S11" si="7">IF(F11&lt;=$S$1,$U$5,$U$6)</f>
        <v>2016</v>
      </c>
    </row>
    <row r="12" spans="1:21" ht="13.5" customHeight="1">
      <c r="A12" s="326"/>
      <c r="B12" s="257"/>
      <c r="C12" s="333"/>
      <c r="D12" s="257"/>
      <c r="E12" s="255"/>
      <c r="F12" s="257"/>
      <c r="G12" s="325"/>
      <c r="H12" s="126"/>
      <c r="I12" s="332"/>
      <c r="J12" s="398"/>
      <c r="K12" s="334"/>
      <c r="L12" s="403"/>
      <c r="O12" s="555">
        <f>+Additions!N49</f>
        <v>201704</v>
      </c>
      <c r="P12" s="590">
        <f>+Additions!O49</f>
        <v>0</v>
      </c>
      <c r="S12" s="101">
        <f t="shared" ref="S12" si="8">IF(F12&lt;=$S$1,$U$5,$U$6)</f>
        <v>2016</v>
      </c>
    </row>
    <row r="13" spans="1:21">
      <c r="A13" s="113"/>
      <c r="B13" s="267"/>
      <c r="C13" s="267"/>
      <c r="D13" s="267"/>
      <c r="E13" s="267"/>
      <c r="F13" s="164"/>
      <c r="G13" s="129"/>
      <c r="H13" s="181"/>
      <c r="I13" s="121"/>
      <c r="J13" s="129"/>
      <c r="K13" s="129"/>
      <c r="O13" s="555"/>
      <c r="P13" s="590"/>
    </row>
    <row r="14" spans="1:21" ht="13.5" thickBot="1">
      <c r="A14" s="95" t="s">
        <v>151</v>
      </c>
      <c r="B14" s="267"/>
      <c r="C14" s="267"/>
      <c r="D14" s="267"/>
      <c r="E14" s="267"/>
      <c r="F14" s="164"/>
      <c r="G14" s="130">
        <f>SUM(G7:G13)</f>
        <v>-13601.31</v>
      </c>
      <c r="H14" s="181"/>
      <c r="I14" s="121"/>
      <c r="J14" s="130">
        <f>SUM(J7:J13)</f>
        <v>-64.69</v>
      </c>
      <c r="K14" s="130">
        <f>SUM(K7:K13)</f>
        <v>-213.52999999999997</v>
      </c>
      <c r="O14" s="555"/>
      <c r="P14" s="590"/>
    </row>
    <row r="15" spans="1:21" ht="13.5" thickTop="1">
      <c r="A15" s="95"/>
      <c r="B15" s="267"/>
      <c r="C15" s="267"/>
      <c r="D15" s="267"/>
      <c r="E15" s="267"/>
      <c r="F15" s="164"/>
      <c r="G15" s="103"/>
      <c r="H15" s="181"/>
      <c r="I15" s="121"/>
      <c r="J15" s="103"/>
      <c r="K15" s="103"/>
      <c r="O15" s="555"/>
      <c r="P15" s="590"/>
    </row>
    <row r="16" spans="1:21">
      <c r="A16" s="88" t="s">
        <v>124</v>
      </c>
      <c r="O16" s="555"/>
      <c r="P16" s="590"/>
    </row>
    <row r="17" spans="1:27">
      <c r="A17" s="95"/>
      <c r="B17" s="267"/>
      <c r="C17" s="267"/>
      <c r="D17" s="267"/>
      <c r="E17" s="267"/>
      <c r="F17" s="164"/>
      <c r="G17" s="103"/>
      <c r="H17" s="181"/>
      <c r="I17" s="121"/>
      <c r="J17" s="103"/>
      <c r="K17" s="103"/>
      <c r="O17" s="555"/>
      <c r="P17" s="590"/>
      <c r="S17" s="101">
        <f t="shared" ref="S17:S28" si="9">IF(F17&lt;=$S$1,$U$5,$U$6)</f>
        <v>2016</v>
      </c>
    </row>
    <row r="18" spans="1:27">
      <c r="A18" s="81" t="s">
        <v>86</v>
      </c>
      <c r="B18" s="81" t="s">
        <v>87</v>
      </c>
      <c r="C18" s="81" t="s">
        <v>88</v>
      </c>
      <c r="D18" s="81" t="s">
        <v>104</v>
      </c>
      <c r="E18" s="81"/>
      <c r="F18" s="146" t="s">
        <v>121</v>
      </c>
      <c r="G18" s="90" t="s">
        <v>121</v>
      </c>
      <c r="H18" s="177"/>
      <c r="I18" s="81" t="s">
        <v>91</v>
      </c>
      <c r="J18" s="90" t="s">
        <v>92</v>
      </c>
      <c r="K18" s="90" t="s">
        <v>93</v>
      </c>
      <c r="O18" s="555"/>
      <c r="P18" s="590"/>
      <c r="S18" s="101">
        <f t="shared" si="9"/>
        <v>2017</v>
      </c>
    </row>
    <row r="19" spans="1:27">
      <c r="A19" s="86" t="s">
        <v>94</v>
      </c>
      <c r="B19" s="96" t="s">
        <v>95</v>
      </c>
      <c r="C19" s="96" t="s">
        <v>96</v>
      </c>
      <c r="D19" s="96" t="s">
        <v>122</v>
      </c>
      <c r="E19" s="96" t="s">
        <v>97</v>
      </c>
      <c r="F19" s="150" t="s">
        <v>98</v>
      </c>
      <c r="G19" s="98" t="s">
        <v>99</v>
      </c>
      <c r="H19" s="179" t="s">
        <v>100</v>
      </c>
      <c r="I19" s="96" t="s">
        <v>101</v>
      </c>
      <c r="J19" s="98" t="s">
        <v>123</v>
      </c>
      <c r="K19" s="98" t="s">
        <v>102</v>
      </c>
      <c r="O19" s="555"/>
      <c r="P19" s="590"/>
      <c r="S19" s="101">
        <f t="shared" si="9"/>
        <v>2017</v>
      </c>
    </row>
    <row r="20" spans="1:27">
      <c r="A20" s="332" t="s">
        <v>332</v>
      </c>
      <c r="B20" s="333" t="s">
        <v>832</v>
      </c>
      <c r="C20" s="423" t="s">
        <v>330</v>
      </c>
      <c r="D20" s="333" t="s">
        <v>832</v>
      </c>
      <c r="E20" s="332" t="s">
        <v>833</v>
      </c>
      <c r="F20" s="333">
        <v>201611</v>
      </c>
      <c r="G20" s="334">
        <v>-4370</v>
      </c>
      <c r="H20" s="126">
        <f>VLOOKUP(F20,Additions!$N$5:$O$49,2)</f>
        <v>5.5</v>
      </c>
      <c r="I20" s="381">
        <v>2.7583E-3</v>
      </c>
      <c r="J20" s="398">
        <f t="shared" ref="J20:J23" si="10">ROUND(G20*H20*I20,2)</f>
        <v>-66.3</v>
      </c>
      <c r="K20" s="334">
        <f t="shared" ref="K20:K23" si="11">ROUND(G20*I20*12,2)</f>
        <v>-144.65</v>
      </c>
      <c r="O20" s="555"/>
      <c r="P20" s="590"/>
      <c r="S20" s="101">
        <f t="shared" si="9"/>
        <v>2017</v>
      </c>
    </row>
    <row r="21" spans="1:27">
      <c r="A21" s="332" t="s">
        <v>332</v>
      </c>
      <c r="B21" s="333" t="s">
        <v>973</v>
      </c>
      <c r="C21" s="257" t="s">
        <v>330</v>
      </c>
      <c r="D21" s="333" t="s">
        <v>973</v>
      </c>
      <c r="E21" s="332" t="s">
        <v>974</v>
      </c>
      <c r="F21" s="333">
        <v>201612</v>
      </c>
      <c r="G21" s="334">
        <v>-14794.26</v>
      </c>
      <c r="H21" s="590">
        <f>VLOOKUP(F21,Additions!$N$5:$O$49,2)</f>
        <v>4.5</v>
      </c>
      <c r="I21" s="381">
        <v>2.7583E-3</v>
      </c>
      <c r="J21" s="401">
        <f t="shared" si="10"/>
        <v>-183.63</v>
      </c>
      <c r="K21" s="395">
        <f t="shared" si="11"/>
        <v>-489.68</v>
      </c>
      <c r="O21" s="555"/>
      <c r="P21" s="590"/>
      <c r="S21" s="101">
        <f t="shared" si="9"/>
        <v>2017</v>
      </c>
    </row>
    <row r="22" spans="1:27">
      <c r="A22" s="332" t="s">
        <v>332</v>
      </c>
      <c r="B22" s="333" t="s">
        <v>979</v>
      </c>
      <c r="C22" s="429" t="s">
        <v>330</v>
      </c>
      <c r="D22" s="333" t="s">
        <v>979</v>
      </c>
      <c r="E22" s="332" t="s">
        <v>980</v>
      </c>
      <c r="F22" s="333">
        <v>201612</v>
      </c>
      <c r="G22" s="334">
        <v>-3359.15</v>
      </c>
      <c r="H22" s="590">
        <f>VLOOKUP(F22,Additions!$N$5:$O$49,2)</f>
        <v>4.5</v>
      </c>
      <c r="I22" s="381">
        <v>2.7583E-3</v>
      </c>
      <c r="J22" s="398">
        <f t="shared" si="10"/>
        <v>-41.69</v>
      </c>
      <c r="K22" s="334">
        <f t="shared" si="11"/>
        <v>-111.19</v>
      </c>
      <c r="O22" s="555"/>
      <c r="P22" s="590"/>
      <c r="S22" s="101">
        <f t="shared" si="9"/>
        <v>2017</v>
      </c>
    </row>
    <row r="23" spans="1:27">
      <c r="A23" s="332" t="s">
        <v>332</v>
      </c>
      <c r="B23" s="333" t="s">
        <v>985</v>
      </c>
      <c r="C23" s="257" t="s">
        <v>330</v>
      </c>
      <c r="D23" s="333" t="s">
        <v>985</v>
      </c>
      <c r="E23" s="332" t="s">
        <v>986</v>
      </c>
      <c r="F23" s="333">
        <v>201612</v>
      </c>
      <c r="G23" s="334">
        <v>-1055.72</v>
      </c>
      <c r="H23" s="590">
        <f>VLOOKUP(F23,Additions!$N$5:$O$49,2)</f>
        <v>4.5</v>
      </c>
      <c r="I23" s="381">
        <v>2.7583E-3</v>
      </c>
      <c r="J23" s="398">
        <f t="shared" si="10"/>
        <v>-13.1</v>
      </c>
      <c r="K23" s="334">
        <f t="shared" si="11"/>
        <v>-34.94</v>
      </c>
      <c r="O23" s="555"/>
      <c r="P23" s="590"/>
      <c r="S23" s="101">
        <f t="shared" si="9"/>
        <v>2017</v>
      </c>
    </row>
    <row r="24" spans="1:27" s="559" customFormat="1">
      <c r="A24" s="846" t="s">
        <v>332</v>
      </c>
      <c r="B24" s="849" t="s">
        <v>961</v>
      </c>
      <c r="C24" s="850" t="s">
        <v>330</v>
      </c>
      <c r="D24" s="849" t="s">
        <v>961</v>
      </c>
      <c r="E24" s="846" t="s">
        <v>962</v>
      </c>
      <c r="F24" s="849">
        <v>201701</v>
      </c>
      <c r="G24" s="847">
        <v>-14302.13</v>
      </c>
      <c r="H24" s="590">
        <f>VLOOKUP(F24,Additions!$N$5:$O$49,2)</f>
        <v>3.5</v>
      </c>
      <c r="I24" s="848">
        <v>2.7583E-3</v>
      </c>
      <c r="J24" s="491">
        <f t="shared" ref="J24:J25" si="12">ROUND(G24*H24*I24,2)</f>
        <v>-138.07</v>
      </c>
      <c r="K24" s="847">
        <f t="shared" ref="K24:K25" si="13">ROUND(G24*I24*12,2)</f>
        <v>-473.39</v>
      </c>
      <c r="O24" s="164"/>
      <c r="P24" s="440"/>
      <c r="S24" s="559">
        <f t="shared" si="9"/>
        <v>2017</v>
      </c>
    </row>
    <row r="25" spans="1:27" s="559" customFormat="1">
      <c r="A25" s="846" t="s">
        <v>332</v>
      </c>
      <c r="B25" s="849" t="s">
        <v>949</v>
      </c>
      <c r="C25" s="850" t="s">
        <v>330</v>
      </c>
      <c r="D25" s="849" t="s">
        <v>949</v>
      </c>
      <c r="E25" s="846" t="s">
        <v>950</v>
      </c>
      <c r="F25" s="849">
        <v>201701</v>
      </c>
      <c r="G25" s="847">
        <v>-9807.31</v>
      </c>
      <c r="H25" s="590">
        <f>VLOOKUP(F25,Additions!$N$5:$O$49,2)</f>
        <v>3.5</v>
      </c>
      <c r="I25" s="848">
        <v>2.7583E-3</v>
      </c>
      <c r="J25" s="491">
        <f t="shared" si="12"/>
        <v>-94.68</v>
      </c>
      <c r="K25" s="847">
        <f t="shared" si="13"/>
        <v>-324.62</v>
      </c>
      <c r="O25" s="164"/>
      <c r="P25" s="440"/>
      <c r="S25" s="559">
        <f t="shared" si="9"/>
        <v>2017</v>
      </c>
    </row>
    <row r="26" spans="1:27" s="559" customFormat="1">
      <c r="A26" s="840"/>
      <c r="B26" s="843"/>
      <c r="C26" s="490"/>
      <c r="D26" s="843"/>
      <c r="E26" s="840"/>
      <c r="F26" s="843"/>
      <c r="G26" s="841"/>
      <c r="H26" s="590"/>
      <c r="I26" s="842"/>
      <c r="J26" s="491"/>
      <c r="K26" s="841"/>
      <c r="O26" s="164"/>
      <c r="P26" s="440"/>
    </row>
    <row r="27" spans="1:27">
      <c r="A27" s="326"/>
      <c r="B27" s="257"/>
      <c r="C27" s="333"/>
      <c r="D27" s="257"/>
      <c r="E27" s="255"/>
      <c r="F27" s="257"/>
      <c r="G27" s="325"/>
      <c r="H27" s="126"/>
      <c r="I27" s="381"/>
      <c r="J27" s="398"/>
      <c r="K27" s="334"/>
      <c r="S27" s="559">
        <f t="shared" si="9"/>
        <v>2016</v>
      </c>
      <c r="AA27" s="559"/>
    </row>
    <row r="28" spans="1:27">
      <c r="A28" s="113"/>
      <c r="B28" s="267"/>
      <c r="C28" s="267"/>
      <c r="D28" s="267"/>
      <c r="E28" s="267"/>
      <c r="F28" s="164"/>
      <c r="G28" s="129"/>
      <c r="H28" s="181"/>
      <c r="I28" s="121"/>
      <c r="J28" s="129"/>
      <c r="K28" s="129"/>
      <c r="S28" s="559">
        <f t="shared" si="9"/>
        <v>2016</v>
      </c>
    </row>
    <row r="29" spans="1:27" ht="13.5" thickBot="1">
      <c r="A29" s="95" t="s">
        <v>125</v>
      </c>
      <c r="B29" s="267"/>
      <c r="C29" s="267"/>
      <c r="D29" s="267"/>
      <c r="E29" s="267"/>
      <c r="F29" s="164"/>
      <c r="G29" s="130">
        <f>SUM(G20:G28)</f>
        <v>-47688.57</v>
      </c>
      <c r="H29" s="181"/>
      <c r="I29" s="121"/>
      <c r="J29" s="130">
        <f>SUM(J20:J28)</f>
        <v>-537.47</v>
      </c>
      <c r="K29" s="130">
        <f>SUM(K20:K28)</f>
        <v>-1578.4699999999998</v>
      </c>
    </row>
    <row r="30" spans="1:27" ht="13.5" thickTop="1">
      <c r="A30" s="95"/>
      <c r="B30" s="267"/>
      <c r="C30" s="267"/>
      <c r="D30" s="267"/>
      <c r="E30" s="267"/>
      <c r="F30" s="164"/>
      <c r="G30" s="103"/>
      <c r="H30" s="181"/>
      <c r="I30" s="121"/>
      <c r="J30" s="103"/>
      <c r="K30" s="103"/>
    </row>
    <row r="31" spans="1:27">
      <c r="A31" s="88" t="s">
        <v>126</v>
      </c>
    </row>
    <row r="33" spans="1:19">
      <c r="A33" s="81" t="s">
        <v>86</v>
      </c>
      <c r="B33" s="81" t="s">
        <v>87</v>
      </c>
      <c r="C33" s="81" t="s">
        <v>88</v>
      </c>
      <c r="D33" s="81" t="s">
        <v>104</v>
      </c>
      <c r="E33" s="81"/>
      <c r="F33" s="146" t="s">
        <v>121</v>
      </c>
      <c r="G33" s="90" t="s">
        <v>121</v>
      </c>
      <c r="H33" s="177"/>
      <c r="I33" s="81" t="s">
        <v>91</v>
      </c>
      <c r="J33" s="90" t="s">
        <v>92</v>
      </c>
      <c r="K33" s="90" t="s">
        <v>93</v>
      </c>
    </row>
    <row r="34" spans="1:19">
      <c r="A34" s="86" t="s">
        <v>94</v>
      </c>
      <c r="B34" s="96" t="s">
        <v>95</v>
      </c>
      <c r="C34" s="96" t="s">
        <v>96</v>
      </c>
      <c r="D34" s="96" t="s">
        <v>122</v>
      </c>
      <c r="E34" s="96" t="s">
        <v>97</v>
      </c>
      <c r="F34" s="150" t="s">
        <v>98</v>
      </c>
      <c r="G34" s="98" t="s">
        <v>99</v>
      </c>
      <c r="H34" s="179" t="s">
        <v>100</v>
      </c>
      <c r="I34" s="96" t="s">
        <v>101</v>
      </c>
      <c r="J34" s="98" t="s">
        <v>123</v>
      </c>
      <c r="K34" s="98" t="s">
        <v>102</v>
      </c>
    </row>
    <row r="35" spans="1:19">
      <c r="A35" s="332" t="s">
        <v>322</v>
      </c>
      <c r="B35" s="333" t="s">
        <v>325</v>
      </c>
      <c r="C35" s="429" t="s">
        <v>319</v>
      </c>
      <c r="D35" s="333" t="s">
        <v>325</v>
      </c>
      <c r="E35" s="332" t="s">
        <v>326</v>
      </c>
      <c r="F35" s="333">
        <v>201611</v>
      </c>
      <c r="G35" s="334">
        <v>-573.20000000000005</v>
      </c>
      <c r="H35" s="126">
        <f>VLOOKUP(F35,Additions!$N$5:$O$49,2)</f>
        <v>5.5</v>
      </c>
      <c r="I35" s="381">
        <v>1.1999999999999999E-3</v>
      </c>
      <c r="J35" s="398">
        <f t="shared" ref="J35" si="14">ROUND(G35*H35*I35,2)</f>
        <v>-3.78</v>
      </c>
      <c r="K35" s="334">
        <f t="shared" ref="K35" si="15">ROUND(G35*I35*12,2)</f>
        <v>-8.25</v>
      </c>
      <c r="L35" s="288"/>
      <c r="S35" s="101">
        <f t="shared" ref="S35" si="16">IF(F35&lt;=$S$1,$U$5,$U$6)</f>
        <v>2017</v>
      </c>
    </row>
    <row r="36" spans="1:19">
      <c r="A36" s="851" t="s">
        <v>322</v>
      </c>
      <c r="B36" s="853" t="s">
        <v>347</v>
      </c>
      <c r="C36" s="856" t="s">
        <v>319</v>
      </c>
      <c r="D36" s="853" t="s">
        <v>347</v>
      </c>
      <c r="E36" s="851" t="s">
        <v>348</v>
      </c>
      <c r="F36" s="853">
        <v>201701</v>
      </c>
      <c r="G36" s="852">
        <v>-132.63</v>
      </c>
      <c r="H36" s="590">
        <f>VLOOKUP(F36,Additions!$N$5:$O$49,2)</f>
        <v>3.5</v>
      </c>
      <c r="I36" s="859">
        <v>1.1999999999999999E-3</v>
      </c>
      <c r="J36" s="491">
        <f t="shared" ref="J36:J38" si="17">ROUND(G36*H36*I36,2)</f>
        <v>-0.56000000000000005</v>
      </c>
      <c r="K36" s="852">
        <f t="shared" ref="K36:K38" si="18">ROUND(G36*I36*12,2)</f>
        <v>-1.91</v>
      </c>
      <c r="L36" s="288"/>
      <c r="M36" s="559"/>
      <c r="N36" s="559"/>
      <c r="O36" s="559"/>
      <c r="P36" s="559"/>
      <c r="Q36" s="559"/>
      <c r="R36" s="559"/>
      <c r="S36" s="559">
        <f t="shared" ref="S36:S38" si="19">IF(F36&lt;=$S$1,$U$5,$U$6)</f>
        <v>2017</v>
      </c>
    </row>
    <row r="37" spans="1:19">
      <c r="A37" s="851" t="s">
        <v>322</v>
      </c>
      <c r="B37" s="853" t="s">
        <v>1138</v>
      </c>
      <c r="C37" s="856" t="s">
        <v>330</v>
      </c>
      <c r="D37" s="853" t="s">
        <v>1138</v>
      </c>
      <c r="E37" s="851" t="s">
        <v>1139</v>
      </c>
      <c r="F37" s="853">
        <v>201701</v>
      </c>
      <c r="G37" s="852">
        <v>-9559.91</v>
      </c>
      <c r="H37" s="590">
        <f>VLOOKUP(F37,Additions!$N$5:$O$49,2)</f>
        <v>3.5</v>
      </c>
      <c r="I37" s="859">
        <v>1.1999999999999999E-3</v>
      </c>
      <c r="J37" s="491">
        <f t="shared" si="17"/>
        <v>-40.15</v>
      </c>
      <c r="K37" s="852">
        <f t="shared" si="18"/>
        <v>-137.66</v>
      </c>
      <c r="L37" s="288"/>
      <c r="M37" s="559"/>
      <c r="N37" s="559"/>
      <c r="O37" s="559"/>
      <c r="P37" s="559"/>
      <c r="Q37" s="559"/>
      <c r="R37" s="559"/>
      <c r="S37" s="559">
        <f t="shared" si="19"/>
        <v>2017</v>
      </c>
    </row>
    <row r="38" spans="1:19">
      <c r="A38" s="851" t="s">
        <v>322</v>
      </c>
      <c r="B38" s="853" t="s">
        <v>961</v>
      </c>
      <c r="C38" s="856" t="s">
        <v>330</v>
      </c>
      <c r="D38" s="853" t="s">
        <v>961</v>
      </c>
      <c r="E38" s="851" t="s">
        <v>962</v>
      </c>
      <c r="F38" s="853">
        <v>201701</v>
      </c>
      <c r="G38" s="852">
        <v>-70145.509999999995</v>
      </c>
      <c r="H38" s="590">
        <f>VLOOKUP(F38,Additions!$N$5:$O$49,2)</f>
        <v>3.5</v>
      </c>
      <c r="I38" s="859">
        <v>1.1999999999999999E-3</v>
      </c>
      <c r="J38" s="491">
        <f t="shared" si="17"/>
        <v>-294.61</v>
      </c>
      <c r="K38" s="852">
        <f t="shared" si="18"/>
        <v>-1010.1</v>
      </c>
      <c r="L38" s="288"/>
      <c r="M38" s="559"/>
      <c r="N38" s="559"/>
      <c r="O38" s="559"/>
      <c r="P38" s="559"/>
      <c r="Q38" s="559"/>
      <c r="R38" s="559"/>
      <c r="S38" s="559">
        <f t="shared" si="19"/>
        <v>2017</v>
      </c>
    </row>
    <row r="39" spans="1:19" s="559" customFormat="1">
      <c r="A39" s="521"/>
      <c r="B39" s="522"/>
      <c r="C39" s="522"/>
      <c r="D39" s="522"/>
      <c r="E39" s="521"/>
      <c r="F39" s="522"/>
      <c r="G39" s="523"/>
      <c r="H39" s="590"/>
      <c r="I39" s="486"/>
      <c r="J39" s="491"/>
      <c r="K39" s="523"/>
      <c r="L39" s="288"/>
      <c r="S39" s="559">
        <f t="shared" ref="S39" si="20">IF(F39&lt;=$S$1,$U$5,$U$6)</f>
        <v>2016</v>
      </c>
    </row>
    <row r="40" spans="1:19">
      <c r="A40" s="332"/>
      <c r="B40" s="333"/>
      <c r="C40" s="333"/>
      <c r="D40" s="333"/>
      <c r="E40" s="332"/>
      <c r="F40" s="333"/>
      <c r="G40" s="334"/>
      <c r="H40" s="126"/>
      <c r="I40" s="381"/>
      <c r="J40" s="398"/>
      <c r="K40" s="334"/>
      <c r="L40" s="288"/>
      <c r="S40" s="101">
        <f t="shared" ref="S40" si="21">IF(F40&lt;=$S$1,$U$5,$U$6)</f>
        <v>2016</v>
      </c>
    </row>
    <row r="41" spans="1:19">
      <c r="A41" s="113"/>
      <c r="B41" s="267"/>
      <c r="C41" s="267"/>
      <c r="D41" s="267"/>
      <c r="E41" s="267"/>
      <c r="F41" s="164"/>
      <c r="G41" s="129"/>
      <c r="H41" s="181"/>
      <c r="I41" s="121"/>
      <c r="J41" s="129"/>
      <c r="K41" s="129"/>
    </row>
    <row r="42" spans="1:19" ht="13.5" thickBot="1">
      <c r="A42" s="95" t="s">
        <v>127</v>
      </c>
      <c r="B42" s="267"/>
      <c r="C42" s="267"/>
      <c r="D42" s="267"/>
      <c r="E42" s="267"/>
      <c r="F42" s="164"/>
      <c r="G42" s="130">
        <f>SUM(G35:G41)</f>
        <v>-80411.25</v>
      </c>
      <c r="H42" s="181"/>
      <c r="I42" s="121"/>
      <c r="J42" s="130">
        <f>SUM(J35:J41)</f>
        <v>-339.1</v>
      </c>
      <c r="K42" s="130">
        <f>SUM(K35:K41)</f>
        <v>-1157.92</v>
      </c>
    </row>
    <row r="43" spans="1:19" ht="13.5" thickTop="1">
      <c r="A43" s="113"/>
      <c r="B43" s="267"/>
      <c r="C43" s="267"/>
      <c r="D43" s="267"/>
      <c r="E43" s="267"/>
      <c r="F43" s="164"/>
      <c r="G43" s="103"/>
      <c r="H43" s="181"/>
      <c r="I43" s="121"/>
      <c r="J43" s="103"/>
      <c r="K43" s="103"/>
    </row>
    <row r="44" spans="1:19">
      <c r="A44" s="69" t="s">
        <v>217</v>
      </c>
      <c r="B44" s="101"/>
      <c r="C44" s="101"/>
      <c r="D44" s="101"/>
      <c r="G44" s="101"/>
      <c r="H44" s="101"/>
      <c r="J44" s="101"/>
      <c r="K44" s="101"/>
    </row>
    <row r="45" spans="1:19">
      <c r="A45" s="101"/>
      <c r="B45" s="101"/>
      <c r="C45" s="101"/>
      <c r="D45" s="101"/>
      <c r="G45" s="101"/>
      <c r="H45" s="101"/>
      <c r="J45" s="101"/>
      <c r="K45" s="101"/>
    </row>
    <row r="46" spans="1:19">
      <c r="A46" s="81" t="s">
        <v>86</v>
      </c>
      <c r="B46" s="81" t="s">
        <v>87</v>
      </c>
      <c r="C46" s="81" t="s">
        <v>88</v>
      </c>
      <c r="D46" s="81"/>
      <c r="E46" s="81"/>
      <c r="F46" s="146" t="s">
        <v>89</v>
      </c>
      <c r="G46" s="81" t="s">
        <v>90</v>
      </c>
      <c r="H46" s="177"/>
      <c r="I46" s="81" t="s">
        <v>91</v>
      </c>
      <c r="J46" s="81" t="s">
        <v>92</v>
      </c>
      <c r="K46" s="81" t="s">
        <v>93</v>
      </c>
    </row>
    <row r="47" spans="1:19">
      <c r="A47" s="86" t="s">
        <v>94</v>
      </c>
      <c r="B47" s="86" t="s">
        <v>95</v>
      </c>
      <c r="C47" s="86" t="s">
        <v>96</v>
      </c>
      <c r="D47" s="86"/>
      <c r="E47" s="86" t="s">
        <v>97</v>
      </c>
      <c r="F47" s="148" t="s">
        <v>98</v>
      </c>
      <c r="G47" s="86" t="s">
        <v>99</v>
      </c>
      <c r="H47" s="182" t="s">
        <v>100</v>
      </c>
      <c r="I47" s="86" t="s">
        <v>101</v>
      </c>
      <c r="J47" s="86" t="s">
        <v>93</v>
      </c>
      <c r="K47" s="86" t="s">
        <v>102</v>
      </c>
    </row>
    <row r="48" spans="1:19">
      <c r="A48" s="254"/>
      <c r="B48" s="254"/>
      <c r="C48" s="254"/>
      <c r="D48" s="243"/>
      <c r="E48" s="243"/>
      <c r="F48" s="244"/>
      <c r="G48" s="243"/>
      <c r="H48" s="252"/>
      <c r="I48" s="246"/>
      <c r="J48" s="247"/>
      <c r="K48" s="247"/>
      <c r="S48" s="101">
        <f t="shared" ref="S48:S49" si="22">IF(F48&lt;=$S$1,$U$5,$U$6)</f>
        <v>2016</v>
      </c>
    </row>
    <row r="49" spans="1:19">
      <c r="A49" s="254"/>
      <c r="B49" s="254"/>
      <c r="C49" s="254"/>
      <c r="D49" s="243"/>
      <c r="E49" s="243"/>
      <c r="F49" s="244"/>
      <c r="G49" s="243"/>
      <c r="H49" s="252"/>
      <c r="I49" s="246"/>
      <c r="J49" s="247"/>
      <c r="K49" s="247"/>
      <c r="S49" s="101">
        <f t="shared" si="22"/>
        <v>2016</v>
      </c>
    </row>
    <row r="50" spans="1:19">
      <c r="A50" s="101"/>
      <c r="B50" s="101"/>
      <c r="C50" s="101"/>
      <c r="D50" s="101"/>
      <c r="G50" s="101"/>
      <c r="H50" s="101"/>
      <c r="J50" s="101"/>
      <c r="K50" s="101"/>
    </row>
    <row r="51" spans="1:19" ht="13.5" thickBot="1">
      <c r="A51" s="95" t="str">
        <f>"Total "&amp;A44</f>
        <v>Total Distribution Plant - Mains - Replacement</v>
      </c>
      <c r="B51" s="267"/>
      <c r="C51" s="267"/>
      <c r="D51" s="267"/>
      <c r="E51" s="267"/>
      <c r="F51" s="164"/>
      <c r="G51" s="130">
        <f>SUM(G46:G50)</f>
        <v>0</v>
      </c>
      <c r="H51" s="181"/>
      <c r="I51" s="121"/>
      <c r="J51" s="130">
        <f>SUM(J46:J50)</f>
        <v>0</v>
      </c>
      <c r="K51" s="130">
        <f>SUM(K46:K50)</f>
        <v>0</v>
      </c>
    </row>
    <row r="52" spans="1:19" ht="13.5" thickTop="1">
      <c r="A52" s="95"/>
      <c r="B52" s="267"/>
      <c r="C52" s="267"/>
      <c r="D52" s="267"/>
      <c r="E52" s="267"/>
      <c r="F52" s="164"/>
      <c r="G52" s="103"/>
      <c r="H52" s="181"/>
      <c r="I52" s="121"/>
      <c r="J52" s="103"/>
      <c r="K52" s="103"/>
    </row>
    <row r="53" spans="1:19" ht="13.5" thickBot="1">
      <c r="A53" s="183" t="s">
        <v>128</v>
      </c>
      <c r="B53" s="267"/>
      <c r="C53" s="267"/>
      <c r="D53" s="267"/>
      <c r="E53" s="267"/>
      <c r="F53" s="164"/>
      <c r="G53" s="130">
        <f>+G14+G29+G42+G51</f>
        <v>-141701.13</v>
      </c>
      <c r="H53" s="181"/>
      <c r="I53" s="121"/>
      <c r="J53" s="130">
        <f>+J14+J29+J42+J51</f>
        <v>-941.2600000000001</v>
      </c>
      <c r="K53" s="130">
        <f>+K14+K29+K42+K51</f>
        <v>-2949.92</v>
      </c>
    </row>
    <row r="54" spans="1:19" ht="13.5" thickTop="1">
      <c r="A54" s="113"/>
      <c r="B54" s="267"/>
      <c r="C54" s="267"/>
      <c r="D54" s="267"/>
      <c r="E54" s="267"/>
      <c r="F54" s="164"/>
      <c r="G54" s="103"/>
      <c r="H54" s="181"/>
      <c r="I54" s="121"/>
      <c r="J54" s="103"/>
      <c r="K54" s="103"/>
    </row>
    <row r="55" spans="1:19">
      <c r="A55" s="183" t="s">
        <v>129</v>
      </c>
      <c r="B55" s="267"/>
      <c r="C55" s="267"/>
      <c r="D55" s="267"/>
      <c r="E55" s="267" t="s">
        <v>150</v>
      </c>
      <c r="F55" s="164"/>
      <c r="G55" s="103"/>
      <c r="H55" s="181"/>
      <c r="I55" s="121"/>
      <c r="J55" s="103"/>
      <c r="K55" s="103"/>
    </row>
    <row r="56" spans="1:19">
      <c r="A56" s="113"/>
      <c r="B56" s="267"/>
      <c r="C56" s="267"/>
      <c r="D56" s="267"/>
      <c r="E56" s="267"/>
      <c r="F56" s="164"/>
      <c r="G56" s="103"/>
      <c r="H56" s="181"/>
      <c r="I56" s="121"/>
      <c r="J56" s="103"/>
      <c r="K56" s="103"/>
    </row>
    <row r="57" spans="1:19">
      <c r="A57" s="88" t="s">
        <v>413</v>
      </c>
    </row>
    <row r="59" spans="1:19">
      <c r="A59" s="81" t="s">
        <v>86</v>
      </c>
      <c r="B59" s="81" t="s">
        <v>87</v>
      </c>
      <c r="C59" s="81" t="s">
        <v>88</v>
      </c>
      <c r="D59" s="81"/>
      <c r="E59" s="81"/>
      <c r="F59" s="146" t="s">
        <v>121</v>
      </c>
      <c r="G59" s="89" t="s">
        <v>121</v>
      </c>
      <c r="H59" s="177"/>
      <c r="I59" s="81" t="s">
        <v>91</v>
      </c>
      <c r="J59" s="90" t="s">
        <v>92</v>
      </c>
      <c r="K59" s="90" t="s">
        <v>93</v>
      </c>
    </row>
    <row r="60" spans="1:19">
      <c r="A60" s="86" t="s">
        <v>94</v>
      </c>
      <c r="B60" s="96" t="s">
        <v>95</v>
      </c>
      <c r="C60" s="96" t="s">
        <v>96</v>
      </c>
      <c r="D60" s="96"/>
      <c r="E60" s="96" t="s">
        <v>97</v>
      </c>
      <c r="F60" s="150" t="s">
        <v>98</v>
      </c>
      <c r="G60" s="98" t="s">
        <v>99</v>
      </c>
      <c r="H60" s="179" t="s">
        <v>100</v>
      </c>
      <c r="I60" s="96" t="s">
        <v>101</v>
      </c>
      <c r="J60" s="98" t="s">
        <v>93</v>
      </c>
      <c r="K60" s="98" t="s">
        <v>102</v>
      </c>
    </row>
    <row r="61" spans="1:19">
      <c r="A61" s="332" t="s">
        <v>405</v>
      </c>
      <c r="B61" s="333" t="s">
        <v>397</v>
      </c>
      <c r="C61" s="333"/>
      <c r="D61" s="333"/>
      <c r="E61" s="332" t="s">
        <v>398</v>
      </c>
      <c r="F61" s="333">
        <v>201611</v>
      </c>
      <c r="G61" s="334">
        <v>-154.37</v>
      </c>
      <c r="H61" s="126">
        <f>VLOOKUP(F61,Additions!$N$5:$O$49,2)</f>
        <v>5.5</v>
      </c>
      <c r="I61" s="332">
        <v>4.3582999999999998E-3</v>
      </c>
      <c r="J61" s="334">
        <f t="shared" ref="J61:J79" si="23">ROUND(G61*H61*I61,2)</f>
        <v>-3.7</v>
      </c>
      <c r="K61" s="334">
        <f t="shared" ref="K61:K79" si="24">ROUND(G61*I61*12,2)</f>
        <v>-8.07</v>
      </c>
      <c r="S61" s="101">
        <f>IF(F61&lt;=$S$1,$U$5,$U$6)</f>
        <v>2017</v>
      </c>
    </row>
    <row r="62" spans="1:19">
      <c r="A62" s="332" t="s">
        <v>405</v>
      </c>
      <c r="B62" s="333" t="s">
        <v>347</v>
      </c>
      <c r="C62" s="333"/>
      <c r="D62" s="333"/>
      <c r="E62" s="332" t="s">
        <v>348</v>
      </c>
      <c r="F62" s="333">
        <v>201611</v>
      </c>
      <c r="G62" s="334">
        <v>-14756.42</v>
      </c>
      <c r="H62" s="126">
        <f>VLOOKUP(F62,Additions!$N$5:$O$49,2)</f>
        <v>5.5</v>
      </c>
      <c r="I62" s="332">
        <v>4.3582999999999998E-3</v>
      </c>
      <c r="J62" s="523">
        <f t="shared" si="23"/>
        <v>-353.72</v>
      </c>
      <c r="K62" s="523">
        <f t="shared" si="24"/>
        <v>-771.75</v>
      </c>
      <c r="L62" s="559"/>
      <c r="M62" s="559"/>
      <c r="N62" s="559"/>
      <c r="O62" s="559"/>
      <c r="P62" s="559"/>
      <c r="Q62" s="559"/>
      <c r="R62" s="559"/>
      <c r="S62" s="559">
        <f t="shared" ref="S62:S85" si="25">IF(F62&lt;=$S$1,$U$5,$U$6)</f>
        <v>2017</v>
      </c>
    </row>
    <row r="63" spans="1:19">
      <c r="A63" s="332" t="s">
        <v>405</v>
      </c>
      <c r="B63" s="333" t="s">
        <v>349</v>
      </c>
      <c r="C63" s="333"/>
      <c r="D63" s="333"/>
      <c r="E63" s="332" t="s">
        <v>350</v>
      </c>
      <c r="F63" s="333">
        <v>201611</v>
      </c>
      <c r="G63" s="334">
        <v>-343.2</v>
      </c>
      <c r="H63" s="126">
        <f>VLOOKUP(F63,Additions!$N$5:$O$49,2)</f>
        <v>5.5</v>
      </c>
      <c r="I63" s="332">
        <v>4.3582999999999998E-3</v>
      </c>
      <c r="J63" s="523">
        <f t="shared" si="23"/>
        <v>-8.23</v>
      </c>
      <c r="K63" s="523">
        <f t="shared" si="24"/>
        <v>-17.95</v>
      </c>
      <c r="L63" s="559"/>
      <c r="M63" s="559"/>
      <c r="N63" s="559"/>
      <c r="O63" s="559"/>
      <c r="P63" s="559"/>
      <c r="Q63" s="559"/>
      <c r="R63" s="559"/>
      <c r="S63" s="559">
        <f t="shared" si="25"/>
        <v>2017</v>
      </c>
    </row>
    <row r="64" spans="1:19">
      <c r="A64" s="332" t="s">
        <v>405</v>
      </c>
      <c r="B64" s="333" t="s">
        <v>357</v>
      </c>
      <c r="C64" s="333"/>
      <c r="D64" s="333"/>
      <c r="E64" s="332" t="s">
        <v>358</v>
      </c>
      <c r="F64" s="333">
        <v>201611</v>
      </c>
      <c r="G64" s="334">
        <v>-34.96</v>
      </c>
      <c r="H64" s="126">
        <f>VLOOKUP(F64,Additions!$N$5:$O$49,2)</f>
        <v>5.5</v>
      </c>
      <c r="I64" s="332">
        <v>4.3582999999999998E-3</v>
      </c>
      <c r="J64" s="523">
        <f t="shared" si="23"/>
        <v>-0.84</v>
      </c>
      <c r="K64" s="523">
        <f t="shared" si="24"/>
        <v>-1.83</v>
      </c>
      <c r="L64" s="559"/>
      <c r="M64" s="559"/>
      <c r="N64" s="559"/>
      <c r="O64" s="559"/>
      <c r="P64" s="559"/>
      <c r="Q64" s="559"/>
      <c r="R64" s="559"/>
      <c r="S64" s="559">
        <f t="shared" si="25"/>
        <v>2017</v>
      </c>
    </row>
    <row r="65" spans="1:19">
      <c r="A65" s="332" t="s">
        <v>405</v>
      </c>
      <c r="B65" s="333" t="s">
        <v>359</v>
      </c>
      <c r="C65" s="333"/>
      <c r="D65" s="333"/>
      <c r="E65" s="332" t="s">
        <v>360</v>
      </c>
      <c r="F65" s="333">
        <v>201611</v>
      </c>
      <c r="G65" s="334">
        <v>-141.01</v>
      </c>
      <c r="H65" s="126">
        <f>VLOOKUP(F65,Additions!$N$5:$O$49,2)</f>
        <v>5.5</v>
      </c>
      <c r="I65" s="332">
        <v>4.3582999999999998E-3</v>
      </c>
      <c r="J65" s="523">
        <f t="shared" si="23"/>
        <v>-3.38</v>
      </c>
      <c r="K65" s="523">
        <f t="shared" si="24"/>
        <v>-7.37</v>
      </c>
      <c r="L65" s="559"/>
      <c r="M65" s="559"/>
      <c r="N65" s="559"/>
      <c r="O65" s="559"/>
      <c r="P65" s="559"/>
      <c r="Q65" s="559"/>
      <c r="R65" s="559"/>
      <c r="S65" s="559">
        <f t="shared" si="25"/>
        <v>2017</v>
      </c>
    </row>
    <row r="66" spans="1:19">
      <c r="A66" s="332" t="s">
        <v>405</v>
      </c>
      <c r="B66" s="333" t="s">
        <v>401</v>
      </c>
      <c r="C66" s="333"/>
      <c r="D66" s="333"/>
      <c r="E66" s="332" t="s">
        <v>402</v>
      </c>
      <c r="F66" s="333">
        <v>201611</v>
      </c>
      <c r="G66" s="334">
        <v>-25627.22</v>
      </c>
      <c r="H66" s="126">
        <f>VLOOKUP(F66,Additions!$N$5:$O$49,2)</f>
        <v>5.5</v>
      </c>
      <c r="I66" s="332">
        <v>4.3582999999999998E-3</v>
      </c>
      <c r="J66" s="523">
        <f t="shared" si="23"/>
        <v>-614.29999999999995</v>
      </c>
      <c r="K66" s="523">
        <f t="shared" si="24"/>
        <v>-1340.29</v>
      </c>
      <c r="L66" s="559"/>
      <c r="M66" s="559"/>
      <c r="N66" s="559"/>
      <c r="O66" s="559"/>
      <c r="P66" s="559"/>
      <c r="Q66" s="559"/>
      <c r="R66" s="559"/>
      <c r="S66" s="559">
        <f t="shared" si="25"/>
        <v>2017</v>
      </c>
    </row>
    <row r="67" spans="1:19">
      <c r="A67" s="332" t="s">
        <v>405</v>
      </c>
      <c r="B67" s="333" t="s">
        <v>377</v>
      </c>
      <c r="C67" s="333"/>
      <c r="D67" s="333"/>
      <c r="E67" s="332" t="s">
        <v>378</v>
      </c>
      <c r="F67" s="333">
        <v>201611</v>
      </c>
      <c r="G67" s="334">
        <v>-225.13</v>
      </c>
      <c r="H67" s="126">
        <f>VLOOKUP(F67,Additions!$N$5:$O$49,2)</f>
        <v>5.5</v>
      </c>
      <c r="I67" s="332">
        <v>4.3582999999999998E-3</v>
      </c>
      <c r="J67" s="523">
        <f t="shared" si="23"/>
        <v>-5.4</v>
      </c>
      <c r="K67" s="523">
        <f t="shared" si="24"/>
        <v>-11.77</v>
      </c>
      <c r="L67" s="559"/>
      <c r="M67" s="559"/>
      <c r="N67" s="559"/>
      <c r="O67" s="559"/>
      <c r="P67" s="559"/>
      <c r="Q67" s="559"/>
      <c r="R67" s="559"/>
      <c r="S67" s="559">
        <f t="shared" si="25"/>
        <v>2017</v>
      </c>
    </row>
    <row r="68" spans="1:19">
      <c r="A68" s="332" t="s">
        <v>405</v>
      </c>
      <c r="B68" s="333" t="s">
        <v>403</v>
      </c>
      <c r="C68" s="333"/>
      <c r="D68" s="333"/>
      <c r="E68" s="332" t="s">
        <v>404</v>
      </c>
      <c r="F68" s="333">
        <v>201611</v>
      </c>
      <c r="G68" s="334">
        <v>-194.83</v>
      </c>
      <c r="H68" s="126">
        <f>VLOOKUP(F68,Additions!$N$5:$O$49,2)</f>
        <v>5.5</v>
      </c>
      <c r="I68" s="332">
        <v>4.3582999999999998E-3</v>
      </c>
      <c r="J68" s="523">
        <f t="shared" si="23"/>
        <v>-4.67</v>
      </c>
      <c r="K68" s="523">
        <f t="shared" si="24"/>
        <v>-10.19</v>
      </c>
      <c r="L68" s="559"/>
      <c r="M68" s="559"/>
      <c r="N68" s="559"/>
      <c r="O68" s="559"/>
      <c r="P68" s="559"/>
      <c r="Q68" s="559"/>
      <c r="R68" s="559"/>
      <c r="S68" s="559">
        <f t="shared" si="25"/>
        <v>2017</v>
      </c>
    </row>
    <row r="69" spans="1:19">
      <c r="A69" s="332" t="s">
        <v>405</v>
      </c>
      <c r="B69" s="333" t="s">
        <v>385</v>
      </c>
      <c r="C69" s="333"/>
      <c r="D69" s="333"/>
      <c r="E69" s="332" t="s">
        <v>386</v>
      </c>
      <c r="F69" s="333">
        <v>201611</v>
      </c>
      <c r="G69" s="334">
        <v>-11190.4</v>
      </c>
      <c r="H69" s="126">
        <f>VLOOKUP(F69,Additions!$N$5:$O$49,2)</f>
        <v>5.5</v>
      </c>
      <c r="I69" s="332">
        <v>4.3582999999999998E-3</v>
      </c>
      <c r="J69" s="523">
        <f t="shared" si="23"/>
        <v>-268.24</v>
      </c>
      <c r="K69" s="523">
        <f t="shared" si="24"/>
        <v>-585.25</v>
      </c>
      <c r="L69" s="559"/>
      <c r="M69" s="559"/>
      <c r="N69" s="559"/>
      <c r="O69" s="559"/>
      <c r="P69" s="559"/>
      <c r="Q69" s="559"/>
      <c r="R69" s="559"/>
      <c r="S69" s="559">
        <f t="shared" si="25"/>
        <v>2017</v>
      </c>
    </row>
    <row r="70" spans="1:19">
      <c r="A70" s="332" t="s">
        <v>405</v>
      </c>
      <c r="B70" s="333" t="s">
        <v>387</v>
      </c>
      <c r="C70" s="333"/>
      <c r="D70" s="333"/>
      <c r="E70" s="332" t="s">
        <v>388</v>
      </c>
      <c r="F70" s="333">
        <v>201611</v>
      </c>
      <c r="G70" s="334">
        <v>-68.75</v>
      </c>
      <c r="H70" s="126">
        <f>VLOOKUP(F70,Additions!$N$5:$O$49,2)</f>
        <v>5.5</v>
      </c>
      <c r="I70" s="332">
        <v>4.3582999999999998E-3</v>
      </c>
      <c r="J70" s="523">
        <f t="shared" si="23"/>
        <v>-1.65</v>
      </c>
      <c r="K70" s="523">
        <f t="shared" si="24"/>
        <v>-3.6</v>
      </c>
      <c r="L70" s="559"/>
      <c r="M70" s="559"/>
      <c r="N70" s="559"/>
      <c r="O70" s="559"/>
      <c r="P70" s="559"/>
      <c r="Q70" s="559"/>
      <c r="R70" s="559"/>
      <c r="S70" s="559">
        <f t="shared" si="25"/>
        <v>2017</v>
      </c>
    </row>
    <row r="71" spans="1:19">
      <c r="A71" s="332" t="s">
        <v>405</v>
      </c>
      <c r="B71" s="333" t="s">
        <v>389</v>
      </c>
      <c r="C71" s="333"/>
      <c r="D71" s="333"/>
      <c r="E71" s="332" t="s">
        <v>390</v>
      </c>
      <c r="F71" s="333">
        <v>201611</v>
      </c>
      <c r="G71" s="334">
        <v>-421.66</v>
      </c>
      <c r="H71" s="126">
        <f>VLOOKUP(F71,Additions!$N$5:$O$49,2)</f>
        <v>5.5</v>
      </c>
      <c r="I71" s="332">
        <v>4.3582999999999998E-3</v>
      </c>
      <c r="J71" s="523">
        <f t="shared" si="23"/>
        <v>-10.11</v>
      </c>
      <c r="K71" s="523">
        <f t="shared" si="24"/>
        <v>-22.05</v>
      </c>
      <c r="L71" s="559"/>
      <c r="M71" s="559"/>
      <c r="N71" s="559"/>
      <c r="O71" s="559"/>
      <c r="P71" s="559"/>
      <c r="Q71" s="559"/>
      <c r="R71" s="559"/>
      <c r="S71" s="559">
        <f t="shared" si="25"/>
        <v>2017</v>
      </c>
    </row>
    <row r="72" spans="1:19">
      <c r="A72" s="332" t="s">
        <v>405</v>
      </c>
      <c r="B72" s="333" t="s">
        <v>397</v>
      </c>
      <c r="C72" s="333"/>
      <c r="D72" s="333"/>
      <c r="E72" s="332" t="s">
        <v>398</v>
      </c>
      <c r="F72" s="333">
        <v>201612</v>
      </c>
      <c r="G72" s="334">
        <v>-362.83</v>
      </c>
      <c r="H72" s="126">
        <f>VLOOKUP(F72,Additions!$N$5:$O$49,2)</f>
        <v>4.5</v>
      </c>
      <c r="I72" s="332">
        <v>4.3582999999999998E-3</v>
      </c>
      <c r="J72" s="523">
        <f t="shared" si="23"/>
        <v>-7.12</v>
      </c>
      <c r="K72" s="523">
        <f t="shared" si="24"/>
        <v>-18.98</v>
      </c>
      <c r="L72" s="559"/>
      <c r="M72" s="559"/>
      <c r="N72" s="559"/>
      <c r="O72" s="559"/>
      <c r="P72" s="559"/>
      <c r="Q72" s="559"/>
      <c r="R72" s="559"/>
      <c r="S72" s="559">
        <f t="shared" si="25"/>
        <v>2017</v>
      </c>
    </row>
    <row r="73" spans="1:19">
      <c r="A73" s="332" t="s">
        <v>405</v>
      </c>
      <c r="B73" s="333" t="s">
        <v>347</v>
      </c>
      <c r="C73" s="333"/>
      <c r="D73" s="333"/>
      <c r="E73" s="332" t="s">
        <v>348</v>
      </c>
      <c r="F73" s="333">
        <v>201612</v>
      </c>
      <c r="G73" s="334">
        <v>-12420.07</v>
      </c>
      <c r="H73" s="126">
        <f>VLOOKUP(F73,Additions!$N$5:$O$49,2)</f>
        <v>4.5</v>
      </c>
      <c r="I73" s="332">
        <v>4.3582999999999998E-3</v>
      </c>
      <c r="J73" s="523">
        <f t="shared" si="23"/>
        <v>-243.59</v>
      </c>
      <c r="K73" s="523">
        <f t="shared" si="24"/>
        <v>-649.55999999999995</v>
      </c>
      <c r="L73" s="559"/>
      <c r="M73" s="559"/>
      <c r="N73" s="559"/>
      <c r="O73" s="559"/>
      <c r="P73" s="559"/>
      <c r="Q73" s="559"/>
      <c r="R73" s="559"/>
      <c r="S73" s="559">
        <f t="shared" si="25"/>
        <v>2017</v>
      </c>
    </row>
    <row r="74" spans="1:19">
      <c r="A74" s="332" t="s">
        <v>405</v>
      </c>
      <c r="B74" s="333" t="s">
        <v>351</v>
      </c>
      <c r="C74" s="333"/>
      <c r="D74" s="333"/>
      <c r="E74" s="332" t="s">
        <v>352</v>
      </c>
      <c r="F74" s="333">
        <v>201612</v>
      </c>
      <c r="G74" s="334">
        <v>-613.04999999999995</v>
      </c>
      <c r="H74" s="126">
        <f>VLOOKUP(F74,Additions!$N$5:$O$49,2)</f>
        <v>4.5</v>
      </c>
      <c r="I74" s="332">
        <v>4.3582999999999998E-3</v>
      </c>
      <c r="J74" s="523">
        <f t="shared" si="23"/>
        <v>-12.02</v>
      </c>
      <c r="K74" s="523">
        <f t="shared" si="24"/>
        <v>-32.06</v>
      </c>
      <c r="L74" s="559"/>
      <c r="M74" s="559"/>
      <c r="N74" s="559"/>
      <c r="O74" s="559"/>
      <c r="P74" s="559"/>
      <c r="Q74" s="559"/>
      <c r="R74" s="559"/>
      <c r="S74" s="559">
        <f t="shared" si="25"/>
        <v>2017</v>
      </c>
    </row>
    <row r="75" spans="1:19">
      <c r="A75" s="332" t="s">
        <v>405</v>
      </c>
      <c r="B75" s="333" t="s">
        <v>401</v>
      </c>
      <c r="C75" s="333"/>
      <c r="D75" s="333"/>
      <c r="E75" s="332" t="s">
        <v>402</v>
      </c>
      <c r="F75" s="333">
        <v>201612</v>
      </c>
      <c r="G75" s="334">
        <v>-4035.58</v>
      </c>
      <c r="H75" s="126">
        <f>VLOOKUP(F75,Additions!$N$5:$O$49,2)</f>
        <v>4.5</v>
      </c>
      <c r="I75" s="332">
        <v>4.3582999999999998E-3</v>
      </c>
      <c r="J75" s="523">
        <f t="shared" si="23"/>
        <v>-79.150000000000006</v>
      </c>
      <c r="K75" s="523">
        <f t="shared" si="24"/>
        <v>-211.06</v>
      </c>
      <c r="L75" s="559"/>
      <c r="M75" s="559"/>
      <c r="N75" s="559"/>
      <c r="O75" s="559"/>
      <c r="P75" s="559"/>
      <c r="Q75" s="559"/>
      <c r="R75" s="559"/>
      <c r="S75" s="559">
        <f t="shared" si="25"/>
        <v>2017</v>
      </c>
    </row>
    <row r="76" spans="1:19">
      <c r="A76" s="332" t="s">
        <v>405</v>
      </c>
      <c r="B76" s="333" t="s">
        <v>385</v>
      </c>
      <c r="C76" s="333"/>
      <c r="D76" s="333"/>
      <c r="E76" s="332" t="s">
        <v>386</v>
      </c>
      <c r="F76" s="333">
        <v>201612</v>
      </c>
      <c r="G76" s="334">
        <v>-3365.83</v>
      </c>
      <c r="H76" s="126">
        <f>VLOOKUP(F76,Additions!$N$5:$O$49,2)</f>
        <v>4.5</v>
      </c>
      <c r="I76" s="332">
        <v>4.3582999999999998E-3</v>
      </c>
      <c r="J76" s="523">
        <f t="shared" si="23"/>
        <v>-66.010000000000005</v>
      </c>
      <c r="K76" s="523">
        <f t="shared" si="24"/>
        <v>-176.03</v>
      </c>
      <c r="L76" s="559"/>
      <c r="M76" s="559"/>
      <c r="N76" s="559"/>
      <c r="O76" s="559"/>
      <c r="P76" s="559"/>
      <c r="Q76" s="559"/>
      <c r="R76" s="559"/>
      <c r="S76" s="559">
        <f t="shared" si="25"/>
        <v>2017</v>
      </c>
    </row>
    <row r="77" spans="1:19">
      <c r="A77" s="332" t="s">
        <v>405</v>
      </c>
      <c r="B77" s="333" t="s">
        <v>973</v>
      </c>
      <c r="C77" s="333"/>
      <c r="D77" s="333"/>
      <c r="E77" s="332" t="s">
        <v>974</v>
      </c>
      <c r="F77" s="333">
        <v>201612</v>
      </c>
      <c r="G77" s="334">
        <v>-2992.99</v>
      </c>
      <c r="H77" s="126">
        <f>VLOOKUP(F77,Additions!$N$5:$O$49,2)</f>
        <v>4.5</v>
      </c>
      <c r="I77" s="332">
        <v>4.3582999999999998E-3</v>
      </c>
      <c r="J77" s="523">
        <f t="shared" si="23"/>
        <v>-58.7</v>
      </c>
      <c r="K77" s="523">
        <f t="shared" si="24"/>
        <v>-156.53</v>
      </c>
      <c r="L77" s="559"/>
      <c r="M77" s="559"/>
      <c r="N77" s="559"/>
      <c r="O77" s="559"/>
      <c r="P77" s="559"/>
      <c r="Q77" s="559"/>
      <c r="R77" s="559"/>
      <c r="S77" s="559">
        <f t="shared" si="25"/>
        <v>2017</v>
      </c>
    </row>
    <row r="78" spans="1:19">
      <c r="A78" s="332" t="s">
        <v>405</v>
      </c>
      <c r="B78" s="333" t="s">
        <v>979</v>
      </c>
      <c r="C78" s="333"/>
      <c r="D78" s="333"/>
      <c r="E78" s="332" t="s">
        <v>980</v>
      </c>
      <c r="F78" s="333">
        <v>201612</v>
      </c>
      <c r="G78" s="334">
        <v>-564.22</v>
      </c>
      <c r="H78" s="126">
        <f>VLOOKUP(F78,Additions!$N$5:$O$49,2)</f>
        <v>4.5</v>
      </c>
      <c r="I78" s="332">
        <v>4.3582999999999998E-3</v>
      </c>
      <c r="J78" s="523">
        <f t="shared" si="23"/>
        <v>-11.07</v>
      </c>
      <c r="K78" s="523">
        <f t="shared" si="24"/>
        <v>-29.51</v>
      </c>
      <c r="L78" s="559"/>
      <c r="M78" s="559"/>
      <c r="N78" s="559"/>
      <c r="O78" s="559"/>
      <c r="P78" s="559"/>
      <c r="Q78" s="559"/>
      <c r="R78" s="559"/>
      <c r="S78" s="559">
        <f t="shared" si="25"/>
        <v>2017</v>
      </c>
    </row>
    <row r="79" spans="1:19">
      <c r="A79" s="332" t="s">
        <v>405</v>
      </c>
      <c r="B79" s="333" t="s">
        <v>985</v>
      </c>
      <c r="C79" s="333"/>
      <c r="D79" s="333"/>
      <c r="E79" s="332" t="s">
        <v>986</v>
      </c>
      <c r="F79" s="333">
        <v>201612</v>
      </c>
      <c r="G79" s="334">
        <v>-1355.61</v>
      </c>
      <c r="H79" s="126">
        <f>VLOOKUP(F79,Additions!$N$5:$O$49,2)</f>
        <v>4.5</v>
      </c>
      <c r="I79" s="332">
        <v>4.3582999999999998E-3</v>
      </c>
      <c r="J79" s="523">
        <f t="shared" si="23"/>
        <v>-26.59</v>
      </c>
      <c r="K79" s="523">
        <f t="shared" si="24"/>
        <v>-70.900000000000006</v>
      </c>
      <c r="L79" s="559"/>
      <c r="M79" s="559"/>
      <c r="N79" s="559"/>
      <c r="O79" s="559"/>
      <c r="P79" s="559"/>
      <c r="Q79" s="559"/>
      <c r="R79" s="559"/>
      <c r="S79" s="559">
        <f t="shared" si="25"/>
        <v>2017</v>
      </c>
    </row>
    <row r="80" spans="1:19" s="559" customFormat="1">
      <c r="A80" s="860" t="s">
        <v>405</v>
      </c>
      <c r="B80" s="861" t="s">
        <v>347</v>
      </c>
      <c r="C80" s="861"/>
      <c r="D80" s="861"/>
      <c r="E80" s="860" t="s">
        <v>348</v>
      </c>
      <c r="F80" s="861">
        <v>201701</v>
      </c>
      <c r="G80" s="862">
        <v>-9024.14</v>
      </c>
      <c r="H80" s="590">
        <f>VLOOKUP(F80,Additions!$N$5:$O$49,2)</f>
        <v>3.5</v>
      </c>
      <c r="I80" s="860">
        <v>4.3582999999999998E-3</v>
      </c>
      <c r="J80" s="862">
        <f t="shared" ref="J80:J85" si="26">ROUND(G80*H80*I80,2)</f>
        <v>-137.65</v>
      </c>
      <c r="K80" s="862">
        <f t="shared" ref="K80:K85" si="27">ROUND(G80*I80*12,2)</f>
        <v>-471.96</v>
      </c>
      <c r="S80" s="559">
        <f t="shared" si="25"/>
        <v>2017</v>
      </c>
    </row>
    <row r="81" spans="1:19" s="559" customFormat="1">
      <c r="A81" s="860" t="s">
        <v>405</v>
      </c>
      <c r="B81" s="861" t="s">
        <v>355</v>
      </c>
      <c r="C81" s="861"/>
      <c r="D81" s="861"/>
      <c r="E81" s="860" t="s">
        <v>356</v>
      </c>
      <c r="F81" s="861">
        <v>201701</v>
      </c>
      <c r="G81" s="862">
        <v>-79.14</v>
      </c>
      <c r="H81" s="590">
        <f>VLOOKUP(F81,Additions!$N$5:$O$49,2)</f>
        <v>3.5</v>
      </c>
      <c r="I81" s="860">
        <v>4.3582999999999998E-3</v>
      </c>
      <c r="J81" s="862">
        <f t="shared" si="26"/>
        <v>-1.21</v>
      </c>
      <c r="K81" s="862">
        <f t="shared" si="27"/>
        <v>-4.1399999999999997</v>
      </c>
      <c r="S81" s="559">
        <f t="shared" si="25"/>
        <v>2017</v>
      </c>
    </row>
    <row r="82" spans="1:19" s="559" customFormat="1">
      <c r="A82" s="860" t="s">
        <v>405</v>
      </c>
      <c r="B82" s="861" t="s">
        <v>403</v>
      </c>
      <c r="C82" s="861"/>
      <c r="D82" s="861"/>
      <c r="E82" s="860" t="s">
        <v>404</v>
      </c>
      <c r="F82" s="861">
        <v>201701</v>
      </c>
      <c r="G82" s="862">
        <v>-94.89</v>
      </c>
      <c r="H82" s="590">
        <f>VLOOKUP(F82,Additions!$N$5:$O$49,2)</f>
        <v>3.5</v>
      </c>
      <c r="I82" s="860">
        <v>4.3582999999999998E-3</v>
      </c>
      <c r="J82" s="862">
        <f t="shared" si="26"/>
        <v>-1.45</v>
      </c>
      <c r="K82" s="862">
        <f t="shared" si="27"/>
        <v>-4.96</v>
      </c>
      <c r="S82" s="559">
        <f t="shared" si="25"/>
        <v>2017</v>
      </c>
    </row>
    <row r="83" spans="1:19" s="559" customFormat="1">
      <c r="A83" s="860" t="s">
        <v>405</v>
      </c>
      <c r="B83" s="861" t="s">
        <v>385</v>
      </c>
      <c r="C83" s="861"/>
      <c r="D83" s="861"/>
      <c r="E83" s="860" t="s">
        <v>386</v>
      </c>
      <c r="F83" s="861">
        <v>201701</v>
      </c>
      <c r="G83" s="862">
        <v>-1956.71</v>
      </c>
      <c r="H83" s="590">
        <f>VLOOKUP(F83,Additions!$N$5:$O$49,2)</f>
        <v>3.5</v>
      </c>
      <c r="I83" s="860">
        <v>4.3582999999999998E-3</v>
      </c>
      <c r="J83" s="862">
        <f t="shared" si="26"/>
        <v>-29.85</v>
      </c>
      <c r="K83" s="862">
        <f t="shared" si="27"/>
        <v>-102.34</v>
      </c>
      <c r="S83" s="559">
        <f t="shared" si="25"/>
        <v>2017</v>
      </c>
    </row>
    <row r="84" spans="1:19" s="559" customFormat="1">
      <c r="A84" s="860" t="s">
        <v>405</v>
      </c>
      <c r="B84" s="861" t="s">
        <v>949</v>
      </c>
      <c r="C84" s="861"/>
      <c r="D84" s="861"/>
      <c r="E84" s="860" t="s">
        <v>950</v>
      </c>
      <c r="F84" s="861">
        <v>201701</v>
      </c>
      <c r="G84" s="862">
        <v>-2000.37</v>
      </c>
      <c r="H84" s="590">
        <f>VLOOKUP(F84,Additions!$N$5:$O$49,2)</f>
        <v>3.5</v>
      </c>
      <c r="I84" s="860">
        <v>4.3582999999999998E-3</v>
      </c>
      <c r="J84" s="862">
        <f t="shared" si="26"/>
        <v>-30.51</v>
      </c>
      <c r="K84" s="862">
        <f t="shared" si="27"/>
        <v>-104.62</v>
      </c>
      <c r="S84" s="559">
        <f t="shared" si="25"/>
        <v>2017</v>
      </c>
    </row>
    <row r="85" spans="1:19" s="559" customFormat="1">
      <c r="A85" s="860" t="s">
        <v>405</v>
      </c>
      <c r="B85" s="861" t="s">
        <v>961</v>
      </c>
      <c r="C85" s="861"/>
      <c r="D85" s="861"/>
      <c r="E85" s="860" t="s">
        <v>962</v>
      </c>
      <c r="F85" s="861">
        <v>201701</v>
      </c>
      <c r="G85" s="862">
        <v>-24137.759999999998</v>
      </c>
      <c r="H85" s="590">
        <f>VLOOKUP(F85,Additions!$N$5:$O$49,2)</f>
        <v>3.5</v>
      </c>
      <c r="I85" s="860">
        <v>4.3582999999999998E-3</v>
      </c>
      <c r="J85" s="862">
        <f t="shared" si="26"/>
        <v>-368.2</v>
      </c>
      <c r="K85" s="862">
        <f t="shared" si="27"/>
        <v>-1262.4000000000001</v>
      </c>
      <c r="S85" s="559">
        <f t="shared" si="25"/>
        <v>2017</v>
      </c>
    </row>
    <row r="86" spans="1:19" s="559" customFormat="1">
      <c r="A86" s="521"/>
      <c r="B86" s="522"/>
      <c r="C86" s="521"/>
      <c r="D86" s="521"/>
      <c r="E86" s="521"/>
      <c r="F86" s="522"/>
      <c r="G86" s="523"/>
      <c r="H86" s="590"/>
      <c r="I86" s="521"/>
      <c r="J86" s="523"/>
      <c r="K86" s="523"/>
      <c r="S86" s="559">
        <f t="shared" ref="S86" si="28">IF(F86&lt;=$S$1,$U$5,$U$6)</f>
        <v>2016</v>
      </c>
    </row>
    <row r="87" spans="1:19">
      <c r="A87" s="332"/>
      <c r="B87" s="333"/>
      <c r="C87" s="333"/>
      <c r="D87" s="333"/>
      <c r="E87" s="332"/>
      <c r="F87" s="333"/>
      <c r="G87" s="334"/>
      <c r="H87" s="590"/>
      <c r="I87" s="400"/>
      <c r="J87" s="334"/>
      <c r="K87" s="334"/>
      <c r="S87" s="559"/>
    </row>
    <row r="88" spans="1:19">
      <c r="A88" s="267"/>
      <c r="B88" s="267"/>
      <c r="C88" s="267"/>
      <c r="D88" s="267"/>
      <c r="E88" s="267"/>
      <c r="F88" s="164"/>
      <c r="G88" s="103"/>
      <c r="H88" s="181"/>
      <c r="I88" s="121"/>
      <c r="J88" s="103"/>
      <c r="K88" s="103"/>
    </row>
    <row r="89" spans="1:19" ht="13.5" thickBot="1">
      <c r="A89" s="267"/>
      <c r="B89" s="267"/>
      <c r="C89" s="267"/>
      <c r="D89" s="267"/>
      <c r="E89" s="267"/>
      <c r="F89" s="185" t="s">
        <v>107</v>
      </c>
      <c r="G89" s="130">
        <f>SUM(G61:G88)</f>
        <v>-116161.14000000001</v>
      </c>
      <c r="H89" s="181"/>
      <c r="I89" s="121"/>
      <c r="J89" s="130">
        <f>SUM(J61:J88)</f>
        <v>-2347.3599999999997</v>
      </c>
      <c r="K89" s="130">
        <f>SUM(K61:K88)</f>
        <v>-6075.1700000000019</v>
      </c>
    </row>
    <row r="90" spans="1:19" ht="13.5" thickTop="1"/>
    <row r="91" spans="1:19">
      <c r="A91" s="88" t="s">
        <v>345</v>
      </c>
      <c r="J91" s="101"/>
      <c r="K91" s="101"/>
    </row>
    <row r="92" spans="1:19">
      <c r="J92" s="101"/>
      <c r="K92" s="101"/>
    </row>
    <row r="93" spans="1:19">
      <c r="A93" s="81" t="s">
        <v>86</v>
      </c>
      <c r="B93" s="81" t="s">
        <v>87</v>
      </c>
      <c r="C93" s="81" t="s">
        <v>88</v>
      </c>
      <c r="D93" s="81"/>
      <c r="E93" s="81"/>
      <c r="F93" s="146" t="s">
        <v>121</v>
      </c>
      <c r="G93" s="89" t="s">
        <v>121</v>
      </c>
      <c r="H93" s="177"/>
      <c r="I93" s="81" t="s">
        <v>91</v>
      </c>
      <c r="J93" s="81" t="s">
        <v>92</v>
      </c>
      <c r="K93" s="81" t="s">
        <v>106</v>
      </c>
      <c r="N93" s="81" t="s">
        <v>91</v>
      </c>
    </row>
    <row r="94" spans="1:19">
      <c r="A94" s="86" t="s">
        <v>94</v>
      </c>
      <c r="B94" s="86" t="s">
        <v>95</v>
      </c>
      <c r="C94" s="86" t="s">
        <v>96</v>
      </c>
      <c r="D94" s="86"/>
      <c r="E94" s="86" t="s">
        <v>97</v>
      </c>
      <c r="F94" s="148" t="s">
        <v>98</v>
      </c>
      <c r="G94" s="92" t="s">
        <v>99</v>
      </c>
      <c r="H94" s="182" t="s">
        <v>100</v>
      </c>
      <c r="I94" s="417" t="s">
        <v>101</v>
      </c>
      <c r="J94" s="86" t="s">
        <v>93</v>
      </c>
      <c r="K94" s="86" t="s">
        <v>102</v>
      </c>
      <c r="N94" s="86" t="s">
        <v>101</v>
      </c>
    </row>
    <row r="95" spans="1:19">
      <c r="A95" s="332" t="s">
        <v>346</v>
      </c>
      <c r="B95" s="333" t="s">
        <v>397</v>
      </c>
      <c r="C95" s="333"/>
      <c r="D95" s="333"/>
      <c r="E95" s="332" t="s">
        <v>398</v>
      </c>
      <c r="F95" s="333">
        <v>201611</v>
      </c>
      <c r="G95" s="334">
        <v>-1970.14</v>
      </c>
      <c r="H95" s="126">
        <f>VLOOKUP(F95,Additions!$N$5:$O$49,2)</f>
        <v>5.5</v>
      </c>
      <c r="I95" s="400">
        <v>3.1250000000000002E-3</v>
      </c>
      <c r="J95" s="334">
        <f t="shared" ref="J95:J117" si="29">ROUND(G95*H95*I95,2)</f>
        <v>-33.86</v>
      </c>
      <c r="K95" s="334">
        <f t="shared" ref="K95:K119" si="30">ROUND(G95*I95*12,2)</f>
        <v>-73.88</v>
      </c>
      <c r="M95" s="101">
        <f>+I95*12</f>
        <v>3.7500000000000006E-2</v>
      </c>
      <c r="N95" s="404">
        <v>4.3582999999999998E-3</v>
      </c>
      <c r="S95" s="101">
        <f t="shared" ref="S95:S129" si="31">IF(F95&lt;=$S$1,$U$5,$U$6)</f>
        <v>2017</v>
      </c>
    </row>
    <row r="96" spans="1:19">
      <c r="A96" s="332" t="s">
        <v>346</v>
      </c>
      <c r="B96" s="333" t="s">
        <v>347</v>
      </c>
      <c r="C96" s="333"/>
      <c r="D96" s="333"/>
      <c r="E96" s="332" t="s">
        <v>348</v>
      </c>
      <c r="F96" s="333">
        <v>201611</v>
      </c>
      <c r="G96" s="334">
        <v>-76837.45</v>
      </c>
      <c r="H96" s="126">
        <f>VLOOKUP(F96,Additions!$N$5:$O$49,2)</f>
        <v>5.5</v>
      </c>
      <c r="I96" s="400">
        <v>3.1250000000000002E-3</v>
      </c>
      <c r="J96" s="334">
        <f t="shared" si="29"/>
        <v>-1320.64</v>
      </c>
      <c r="K96" s="334">
        <f t="shared" si="30"/>
        <v>-2881.4</v>
      </c>
      <c r="M96" s="101">
        <f t="shared" ref="M96:M129" si="32">+I96*12</f>
        <v>3.7500000000000006E-2</v>
      </c>
      <c r="N96" s="404">
        <v>4.3582999999999998E-3</v>
      </c>
      <c r="S96" s="101">
        <f t="shared" si="31"/>
        <v>2017</v>
      </c>
    </row>
    <row r="97" spans="1:19">
      <c r="A97" s="332" t="s">
        <v>346</v>
      </c>
      <c r="B97" s="333" t="s">
        <v>355</v>
      </c>
      <c r="C97" s="333"/>
      <c r="D97" s="333"/>
      <c r="E97" s="332" t="s">
        <v>356</v>
      </c>
      <c r="F97" s="333">
        <v>201611</v>
      </c>
      <c r="G97" s="334">
        <v>-45.14</v>
      </c>
      <c r="H97" s="126">
        <f>VLOOKUP(F97,Additions!$N$5:$O$49,2)</f>
        <v>5.5</v>
      </c>
      <c r="I97" s="400">
        <v>3.1250000000000002E-3</v>
      </c>
      <c r="J97" s="334">
        <f t="shared" si="29"/>
        <v>-0.78</v>
      </c>
      <c r="K97" s="334">
        <f t="shared" si="30"/>
        <v>-1.69</v>
      </c>
      <c r="M97" s="101">
        <f t="shared" si="32"/>
        <v>3.7500000000000006E-2</v>
      </c>
      <c r="N97" s="404">
        <v>4.3582999999999998E-3</v>
      </c>
      <c r="S97" s="101">
        <f t="shared" si="31"/>
        <v>2017</v>
      </c>
    </row>
    <row r="98" spans="1:19">
      <c r="A98" s="332" t="s">
        <v>346</v>
      </c>
      <c r="B98" s="333" t="s">
        <v>357</v>
      </c>
      <c r="C98" s="333"/>
      <c r="D98" s="333"/>
      <c r="E98" s="332" t="s">
        <v>358</v>
      </c>
      <c r="F98" s="333">
        <v>201611</v>
      </c>
      <c r="G98" s="334">
        <v>-2615.0300000000002</v>
      </c>
      <c r="H98" s="126">
        <f>VLOOKUP(F98,Additions!$N$5:$O$49,2)</f>
        <v>5.5</v>
      </c>
      <c r="I98" s="400">
        <v>3.1250000000000002E-3</v>
      </c>
      <c r="J98" s="334">
        <f t="shared" si="29"/>
        <v>-44.95</v>
      </c>
      <c r="K98" s="334">
        <f t="shared" si="30"/>
        <v>-98.06</v>
      </c>
      <c r="M98" s="101">
        <f t="shared" si="32"/>
        <v>3.7500000000000006E-2</v>
      </c>
      <c r="N98" s="404">
        <v>4.3582999999999998E-3</v>
      </c>
      <c r="S98" s="101">
        <f t="shared" si="31"/>
        <v>2017</v>
      </c>
    </row>
    <row r="99" spans="1:19">
      <c r="A99" s="332" t="s">
        <v>346</v>
      </c>
      <c r="B99" s="333" t="s">
        <v>367</v>
      </c>
      <c r="C99" s="333"/>
      <c r="D99" s="333"/>
      <c r="E99" s="332" t="s">
        <v>368</v>
      </c>
      <c r="F99" s="333">
        <v>201611</v>
      </c>
      <c r="G99" s="334">
        <v>-1107.8399999999999</v>
      </c>
      <c r="H99" s="126">
        <f>VLOOKUP(F99,Additions!$N$5:$O$49,2)</f>
        <v>5.5</v>
      </c>
      <c r="I99" s="400">
        <v>3.1250000000000002E-3</v>
      </c>
      <c r="J99" s="334">
        <f t="shared" si="29"/>
        <v>-19.04</v>
      </c>
      <c r="K99" s="334">
        <f t="shared" si="30"/>
        <v>-41.54</v>
      </c>
      <c r="M99" s="101">
        <f t="shared" si="32"/>
        <v>3.7500000000000006E-2</v>
      </c>
      <c r="N99" s="404">
        <v>4.3582999999999998E-3</v>
      </c>
      <c r="S99" s="101">
        <f t="shared" si="31"/>
        <v>2017</v>
      </c>
    </row>
    <row r="100" spans="1:19">
      <c r="A100" s="332" t="s">
        <v>346</v>
      </c>
      <c r="B100" s="333" t="s">
        <v>401</v>
      </c>
      <c r="C100" s="333"/>
      <c r="D100" s="333"/>
      <c r="E100" s="332" t="s">
        <v>402</v>
      </c>
      <c r="F100" s="333">
        <v>201611</v>
      </c>
      <c r="G100" s="334">
        <v>-60.95</v>
      </c>
      <c r="H100" s="126">
        <f>VLOOKUP(F100,Additions!$N$5:$O$49,2)</f>
        <v>5.5</v>
      </c>
      <c r="I100" s="400">
        <v>3.1250000000000002E-3</v>
      </c>
      <c r="J100" s="334">
        <f t="shared" si="29"/>
        <v>-1.05</v>
      </c>
      <c r="K100" s="334">
        <f t="shared" si="30"/>
        <v>-2.29</v>
      </c>
      <c r="M100" s="101">
        <f t="shared" si="32"/>
        <v>3.7500000000000006E-2</v>
      </c>
      <c r="N100" s="404">
        <v>4.3582999999999998E-3</v>
      </c>
      <c r="S100" s="101">
        <f t="shared" si="31"/>
        <v>2017</v>
      </c>
    </row>
    <row r="101" spans="1:19">
      <c r="A101" s="332" t="s">
        <v>346</v>
      </c>
      <c r="B101" s="333" t="s">
        <v>377</v>
      </c>
      <c r="C101" s="333"/>
      <c r="D101" s="333"/>
      <c r="E101" s="332" t="s">
        <v>378</v>
      </c>
      <c r="F101" s="333">
        <v>201611</v>
      </c>
      <c r="G101" s="334">
        <v>-4639.63</v>
      </c>
      <c r="H101" s="126">
        <f>VLOOKUP(F101,Additions!$N$5:$O$49,2)</f>
        <v>5.5</v>
      </c>
      <c r="I101" s="400">
        <v>3.1250000000000002E-3</v>
      </c>
      <c r="J101" s="334">
        <f t="shared" si="29"/>
        <v>-79.739999999999995</v>
      </c>
      <c r="K101" s="334">
        <f t="shared" si="30"/>
        <v>-173.99</v>
      </c>
      <c r="M101" s="101">
        <f t="shared" si="32"/>
        <v>3.7500000000000006E-2</v>
      </c>
      <c r="N101" s="404">
        <v>4.3582999999999998E-3</v>
      </c>
      <c r="S101" s="101">
        <f t="shared" si="31"/>
        <v>2017</v>
      </c>
    </row>
    <row r="102" spans="1:19">
      <c r="A102" s="332" t="s">
        <v>346</v>
      </c>
      <c r="B102" s="333" t="s">
        <v>381</v>
      </c>
      <c r="C102" s="333"/>
      <c r="D102" s="333"/>
      <c r="E102" s="332" t="s">
        <v>382</v>
      </c>
      <c r="F102" s="333">
        <v>201611</v>
      </c>
      <c r="G102" s="334">
        <v>-862.35</v>
      </c>
      <c r="H102" s="126">
        <f>VLOOKUP(F102,Additions!$N$5:$O$49,2)</f>
        <v>5.5</v>
      </c>
      <c r="I102" s="400">
        <v>3.1250000000000002E-3</v>
      </c>
      <c r="J102" s="334">
        <f t="shared" si="29"/>
        <v>-14.82</v>
      </c>
      <c r="K102" s="334">
        <f t="shared" si="30"/>
        <v>-32.340000000000003</v>
      </c>
      <c r="M102" s="101">
        <f t="shared" si="32"/>
        <v>3.7500000000000006E-2</v>
      </c>
      <c r="N102" s="404">
        <v>4.3582999999999998E-3</v>
      </c>
      <c r="S102" s="101">
        <f t="shared" si="31"/>
        <v>2017</v>
      </c>
    </row>
    <row r="103" spans="1:19">
      <c r="A103" s="332" t="s">
        <v>346</v>
      </c>
      <c r="B103" s="333" t="s">
        <v>385</v>
      </c>
      <c r="C103" s="333"/>
      <c r="D103" s="333"/>
      <c r="E103" s="332" t="s">
        <v>386</v>
      </c>
      <c r="F103" s="333">
        <v>201611</v>
      </c>
      <c r="G103" s="334">
        <v>-19535.07</v>
      </c>
      <c r="H103" s="126">
        <f>VLOOKUP(F103,Additions!$N$5:$O$49,2)</f>
        <v>5.5</v>
      </c>
      <c r="I103" s="400">
        <v>3.1250000000000002E-3</v>
      </c>
      <c r="J103" s="334">
        <f t="shared" si="29"/>
        <v>-335.76</v>
      </c>
      <c r="K103" s="334">
        <f t="shared" si="30"/>
        <v>-732.57</v>
      </c>
      <c r="M103" s="101">
        <f t="shared" si="32"/>
        <v>3.7500000000000006E-2</v>
      </c>
      <c r="N103" s="404">
        <v>4.3582999999999998E-3</v>
      </c>
      <c r="S103" s="101">
        <f t="shared" si="31"/>
        <v>2017</v>
      </c>
    </row>
    <row r="104" spans="1:19">
      <c r="A104" s="332" t="s">
        <v>346</v>
      </c>
      <c r="B104" s="333" t="s">
        <v>389</v>
      </c>
      <c r="C104" s="333"/>
      <c r="D104" s="333"/>
      <c r="E104" s="332" t="s">
        <v>390</v>
      </c>
      <c r="F104" s="333">
        <v>201611</v>
      </c>
      <c r="G104" s="334">
        <v>-13.18</v>
      </c>
      <c r="H104" s="126">
        <f>VLOOKUP(F104,Additions!$N$5:$O$49,2)</f>
        <v>5.5</v>
      </c>
      <c r="I104" s="400">
        <v>3.1250000000000002E-3</v>
      </c>
      <c r="J104" s="334">
        <f t="shared" si="29"/>
        <v>-0.23</v>
      </c>
      <c r="K104" s="334">
        <f t="shared" si="30"/>
        <v>-0.49</v>
      </c>
      <c r="M104" s="101">
        <f t="shared" si="32"/>
        <v>3.7500000000000006E-2</v>
      </c>
      <c r="N104" s="404">
        <v>4.3582999999999998E-3</v>
      </c>
      <c r="S104" s="101">
        <f t="shared" si="31"/>
        <v>2017</v>
      </c>
    </row>
    <row r="105" spans="1:19">
      <c r="A105" s="332" t="s">
        <v>346</v>
      </c>
      <c r="B105" s="333" t="s">
        <v>397</v>
      </c>
      <c r="C105" s="333"/>
      <c r="D105" s="333"/>
      <c r="E105" s="332" t="s">
        <v>398</v>
      </c>
      <c r="F105" s="333">
        <v>201612</v>
      </c>
      <c r="G105" s="334">
        <v>-388.22</v>
      </c>
      <c r="H105" s="126">
        <f>VLOOKUP(F105,Additions!$N$5:$O$49,2)</f>
        <v>4.5</v>
      </c>
      <c r="I105" s="400">
        <v>3.1250000000000002E-3</v>
      </c>
      <c r="J105" s="334">
        <f t="shared" si="29"/>
        <v>-5.46</v>
      </c>
      <c r="K105" s="334">
        <f t="shared" si="30"/>
        <v>-14.56</v>
      </c>
      <c r="M105" s="101">
        <f t="shared" si="32"/>
        <v>3.7500000000000006E-2</v>
      </c>
      <c r="N105" s="404">
        <v>4.3582999999999998E-3</v>
      </c>
      <c r="S105" s="101">
        <f t="shared" si="31"/>
        <v>2017</v>
      </c>
    </row>
    <row r="106" spans="1:19">
      <c r="A106" s="332" t="s">
        <v>346</v>
      </c>
      <c r="B106" s="333" t="s">
        <v>347</v>
      </c>
      <c r="C106" s="333"/>
      <c r="D106" s="333"/>
      <c r="E106" s="332" t="s">
        <v>348</v>
      </c>
      <c r="F106" s="333">
        <v>201612</v>
      </c>
      <c r="G106" s="334">
        <v>-36335.360000000001</v>
      </c>
      <c r="H106" s="126">
        <f>VLOOKUP(F106,Additions!$N$5:$O$49,2)</f>
        <v>4.5</v>
      </c>
      <c r="I106" s="400">
        <v>3.1250000000000002E-3</v>
      </c>
      <c r="J106" s="334">
        <f t="shared" si="29"/>
        <v>-510.97</v>
      </c>
      <c r="K106" s="334">
        <f t="shared" si="30"/>
        <v>-1362.58</v>
      </c>
      <c r="M106" s="101">
        <f t="shared" si="32"/>
        <v>3.7500000000000006E-2</v>
      </c>
      <c r="N106" s="404">
        <v>4.3582999999999998E-3</v>
      </c>
      <c r="S106" s="101">
        <f t="shared" si="31"/>
        <v>2017</v>
      </c>
    </row>
    <row r="107" spans="1:19">
      <c r="A107" s="332" t="s">
        <v>346</v>
      </c>
      <c r="B107" s="333" t="s">
        <v>349</v>
      </c>
      <c r="C107" s="333"/>
      <c r="D107" s="333"/>
      <c r="E107" s="332" t="s">
        <v>350</v>
      </c>
      <c r="F107" s="333">
        <v>201612</v>
      </c>
      <c r="G107" s="334">
        <v>-491.91</v>
      </c>
      <c r="H107" s="126">
        <f>VLOOKUP(F107,Additions!$N$5:$O$49,2)</f>
        <v>4.5</v>
      </c>
      <c r="I107" s="400">
        <v>3.1250000000000002E-3</v>
      </c>
      <c r="J107" s="334">
        <f t="shared" si="29"/>
        <v>-6.92</v>
      </c>
      <c r="K107" s="334">
        <f t="shared" si="30"/>
        <v>-18.45</v>
      </c>
      <c r="M107" s="101">
        <f t="shared" si="32"/>
        <v>3.7500000000000006E-2</v>
      </c>
      <c r="N107" s="404">
        <v>4.3582999999999998E-3</v>
      </c>
      <c r="S107" s="101">
        <f t="shared" si="31"/>
        <v>2017</v>
      </c>
    </row>
    <row r="108" spans="1:19">
      <c r="A108" s="332" t="s">
        <v>346</v>
      </c>
      <c r="B108" s="333" t="s">
        <v>351</v>
      </c>
      <c r="C108" s="333"/>
      <c r="D108" s="333"/>
      <c r="E108" s="332" t="s">
        <v>352</v>
      </c>
      <c r="F108" s="333">
        <v>201612</v>
      </c>
      <c r="G108" s="334">
        <v>-2108.37</v>
      </c>
      <c r="H108" s="126">
        <f>VLOOKUP(F108,Additions!$N$5:$O$49,2)</f>
        <v>4.5</v>
      </c>
      <c r="I108" s="400">
        <v>3.1250000000000002E-3</v>
      </c>
      <c r="J108" s="334">
        <f t="shared" si="29"/>
        <v>-29.65</v>
      </c>
      <c r="K108" s="334">
        <f t="shared" si="30"/>
        <v>-79.06</v>
      </c>
      <c r="M108" s="101">
        <f t="shared" si="32"/>
        <v>3.7500000000000006E-2</v>
      </c>
      <c r="N108" s="404">
        <v>4.3582999999999998E-3</v>
      </c>
      <c r="S108" s="101">
        <f t="shared" si="31"/>
        <v>2017</v>
      </c>
    </row>
    <row r="109" spans="1:19">
      <c r="A109" s="332" t="s">
        <v>346</v>
      </c>
      <c r="B109" s="333" t="s">
        <v>361</v>
      </c>
      <c r="C109" s="333"/>
      <c r="D109" s="333"/>
      <c r="E109" s="332" t="s">
        <v>362</v>
      </c>
      <c r="F109" s="333">
        <v>201612</v>
      </c>
      <c r="G109" s="334">
        <v>-5569.3</v>
      </c>
      <c r="H109" s="126">
        <f>VLOOKUP(F109,Additions!$N$5:$O$49,2)</f>
        <v>4.5</v>
      </c>
      <c r="I109" s="400">
        <v>3.1250000000000002E-3</v>
      </c>
      <c r="J109" s="334">
        <f t="shared" si="29"/>
        <v>-78.319999999999993</v>
      </c>
      <c r="K109" s="334">
        <f t="shared" si="30"/>
        <v>-208.85</v>
      </c>
      <c r="M109" s="101">
        <f t="shared" si="32"/>
        <v>3.7500000000000006E-2</v>
      </c>
      <c r="N109" s="404">
        <v>4.3582999999999998E-3</v>
      </c>
      <c r="S109" s="101">
        <f t="shared" si="31"/>
        <v>2017</v>
      </c>
    </row>
    <row r="110" spans="1:19">
      <c r="A110" s="332" t="s">
        <v>346</v>
      </c>
      <c r="B110" s="333" t="s">
        <v>367</v>
      </c>
      <c r="C110" s="333"/>
      <c r="D110" s="333"/>
      <c r="E110" s="332" t="s">
        <v>368</v>
      </c>
      <c r="F110" s="333">
        <v>201612</v>
      </c>
      <c r="G110" s="334">
        <v>-215.13</v>
      </c>
      <c r="H110" s="126">
        <f>VLOOKUP(F110,Additions!$N$5:$O$49,2)</f>
        <v>4.5</v>
      </c>
      <c r="I110" s="400">
        <v>3.1250000000000002E-3</v>
      </c>
      <c r="J110" s="334">
        <f t="shared" si="29"/>
        <v>-3.03</v>
      </c>
      <c r="K110" s="334">
        <f t="shared" si="30"/>
        <v>-8.07</v>
      </c>
      <c r="M110" s="101">
        <f t="shared" si="32"/>
        <v>3.7500000000000006E-2</v>
      </c>
      <c r="N110" s="404">
        <v>4.3582999999999998E-3</v>
      </c>
      <c r="S110" s="101">
        <f t="shared" si="31"/>
        <v>2017</v>
      </c>
    </row>
    <row r="111" spans="1:19">
      <c r="A111" s="332" t="s">
        <v>346</v>
      </c>
      <c r="B111" s="333" t="s">
        <v>401</v>
      </c>
      <c r="C111" s="333"/>
      <c r="D111" s="333"/>
      <c r="E111" s="332" t="s">
        <v>402</v>
      </c>
      <c r="F111" s="333">
        <v>201612</v>
      </c>
      <c r="G111" s="334">
        <v>-64.95</v>
      </c>
      <c r="H111" s="126">
        <f>VLOOKUP(F111,Additions!$N$5:$O$49,2)</f>
        <v>4.5</v>
      </c>
      <c r="I111" s="400">
        <v>3.1250000000000002E-3</v>
      </c>
      <c r="J111" s="334">
        <f t="shared" si="29"/>
        <v>-0.91</v>
      </c>
      <c r="K111" s="334">
        <f t="shared" si="30"/>
        <v>-2.44</v>
      </c>
      <c r="M111" s="101">
        <f t="shared" si="32"/>
        <v>3.7500000000000006E-2</v>
      </c>
      <c r="N111" s="404">
        <v>4.3582999999999998E-3</v>
      </c>
      <c r="S111" s="101">
        <f t="shared" si="31"/>
        <v>2017</v>
      </c>
    </row>
    <row r="112" spans="1:19">
      <c r="A112" s="332" t="s">
        <v>346</v>
      </c>
      <c r="B112" s="333" t="s">
        <v>377</v>
      </c>
      <c r="C112" s="333"/>
      <c r="D112" s="333"/>
      <c r="E112" s="332" t="s">
        <v>378</v>
      </c>
      <c r="F112" s="333">
        <v>201612</v>
      </c>
      <c r="G112" s="334">
        <v>-9798.7800000000007</v>
      </c>
      <c r="H112" s="126">
        <f>VLOOKUP(F112,Additions!$N$5:$O$49,2)</f>
        <v>4.5</v>
      </c>
      <c r="I112" s="400">
        <v>3.1250000000000002E-3</v>
      </c>
      <c r="J112" s="334">
        <f t="shared" si="29"/>
        <v>-137.80000000000001</v>
      </c>
      <c r="K112" s="334">
        <f t="shared" si="30"/>
        <v>-367.45</v>
      </c>
      <c r="M112" s="101">
        <f t="shared" si="32"/>
        <v>3.7500000000000006E-2</v>
      </c>
      <c r="N112" s="404">
        <v>4.3582999999999998E-3</v>
      </c>
      <c r="S112" s="101">
        <f t="shared" si="31"/>
        <v>2017</v>
      </c>
    </row>
    <row r="113" spans="1:19">
      <c r="A113" s="332" t="s">
        <v>346</v>
      </c>
      <c r="B113" s="333" t="s">
        <v>379</v>
      </c>
      <c r="C113" s="333"/>
      <c r="D113" s="333"/>
      <c r="E113" s="332" t="s">
        <v>380</v>
      </c>
      <c r="F113" s="333">
        <v>201612</v>
      </c>
      <c r="G113" s="334">
        <v>-825.35</v>
      </c>
      <c r="H113" s="126">
        <f>VLOOKUP(F113,Additions!$N$5:$O$49,2)</f>
        <v>4.5</v>
      </c>
      <c r="I113" s="400">
        <v>3.1250000000000002E-3</v>
      </c>
      <c r="J113" s="334">
        <f t="shared" si="29"/>
        <v>-11.61</v>
      </c>
      <c r="K113" s="334">
        <f t="shared" si="30"/>
        <v>-30.95</v>
      </c>
      <c r="M113" s="101">
        <f t="shared" si="32"/>
        <v>3.7500000000000006E-2</v>
      </c>
      <c r="N113" s="404">
        <v>4.3582999999999998E-3</v>
      </c>
      <c r="S113" s="101">
        <f t="shared" si="31"/>
        <v>2017</v>
      </c>
    </row>
    <row r="114" spans="1:19">
      <c r="A114" s="332" t="s">
        <v>346</v>
      </c>
      <c r="B114" s="333" t="s">
        <v>403</v>
      </c>
      <c r="C114" s="333"/>
      <c r="D114" s="333"/>
      <c r="E114" s="332" t="s">
        <v>404</v>
      </c>
      <c r="F114" s="333">
        <v>201612</v>
      </c>
      <c r="G114" s="334">
        <v>-933.72</v>
      </c>
      <c r="H114" s="126">
        <f>VLOOKUP(F114,Additions!$N$5:$O$49,2)</f>
        <v>4.5</v>
      </c>
      <c r="I114" s="400">
        <v>3.1250000000000002E-3</v>
      </c>
      <c r="J114" s="334">
        <f t="shared" si="29"/>
        <v>-13.13</v>
      </c>
      <c r="K114" s="334">
        <f t="shared" si="30"/>
        <v>-35.01</v>
      </c>
      <c r="M114" s="101">
        <f t="shared" si="32"/>
        <v>3.7500000000000006E-2</v>
      </c>
      <c r="N114" s="404">
        <v>4.3582999999999998E-3</v>
      </c>
      <c r="S114" s="101">
        <f t="shared" si="31"/>
        <v>2017</v>
      </c>
    </row>
    <row r="115" spans="1:19">
      <c r="A115" s="332" t="s">
        <v>346</v>
      </c>
      <c r="B115" s="333" t="s">
        <v>385</v>
      </c>
      <c r="C115" s="333"/>
      <c r="D115" s="333"/>
      <c r="E115" s="332" t="s">
        <v>386</v>
      </c>
      <c r="F115" s="333">
        <v>201612</v>
      </c>
      <c r="G115" s="334">
        <v>-9216.82</v>
      </c>
      <c r="H115" s="126">
        <f>VLOOKUP(F115,Additions!$N$5:$O$49,2)</f>
        <v>4.5</v>
      </c>
      <c r="I115" s="400">
        <v>3.1250000000000002E-3</v>
      </c>
      <c r="J115" s="334">
        <f t="shared" si="29"/>
        <v>-129.61000000000001</v>
      </c>
      <c r="K115" s="334">
        <f t="shared" si="30"/>
        <v>-345.63</v>
      </c>
      <c r="M115" s="101">
        <f t="shared" si="32"/>
        <v>3.7500000000000006E-2</v>
      </c>
      <c r="N115" s="404">
        <v>4.3582999999999998E-3</v>
      </c>
      <c r="S115" s="101">
        <f t="shared" si="31"/>
        <v>2017</v>
      </c>
    </row>
    <row r="116" spans="1:19">
      <c r="A116" s="332" t="s">
        <v>346</v>
      </c>
      <c r="B116" s="333" t="s">
        <v>391</v>
      </c>
      <c r="C116" s="333"/>
      <c r="D116" s="333"/>
      <c r="E116" s="332" t="s">
        <v>392</v>
      </c>
      <c r="F116" s="333">
        <v>201612</v>
      </c>
      <c r="G116" s="334">
        <v>-12249.91</v>
      </c>
      <c r="H116" s="126">
        <f>VLOOKUP(F116,Additions!$N$5:$O$49,2)</f>
        <v>4.5</v>
      </c>
      <c r="I116" s="400">
        <v>3.1250000000000002E-3</v>
      </c>
      <c r="J116" s="334">
        <f t="shared" si="29"/>
        <v>-172.26</v>
      </c>
      <c r="K116" s="334">
        <f t="shared" si="30"/>
        <v>-459.37</v>
      </c>
      <c r="M116" s="101">
        <f t="shared" si="32"/>
        <v>3.7500000000000006E-2</v>
      </c>
      <c r="N116" s="404">
        <v>4.3582999999999998E-3</v>
      </c>
      <c r="S116" s="101">
        <f t="shared" si="31"/>
        <v>2017</v>
      </c>
    </row>
    <row r="117" spans="1:19">
      <c r="A117" s="332" t="s">
        <v>346</v>
      </c>
      <c r="B117" s="333" t="s">
        <v>973</v>
      </c>
      <c r="C117" s="333"/>
      <c r="D117" s="333"/>
      <c r="E117" s="332" t="s">
        <v>974</v>
      </c>
      <c r="F117" s="333">
        <v>201612</v>
      </c>
      <c r="G117" s="334">
        <v>-70707.81</v>
      </c>
      <c r="H117" s="126">
        <f>VLOOKUP(F117,Additions!$N$5:$O$49,2)</f>
        <v>4.5</v>
      </c>
      <c r="I117" s="400">
        <v>3.1250000000000002E-3</v>
      </c>
      <c r="J117" s="334">
        <f t="shared" si="29"/>
        <v>-994.33</v>
      </c>
      <c r="K117" s="334">
        <f t="shared" si="30"/>
        <v>-2651.54</v>
      </c>
      <c r="M117" s="101">
        <f t="shared" si="32"/>
        <v>3.7500000000000006E-2</v>
      </c>
      <c r="N117" s="404">
        <v>4.3582999999999998E-3</v>
      </c>
      <c r="S117" s="101">
        <f t="shared" si="31"/>
        <v>2017</v>
      </c>
    </row>
    <row r="118" spans="1:19">
      <c r="A118" s="332" t="s">
        <v>346</v>
      </c>
      <c r="B118" s="333" t="s">
        <v>979</v>
      </c>
      <c r="C118" s="333"/>
      <c r="D118" s="333"/>
      <c r="E118" s="332" t="s">
        <v>980</v>
      </c>
      <c r="F118" s="333">
        <v>201612</v>
      </c>
      <c r="G118" s="334">
        <v>-88155.26</v>
      </c>
      <c r="H118" s="126">
        <f>VLOOKUP(F118,Additions!$N$5:$O$49,2)</f>
        <v>4.5</v>
      </c>
      <c r="I118" s="400">
        <v>3.1250000000000002E-3</v>
      </c>
      <c r="J118" s="334">
        <f>ROUND(G118*H118*I118,2)</f>
        <v>-1239.68</v>
      </c>
      <c r="K118" s="334">
        <f t="shared" si="30"/>
        <v>-3305.82</v>
      </c>
      <c r="M118" s="101">
        <f t="shared" si="32"/>
        <v>3.7500000000000006E-2</v>
      </c>
      <c r="N118" s="404">
        <v>4.3582999999999998E-3</v>
      </c>
      <c r="S118" s="101">
        <f t="shared" si="31"/>
        <v>2017</v>
      </c>
    </row>
    <row r="119" spans="1:19">
      <c r="A119" s="332" t="s">
        <v>346</v>
      </c>
      <c r="B119" s="333" t="s">
        <v>985</v>
      </c>
      <c r="C119" s="333"/>
      <c r="D119" s="333"/>
      <c r="E119" s="332" t="s">
        <v>986</v>
      </c>
      <c r="F119" s="333">
        <v>201612</v>
      </c>
      <c r="G119" s="334">
        <v>-48249.82</v>
      </c>
      <c r="H119" s="126">
        <f>VLOOKUP(F119,Additions!$N$5:$O$49,2)</f>
        <v>4.5</v>
      </c>
      <c r="I119" s="400">
        <v>3.1250000000000002E-3</v>
      </c>
      <c r="J119" s="334">
        <f>ROUND(G119*H119*I119,2)</f>
        <v>-678.51</v>
      </c>
      <c r="K119" s="334">
        <f t="shared" si="30"/>
        <v>-1809.37</v>
      </c>
      <c r="M119" s="101">
        <f t="shared" si="32"/>
        <v>3.7500000000000006E-2</v>
      </c>
      <c r="N119" s="404">
        <v>4.3582999999999998E-3</v>
      </c>
      <c r="S119" s="101">
        <f t="shared" si="31"/>
        <v>2017</v>
      </c>
    </row>
    <row r="120" spans="1:19" s="559" customFormat="1">
      <c r="A120" s="863" t="s">
        <v>346</v>
      </c>
      <c r="B120" s="864" t="s">
        <v>397</v>
      </c>
      <c r="C120" s="864"/>
      <c r="D120" s="864"/>
      <c r="E120" s="863" t="s">
        <v>398</v>
      </c>
      <c r="F120" s="864">
        <v>201701</v>
      </c>
      <c r="G120" s="865">
        <v>-128</v>
      </c>
      <c r="H120" s="590">
        <f>VLOOKUP(F120,Additions!$N$5:$O$49,2)</f>
        <v>3.5</v>
      </c>
      <c r="I120" s="866">
        <v>3.1250000000000002E-3</v>
      </c>
      <c r="J120" s="865">
        <f t="shared" ref="J120:J128" si="33">ROUND(G120*H120*I120,2)</f>
        <v>-1.4</v>
      </c>
      <c r="K120" s="865">
        <f t="shared" ref="K120:K128" si="34">ROUND(G120*I120*12,2)</f>
        <v>-4.8</v>
      </c>
      <c r="N120" s="404"/>
      <c r="S120" s="559">
        <f t="shared" si="31"/>
        <v>2017</v>
      </c>
    </row>
    <row r="121" spans="1:19" s="559" customFormat="1">
      <c r="A121" s="863" t="s">
        <v>346</v>
      </c>
      <c r="B121" s="864" t="s">
        <v>347</v>
      </c>
      <c r="C121" s="864"/>
      <c r="D121" s="864"/>
      <c r="E121" s="863" t="s">
        <v>348</v>
      </c>
      <c r="F121" s="864">
        <v>201701</v>
      </c>
      <c r="G121" s="865">
        <v>-52186</v>
      </c>
      <c r="H121" s="590">
        <f>VLOOKUP(F121,Additions!$N$5:$O$49,2)</f>
        <v>3.5</v>
      </c>
      <c r="I121" s="866">
        <v>3.1250000000000002E-3</v>
      </c>
      <c r="J121" s="865">
        <f t="shared" si="33"/>
        <v>-570.78</v>
      </c>
      <c r="K121" s="865">
        <f t="shared" si="34"/>
        <v>-1956.98</v>
      </c>
      <c r="N121" s="404"/>
      <c r="S121" s="559">
        <f t="shared" si="31"/>
        <v>2017</v>
      </c>
    </row>
    <row r="122" spans="1:19" s="559" customFormat="1">
      <c r="A122" s="863" t="s">
        <v>346</v>
      </c>
      <c r="B122" s="864" t="s">
        <v>355</v>
      </c>
      <c r="C122" s="864"/>
      <c r="D122" s="864"/>
      <c r="E122" s="863" t="s">
        <v>356</v>
      </c>
      <c r="F122" s="864">
        <v>201701</v>
      </c>
      <c r="G122" s="865">
        <v>-9.64</v>
      </c>
      <c r="H122" s="590">
        <f>VLOOKUP(F122,Additions!$N$5:$O$49,2)</f>
        <v>3.5</v>
      </c>
      <c r="I122" s="866">
        <v>3.1250000000000002E-3</v>
      </c>
      <c r="J122" s="865">
        <f t="shared" si="33"/>
        <v>-0.11</v>
      </c>
      <c r="K122" s="865">
        <f t="shared" si="34"/>
        <v>-0.36</v>
      </c>
      <c r="N122" s="404"/>
      <c r="S122" s="559">
        <f t="shared" si="31"/>
        <v>2017</v>
      </c>
    </row>
    <row r="123" spans="1:19" s="559" customFormat="1">
      <c r="A123" s="863" t="s">
        <v>346</v>
      </c>
      <c r="B123" s="864" t="s">
        <v>367</v>
      </c>
      <c r="C123" s="864"/>
      <c r="D123" s="864"/>
      <c r="E123" s="863" t="s">
        <v>368</v>
      </c>
      <c r="F123" s="864">
        <v>201701</v>
      </c>
      <c r="G123" s="865">
        <v>-1322.23</v>
      </c>
      <c r="H123" s="590">
        <f>VLOOKUP(F123,Additions!$N$5:$O$49,2)</f>
        <v>3.5</v>
      </c>
      <c r="I123" s="866">
        <v>3.1250000000000002E-3</v>
      </c>
      <c r="J123" s="865">
        <f t="shared" si="33"/>
        <v>-14.46</v>
      </c>
      <c r="K123" s="865">
        <f t="shared" si="34"/>
        <v>-49.58</v>
      </c>
      <c r="N123" s="404"/>
      <c r="S123" s="559">
        <f t="shared" si="31"/>
        <v>2017</v>
      </c>
    </row>
    <row r="124" spans="1:19" s="559" customFormat="1">
      <c r="A124" s="863" t="s">
        <v>346</v>
      </c>
      <c r="B124" s="864" t="s">
        <v>401</v>
      </c>
      <c r="C124" s="864"/>
      <c r="D124" s="864"/>
      <c r="E124" s="863" t="s">
        <v>402</v>
      </c>
      <c r="F124" s="864">
        <v>201701</v>
      </c>
      <c r="G124" s="865">
        <v>-112.68</v>
      </c>
      <c r="H124" s="590">
        <f>VLOOKUP(F124,Additions!$N$5:$O$49,2)</f>
        <v>3.5</v>
      </c>
      <c r="I124" s="866">
        <v>3.1250000000000002E-3</v>
      </c>
      <c r="J124" s="865">
        <f t="shared" si="33"/>
        <v>-1.23</v>
      </c>
      <c r="K124" s="865">
        <f t="shared" si="34"/>
        <v>-4.2300000000000004</v>
      </c>
      <c r="N124" s="404"/>
      <c r="S124" s="559">
        <f t="shared" si="31"/>
        <v>2017</v>
      </c>
    </row>
    <row r="125" spans="1:19" s="559" customFormat="1">
      <c r="A125" s="863" t="s">
        <v>346</v>
      </c>
      <c r="B125" s="864" t="s">
        <v>377</v>
      </c>
      <c r="C125" s="864"/>
      <c r="D125" s="864"/>
      <c r="E125" s="863" t="s">
        <v>378</v>
      </c>
      <c r="F125" s="864">
        <v>201701</v>
      </c>
      <c r="G125" s="865">
        <v>-7048.31</v>
      </c>
      <c r="H125" s="590">
        <f>VLOOKUP(F125,Additions!$N$5:$O$49,2)</f>
        <v>3.5</v>
      </c>
      <c r="I125" s="866">
        <v>3.1250000000000002E-3</v>
      </c>
      <c r="J125" s="865">
        <f t="shared" si="33"/>
        <v>-77.09</v>
      </c>
      <c r="K125" s="865">
        <f t="shared" si="34"/>
        <v>-264.31</v>
      </c>
      <c r="N125" s="404"/>
      <c r="S125" s="559">
        <f t="shared" si="31"/>
        <v>2017</v>
      </c>
    </row>
    <row r="126" spans="1:19" s="559" customFormat="1">
      <c r="A126" s="863" t="s">
        <v>346</v>
      </c>
      <c r="B126" s="864" t="s">
        <v>385</v>
      </c>
      <c r="C126" s="864"/>
      <c r="D126" s="864"/>
      <c r="E126" s="863" t="s">
        <v>386</v>
      </c>
      <c r="F126" s="864">
        <v>201701</v>
      </c>
      <c r="G126" s="865">
        <v>-20475.330000000002</v>
      </c>
      <c r="H126" s="590">
        <f>VLOOKUP(F126,Additions!$N$5:$O$49,2)</f>
        <v>3.5</v>
      </c>
      <c r="I126" s="866">
        <v>3.1250000000000002E-3</v>
      </c>
      <c r="J126" s="865">
        <f t="shared" si="33"/>
        <v>-223.95</v>
      </c>
      <c r="K126" s="865">
        <f t="shared" si="34"/>
        <v>-767.82</v>
      </c>
      <c r="N126" s="404"/>
      <c r="S126" s="559">
        <f t="shared" si="31"/>
        <v>2017</v>
      </c>
    </row>
    <row r="127" spans="1:19" s="559" customFormat="1">
      <c r="A127" s="863" t="s">
        <v>346</v>
      </c>
      <c r="B127" s="864" t="s">
        <v>949</v>
      </c>
      <c r="C127" s="864"/>
      <c r="D127" s="864"/>
      <c r="E127" s="863" t="s">
        <v>950</v>
      </c>
      <c r="F127" s="864">
        <v>201701</v>
      </c>
      <c r="G127" s="865">
        <v>-124178.54</v>
      </c>
      <c r="H127" s="590">
        <f>VLOOKUP(F127,Additions!$N$5:$O$49,2)</f>
        <v>3.5</v>
      </c>
      <c r="I127" s="866">
        <v>3.1250000000000002E-3</v>
      </c>
      <c r="J127" s="865">
        <f t="shared" si="33"/>
        <v>-1358.2</v>
      </c>
      <c r="K127" s="865">
        <f t="shared" si="34"/>
        <v>-4656.7</v>
      </c>
      <c r="N127" s="404"/>
      <c r="S127" s="559">
        <f t="shared" si="31"/>
        <v>2017</v>
      </c>
    </row>
    <row r="128" spans="1:19" s="559" customFormat="1">
      <c r="A128" s="863" t="s">
        <v>346</v>
      </c>
      <c r="B128" s="864" t="s">
        <v>961</v>
      </c>
      <c r="C128" s="864"/>
      <c r="D128" s="864"/>
      <c r="E128" s="863" t="s">
        <v>962</v>
      </c>
      <c r="F128" s="864">
        <v>201701</v>
      </c>
      <c r="G128" s="865">
        <v>-66696.479999999996</v>
      </c>
      <c r="H128" s="590">
        <f>VLOOKUP(F128,Additions!$N$5:$O$49,2)</f>
        <v>3.5</v>
      </c>
      <c r="I128" s="866">
        <v>3.1250000000000002E-3</v>
      </c>
      <c r="J128" s="865">
        <f t="shared" si="33"/>
        <v>-729.49</v>
      </c>
      <c r="K128" s="865">
        <f t="shared" si="34"/>
        <v>-2501.12</v>
      </c>
      <c r="N128" s="404"/>
      <c r="S128" s="559">
        <f t="shared" si="31"/>
        <v>2017</v>
      </c>
    </row>
    <row r="129" spans="1:19">
      <c r="A129" s="332"/>
      <c r="B129" s="333"/>
      <c r="C129" s="333"/>
      <c r="D129" s="333"/>
      <c r="E129" s="332"/>
      <c r="F129" s="333"/>
      <c r="G129" s="334"/>
      <c r="H129" s="126"/>
      <c r="I129" s="400"/>
      <c r="J129" s="334"/>
      <c r="K129" s="334"/>
      <c r="M129" s="101">
        <f t="shared" si="32"/>
        <v>0</v>
      </c>
      <c r="N129" s="404">
        <v>4.3582999999999998E-3</v>
      </c>
      <c r="S129" s="101">
        <f t="shared" si="31"/>
        <v>2016</v>
      </c>
    </row>
    <row r="130" spans="1:19">
      <c r="A130" s="108"/>
      <c r="B130" s="108"/>
      <c r="C130" s="108"/>
      <c r="D130" s="108"/>
      <c r="E130" s="126"/>
      <c r="F130" s="159"/>
      <c r="G130" s="82"/>
      <c r="H130" s="126"/>
      <c r="I130" s="340"/>
      <c r="J130" s="82"/>
      <c r="K130" s="82"/>
      <c r="S130" s="559">
        <f t="shared" ref="S130" si="35">IF(F130&lt;=$S$1,$U$5,$U$6)</f>
        <v>2016</v>
      </c>
    </row>
    <row r="131" spans="1:19">
      <c r="A131" s="267"/>
      <c r="B131" s="267"/>
      <c r="C131" s="267"/>
      <c r="D131" s="267"/>
      <c r="E131" s="267"/>
      <c r="F131" s="164"/>
      <c r="G131" s="129"/>
      <c r="H131" s="181"/>
      <c r="I131" s="418"/>
      <c r="J131" s="129"/>
      <c r="K131" s="129"/>
    </row>
    <row r="132" spans="1:19" ht="13.5" thickBot="1">
      <c r="A132" s="267"/>
      <c r="B132" s="267"/>
      <c r="C132" s="267"/>
      <c r="D132" s="267"/>
      <c r="E132" s="267"/>
      <c r="F132" s="185" t="s">
        <v>107</v>
      </c>
      <c r="G132" s="130">
        <f>SUM(G95:G131)</f>
        <v>-665154.69999999995</v>
      </c>
      <c r="H132" s="181"/>
      <c r="I132" s="132"/>
      <c r="J132" s="130">
        <f>SUM(J95:J131)</f>
        <v>-8839.77</v>
      </c>
      <c r="K132" s="130">
        <f>SUM(K95:K131)</f>
        <v>-24943.3</v>
      </c>
    </row>
    <row r="133" spans="1:19" ht="13.5" thickTop="1">
      <c r="A133" s="267"/>
      <c r="B133" s="267"/>
      <c r="C133" s="267"/>
      <c r="D133" s="267"/>
      <c r="E133" s="267"/>
      <c r="F133" s="164"/>
      <c r="G133" s="103"/>
      <c r="H133" s="181"/>
      <c r="I133" s="132"/>
      <c r="J133" s="103"/>
      <c r="K133" s="103"/>
    </row>
    <row r="134" spans="1:19">
      <c r="A134" s="69" t="s">
        <v>216</v>
      </c>
      <c r="B134" s="101"/>
      <c r="C134" s="101"/>
      <c r="D134" s="101"/>
      <c r="G134" s="176"/>
      <c r="H134" s="101"/>
      <c r="J134" s="101"/>
      <c r="K134" s="101"/>
    </row>
    <row r="135" spans="1:19">
      <c r="A135" s="101"/>
      <c r="B135" s="101"/>
      <c r="C135" s="101"/>
      <c r="D135" s="101"/>
      <c r="G135" s="176"/>
      <c r="H135" s="101"/>
      <c r="J135" s="101"/>
      <c r="K135" s="101"/>
    </row>
    <row r="136" spans="1:19">
      <c r="A136" s="81" t="s">
        <v>86</v>
      </c>
      <c r="B136" s="81" t="s">
        <v>87</v>
      </c>
      <c r="C136" s="81" t="s">
        <v>88</v>
      </c>
      <c r="D136" s="81"/>
      <c r="E136" s="81" t="s">
        <v>104</v>
      </c>
      <c r="F136" s="146" t="s">
        <v>89</v>
      </c>
      <c r="G136" s="81" t="s">
        <v>90</v>
      </c>
      <c r="H136" s="177"/>
      <c r="I136" s="81" t="s">
        <v>91</v>
      </c>
      <c r="J136" s="81" t="s">
        <v>92</v>
      </c>
      <c r="K136" s="81" t="s">
        <v>93</v>
      </c>
    </row>
    <row r="137" spans="1:19">
      <c r="A137" s="86" t="s">
        <v>94</v>
      </c>
      <c r="B137" s="86" t="s">
        <v>95</v>
      </c>
      <c r="C137" s="86" t="s">
        <v>96</v>
      </c>
      <c r="D137" s="87"/>
      <c r="E137" s="87" t="s">
        <v>105</v>
      </c>
      <c r="F137" s="148" t="s">
        <v>98</v>
      </c>
      <c r="G137" s="86" t="s">
        <v>99</v>
      </c>
      <c r="H137" s="182" t="s">
        <v>100</v>
      </c>
      <c r="I137" s="86" t="s">
        <v>101</v>
      </c>
      <c r="J137" s="86" t="s">
        <v>93</v>
      </c>
      <c r="K137" s="86" t="s">
        <v>102</v>
      </c>
    </row>
    <row r="138" spans="1:19">
      <c r="A138" s="107"/>
      <c r="B138" s="108"/>
      <c r="C138" s="108"/>
      <c r="D138" s="108"/>
      <c r="E138" s="108"/>
      <c r="F138" s="159"/>
      <c r="G138" s="110"/>
      <c r="H138" s="180"/>
      <c r="I138" s="168"/>
      <c r="J138" s="82"/>
      <c r="K138" s="82"/>
    </row>
    <row r="139" spans="1:19">
      <c r="A139" s="107"/>
      <c r="B139" s="108"/>
      <c r="C139" s="108"/>
      <c r="D139" s="108"/>
      <c r="E139" s="108"/>
      <c r="F139" s="159"/>
      <c r="G139" s="110"/>
      <c r="H139" s="180"/>
      <c r="I139" s="168"/>
      <c r="J139" s="82"/>
      <c r="K139" s="82"/>
    </row>
    <row r="140" spans="1:19">
      <c r="A140" s="101"/>
      <c r="B140" s="101"/>
      <c r="C140" s="101"/>
      <c r="D140" s="101"/>
      <c r="G140" s="101"/>
      <c r="H140" s="101"/>
      <c r="J140" s="101"/>
      <c r="K140" s="101"/>
    </row>
    <row r="141" spans="1:19" ht="13.5" thickBot="1">
      <c r="A141" s="69" t="s">
        <v>110</v>
      </c>
      <c r="B141" s="101"/>
      <c r="C141" s="101"/>
      <c r="D141" s="101"/>
      <c r="G141" s="120">
        <f>SUM(G138:G140)</f>
        <v>0</v>
      </c>
      <c r="H141" s="101"/>
      <c r="J141" s="120">
        <f>SUM(J138:J139)</f>
        <v>0</v>
      </c>
      <c r="K141" s="120">
        <f>SUM(K138:K139)</f>
        <v>0</v>
      </c>
    </row>
    <row r="142" spans="1:19" ht="13.5" thickTop="1">
      <c r="A142" s="101"/>
      <c r="B142" s="101"/>
      <c r="C142" s="101"/>
      <c r="D142" s="101"/>
      <c r="G142" s="101"/>
      <c r="H142" s="101"/>
      <c r="J142" s="101"/>
      <c r="K142" s="101"/>
    </row>
    <row r="143" spans="1:19" ht="13.5" thickBot="1">
      <c r="A143" s="95" t="s">
        <v>130</v>
      </c>
      <c r="G143" s="130">
        <f>+G132+G89+G141</f>
        <v>-781315.84</v>
      </c>
      <c r="J143" s="130">
        <f>+J132+J89+J141</f>
        <v>-11187.130000000001</v>
      </c>
      <c r="K143" s="130">
        <f>+K132+K89+K141</f>
        <v>-31018.47</v>
      </c>
    </row>
    <row r="144" spans="1:19" ht="13.5" thickTop="1">
      <c r="A144" s="95"/>
      <c r="G144" s="103"/>
      <c r="J144" s="103"/>
      <c r="K144" s="103"/>
    </row>
    <row r="145" spans="1:19">
      <c r="A145" s="95" t="s">
        <v>166</v>
      </c>
      <c r="G145" s="103"/>
      <c r="J145" s="103"/>
      <c r="K145" s="103"/>
    </row>
    <row r="146" spans="1:19">
      <c r="A146" s="95"/>
      <c r="G146" s="103"/>
      <c r="J146" s="103"/>
      <c r="K146" s="103"/>
    </row>
    <row r="147" spans="1:19">
      <c r="A147" s="88" t="s">
        <v>304</v>
      </c>
    </row>
    <row r="149" spans="1:19">
      <c r="A149" s="81" t="s">
        <v>86</v>
      </c>
      <c r="B149" s="81" t="s">
        <v>87</v>
      </c>
      <c r="C149" s="81" t="s">
        <v>88</v>
      </c>
      <c r="D149" s="81"/>
      <c r="E149" s="81"/>
      <c r="F149" s="146" t="s">
        <v>121</v>
      </c>
      <c r="G149" s="89" t="s">
        <v>121</v>
      </c>
      <c r="H149" s="177"/>
      <c r="I149" s="81" t="s">
        <v>91</v>
      </c>
      <c r="J149" s="90" t="s">
        <v>92</v>
      </c>
      <c r="K149" s="90" t="s">
        <v>106</v>
      </c>
    </row>
    <row r="150" spans="1:19">
      <c r="A150" s="86" t="s">
        <v>94</v>
      </c>
      <c r="B150" s="86" t="s">
        <v>95</v>
      </c>
      <c r="C150" s="86" t="s">
        <v>96</v>
      </c>
      <c r="D150" s="86"/>
      <c r="E150" s="86" t="s">
        <v>97</v>
      </c>
      <c r="F150" s="148" t="s">
        <v>98</v>
      </c>
      <c r="G150" s="92" t="s">
        <v>99</v>
      </c>
      <c r="H150" s="182" t="s">
        <v>100</v>
      </c>
      <c r="I150" s="86" t="s">
        <v>101</v>
      </c>
      <c r="J150" s="92" t="s">
        <v>93</v>
      </c>
      <c r="K150" s="92" t="s">
        <v>102</v>
      </c>
    </row>
    <row r="151" spans="1:19" ht="13.5" customHeight="1">
      <c r="A151" s="421"/>
      <c r="B151" s="333"/>
      <c r="C151" s="333"/>
      <c r="D151" s="333"/>
      <c r="E151" s="332"/>
      <c r="F151" s="333"/>
      <c r="G151" s="334"/>
      <c r="H151" s="126"/>
      <c r="I151" s="381"/>
      <c r="J151" s="334"/>
      <c r="K151" s="334"/>
      <c r="S151" s="101">
        <f t="shared" ref="S151:S160" si="36">IF(F151&lt;=$S$1,$U$5,$U$6)</f>
        <v>2016</v>
      </c>
    </row>
    <row r="152" spans="1:19">
      <c r="A152" s="421"/>
      <c r="B152" s="333"/>
      <c r="C152" s="333"/>
      <c r="D152" s="333"/>
      <c r="E152" s="332"/>
      <c r="F152" s="333"/>
      <c r="G152" s="334"/>
      <c r="H152" s="126"/>
      <c r="I152" s="381"/>
      <c r="J152" s="334"/>
      <c r="K152" s="334"/>
      <c r="S152" s="101">
        <f t="shared" si="36"/>
        <v>2016</v>
      </c>
    </row>
    <row r="153" spans="1:19">
      <c r="A153" s="421"/>
      <c r="B153" s="380"/>
      <c r="C153" s="380"/>
      <c r="D153" s="380"/>
      <c r="E153" s="394"/>
      <c r="F153" s="333"/>
      <c r="G153" s="395"/>
      <c r="H153" s="126"/>
      <c r="I153" s="381"/>
      <c r="J153" s="334"/>
      <c r="K153" s="334"/>
      <c r="S153" s="101">
        <f t="shared" si="36"/>
        <v>2016</v>
      </c>
    </row>
    <row r="154" spans="1:19">
      <c r="A154" s="421"/>
      <c r="B154" s="333"/>
      <c r="C154" s="333"/>
      <c r="D154" s="333"/>
      <c r="E154" s="332"/>
      <c r="F154" s="333"/>
      <c r="G154" s="334"/>
      <c r="H154" s="126"/>
      <c r="I154" s="381"/>
      <c r="J154" s="334"/>
      <c r="K154" s="334"/>
      <c r="S154" s="101">
        <f t="shared" si="36"/>
        <v>2016</v>
      </c>
    </row>
    <row r="155" spans="1:19">
      <c r="A155" s="496"/>
      <c r="B155" s="522"/>
      <c r="C155" s="333"/>
      <c r="D155" s="333"/>
      <c r="E155" s="521"/>
      <c r="F155" s="333"/>
      <c r="G155" s="334"/>
      <c r="H155" s="590"/>
      <c r="I155" s="381"/>
      <c r="J155" s="334"/>
      <c r="K155" s="334"/>
      <c r="S155" s="101">
        <f t="shared" si="36"/>
        <v>2016</v>
      </c>
    </row>
    <row r="156" spans="1:19" s="559" customFormat="1">
      <c r="A156" s="496"/>
      <c r="B156" s="522"/>
      <c r="C156" s="522"/>
      <c r="D156" s="522"/>
      <c r="E156" s="521"/>
      <c r="F156" s="522"/>
      <c r="G156" s="523"/>
      <c r="H156" s="590"/>
      <c r="I156" s="486"/>
      <c r="J156" s="523"/>
      <c r="K156" s="523"/>
      <c r="S156" s="559">
        <f t="shared" si="36"/>
        <v>2016</v>
      </c>
    </row>
    <row r="157" spans="1:19" s="559" customFormat="1">
      <c r="A157" s="496"/>
      <c r="B157" s="522"/>
      <c r="C157" s="522"/>
      <c r="D157" s="522"/>
      <c r="E157" s="521"/>
      <c r="F157" s="522"/>
      <c r="G157" s="523"/>
      <c r="H157" s="590"/>
      <c r="I157" s="486"/>
      <c r="J157" s="523"/>
      <c r="K157" s="523"/>
      <c r="S157" s="559">
        <f t="shared" si="36"/>
        <v>2016</v>
      </c>
    </row>
    <row r="158" spans="1:19" s="559" customFormat="1">
      <c r="A158" s="496"/>
      <c r="B158" s="522"/>
      <c r="C158" s="522"/>
      <c r="D158" s="522"/>
      <c r="E158" s="521"/>
      <c r="F158" s="522"/>
      <c r="G158" s="523"/>
      <c r="H158" s="590"/>
      <c r="I158" s="486"/>
      <c r="J158" s="523"/>
      <c r="K158" s="523"/>
      <c r="S158" s="559">
        <f t="shared" si="36"/>
        <v>2016</v>
      </c>
    </row>
    <row r="159" spans="1:19" s="559" customFormat="1">
      <c r="A159" s="496"/>
      <c r="B159" s="522"/>
      <c r="C159" s="522"/>
      <c r="D159" s="522"/>
      <c r="E159" s="521"/>
      <c r="F159" s="522"/>
      <c r="G159" s="523"/>
      <c r="H159" s="590"/>
      <c r="I159" s="486"/>
      <c r="J159" s="523"/>
      <c r="K159" s="523"/>
      <c r="S159" s="559">
        <f t="shared" si="36"/>
        <v>2016</v>
      </c>
    </row>
    <row r="160" spans="1:19" s="559" customFormat="1">
      <c r="A160" s="496"/>
      <c r="B160" s="522"/>
      <c r="C160" s="522"/>
      <c r="D160" s="522"/>
      <c r="E160" s="521"/>
      <c r="F160" s="522"/>
      <c r="G160" s="523"/>
      <c r="H160" s="590"/>
      <c r="I160" s="486"/>
      <c r="J160" s="523"/>
      <c r="K160" s="523"/>
      <c r="S160" s="559">
        <f t="shared" si="36"/>
        <v>2016</v>
      </c>
    </row>
    <row r="161" spans="1:19" s="559" customFormat="1">
      <c r="A161" s="496"/>
      <c r="B161" s="522"/>
      <c r="C161" s="522"/>
      <c r="D161" s="522"/>
      <c r="E161" s="521"/>
      <c r="F161" s="522"/>
      <c r="G161" s="523"/>
      <c r="H161" s="590"/>
      <c r="I161" s="486"/>
      <c r="J161" s="523"/>
      <c r="K161" s="523"/>
    </row>
    <row r="162" spans="1:19">
      <c r="A162" s="108"/>
      <c r="B162" s="108"/>
      <c r="C162" s="108"/>
      <c r="D162" s="108"/>
      <c r="E162" s="108"/>
      <c r="F162" s="159"/>
      <c r="G162" s="110"/>
      <c r="H162" s="180"/>
      <c r="I162" s="168"/>
      <c r="J162" s="82"/>
      <c r="K162" s="82"/>
    </row>
    <row r="163" spans="1:19">
      <c r="A163" s="267"/>
      <c r="B163" s="267"/>
      <c r="C163" s="267"/>
      <c r="D163" s="267"/>
      <c r="E163" s="267"/>
      <c r="F163" s="164"/>
      <c r="G163" s="103"/>
      <c r="H163" s="181"/>
      <c r="I163" s="132"/>
      <c r="J163" s="129"/>
      <c r="K163" s="129"/>
    </row>
    <row r="164" spans="1:19" ht="13.5" thickBot="1">
      <c r="F164" s="73" t="s">
        <v>107</v>
      </c>
      <c r="G164" s="130">
        <f>SUM(G151:G163)</f>
        <v>0</v>
      </c>
      <c r="J164" s="130">
        <f>SUM(J151:J163)</f>
        <v>0</v>
      </c>
      <c r="K164" s="130">
        <f>SUM(K151:K163)</f>
        <v>0</v>
      </c>
    </row>
    <row r="165" spans="1:19" ht="13.5" thickTop="1">
      <c r="A165" s="95"/>
      <c r="G165" s="103"/>
      <c r="J165" s="103"/>
      <c r="K165" s="103"/>
    </row>
    <row r="166" spans="1:19">
      <c r="A166" s="95"/>
      <c r="G166" s="103"/>
      <c r="J166" s="103"/>
      <c r="K166" s="103"/>
    </row>
    <row r="167" spans="1:19">
      <c r="A167" s="88" t="s">
        <v>415</v>
      </c>
    </row>
    <row r="168" spans="1:19">
      <c r="P168" s="121"/>
      <c r="Q168" s="121"/>
      <c r="R168" s="121"/>
    </row>
    <row r="169" spans="1:19">
      <c r="A169" s="81" t="s">
        <v>86</v>
      </c>
      <c r="B169" s="81" t="s">
        <v>87</v>
      </c>
      <c r="C169" s="81" t="s">
        <v>88</v>
      </c>
      <c r="D169" s="81"/>
      <c r="E169" s="81"/>
      <c r="F169" s="146" t="s">
        <v>121</v>
      </c>
      <c r="G169" s="89" t="s">
        <v>121</v>
      </c>
      <c r="H169" s="177"/>
      <c r="I169" s="81" t="s">
        <v>91</v>
      </c>
      <c r="J169" s="90" t="s">
        <v>92</v>
      </c>
      <c r="K169" s="90" t="s">
        <v>106</v>
      </c>
      <c r="P169" s="100"/>
      <c r="Q169" s="121"/>
      <c r="R169" s="121"/>
    </row>
    <row r="170" spans="1:19">
      <c r="A170" s="86" t="s">
        <v>94</v>
      </c>
      <c r="B170" s="86" t="s">
        <v>95</v>
      </c>
      <c r="C170" s="86" t="s">
        <v>96</v>
      </c>
      <c r="D170" s="86"/>
      <c r="E170" s="86" t="s">
        <v>97</v>
      </c>
      <c r="F170" s="148" t="s">
        <v>98</v>
      </c>
      <c r="G170" s="92" t="s">
        <v>99</v>
      </c>
      <c r="H170" s="182" t="s">
        <v>100</v>
      </c>
      <c r="I170" s="86" t="s">
        <v>101</v>
      </c>
      <c r="J170" s="92" t="s">
        <v>93</v>
      </c>
      <c r="K170" s="92" t="s">
        <v>102</v>
      </c>
      <c r="P170" s="100"/>
      <c r="Q170" s="121"/>
      <c r="R170" s="121"/>
    </row>
    <row r="171" spans="1:19">
      <c r="A171" s="269"/>
      <c r="B171" s="269"/>
      <c r="C171" s="269"/>
      <c r="D171" s="269"/>
      <c r="E171" s="335"/>
      <c r="F171" s="337"/>
      <c r="G171" s="338"/>
      <c r="H171" s="335"/>
      <c r="I171" s="340"/>
      <c r="J171" s="338"/>
      <c r="K171" s="338"/>
      <c r="S171" s="101">
        <f>IF(F171&lt;=$S$1,$U$5,$U$6)</f>
        <v>2016</v>
      </c>
    </row>
    <row r="172" spans="1:19">
      <c r="A172" s="269"/>
      <c r="B172" s="269"/>
      <c r="C172" s="269"/>
      <c r="D172" s="269"/>
      <c r="E172" s="335"/>
      <c r="F172" s="337"/>
      <c r="G172" s="338"/>
      <c r="H172" s="335"/>
      <c r="I172" s="340"/>
      <c r="J172" s="338"/>
      <c r="K172" s="338"/>
      <c r="P172" s="100"/>
      <c r="Q172" s="121"/>
      <c r="R172" s="121"/>
      <c r="S172" s="101">
        <f>IF(F172&lt;=$S$1,$U$5,$U$6)</f>
        <v>2016</v>
      </c>
    </row>
    <row r="173" spans="1:19">
      <c r="A173" s="108"/>
      <c r="B173" s="108"/>
      <c r="C173" s="108"/>
      <c r="D173" s="108"/>
      <c r="E173" s="126"/>
      <c r="F173" s="159"/>
      <c r="G173" s="82"/>
      <c r="H173" s="180"/>
      <c r="I173" s="168"/>
      <c r="J173" s="82"/>
      <c r="K173" s="82"/>
      <c r="P173" s="100"/>
      <c r="Q173" s="121"/>
      <c r="R173" s="121"/>
    </row>
    <row r="174" spans="1:19">
      <c r="A174" s="267"/>
      <c r="B174" s="267"/>
      <c r="C174" s="267"/>
      <c r="D174" s="267"/>
      <c r="E174" s="267"/>
      <c r="F174" s="164"/>
      <c r="G174" s="103"/>
      <c r="H174" s="181"/>
      <c r="I174" s="132"/>
      <c r="J174" s="129"/>
      <c r="K174" s="129"/>
      <c r="P174" s="121"/>
      <c r="Q174" s="121"/>
      <c r="R174" s="121"/>
    </row>
    <row r="175" spans="1:19" ht="13.5" thickBot="1">
      <c r="F175" s="73" t="s">
        <v>107</v>
      </c>
      <c r="G175" s="130">
        <f>SUM(G171:G174)</f>
        <v>0</v>
      </c>
      <c r="J175" s="130">
        <f>SUM(J171:J174)</f>
        <v>0</v>
      </c>
      <c r="K175" s="130">
        <f>SUM(K171:K174)</f>
        <v>0</v>
      </c>
      <c r="P175" s="121"/>
      <c r="Q175" s="121"/>
      <c r="R175" s="121"/>
    </row>
    <row r="176" spans="1:19" ht="13.5" thickTop="1">
      <c r="F176" s="73"/>
      <c r="G176" s="103"/>
      <c r="J176" s="103"/>
      <c r="K176" s="103"/>
      <c r="P176" s="121"/>
      <c r="Q176" s="121"/>
      <c r="R176" s="121"/>
    </row>
    <row r="177" spans="1:33" ht="13.5" thickBot="1">
      <c r="A177" s="95" t="s">
        <v>167</v>
      </c>
      <c r="G177" s="130">
        <f>G164+G175</f>
        <v>0</v>
      </c>
      <c r="J177" s="130">
        <f>J164+J175</f>
        <v>0</v>
      </c>
      <c r="K177" s="130">
        <f>K164+K175</f>
        <v>0</v>
      </c>
      <c r="P177" s="121"/>
      <c r="Q177" s="121"/>
      <c r="R177" s="121"/>
    </row>
    <row r="178" spans="1:33" ht="13.5" thickTop="1">
      <c r="A178" s="95"/>
      <c r="G178" s="103"/>
      <c r="J178" s="103"/>
      <c r="K178" s="103"/>
      <c r="P178" s="121"/>
      <c r="Q178" s="121"/>
      <c r="R178" s="121"/>
    </row>
    <row r="179" spans="1:33">
      <c r="A179" s="183" t="s">
        <v>131</v>
      </c>
      <c r="B179" s="267"/>
      <c r="C179" s="267"/>
      <c r="D179" s="267"/>
      <c r="E179" s="267"/>
      <c r="F179" s="164"/>
      <c r="G179" s="103"/>
      <c r="H179" s="181"/>
      <c r="I179" s="121"/>
      <c r="J179" s="103"/>
      <c r="K179" s="103"/>
      <c r="O179" s="121"/>
      <c r="P179" s="121"/>
      <c r="Q179" s="121"/>
      <c r="R179" s="121"/>
    </row>
    <row r="180" spans="1:33">
      <c r="A180" s="113"/>
      <c r="B180" s="267"/>
      <c r="C180" s="267"/>
      <c r="D180" s="267"/>
      <c r="E180" s="267"/>
      <c r="F180" s="164"/>
      <c r="G180" s="103"/>
      <c r="H180" s="181"/>
      <c r="I180" s="121"/>
      <c r="J180" s="103"/>
      <c r="K180" s="103"/>
      <c r="O180" s="121"/>
      <c r="P180" s="121"/>
      <c r="Q180" s="121"/>
      <c r="R180" s="121"/>
    </row>
    <row r="181" spans="1:33">
      <c r="A181" s="88" t="s">
        <v>152</v>
      </c>
      <c r="H181" s="176" t="e">
        <f>VLOOKUP(F181,$O$3:$P$14,2)</f>
        <v>#N/A</v>
      </c>
      <c r="I181" s="101">
        <v>1.3083000000000001E-3</v>
      </c>
      <c r="J181" s="123" t="e">
        <f t="shared" ref="J181" si="37">ROUND(G181*H181*I181,2)</f>
        <v>#N/A</v>
      </c>
      <c r="K181" s="123">
        <f t="shared" ref="K181" si="38">ROUND(G181*I181*12,2)</f>
        <v>0</v>
      </c>
      <c r="O181" s="121"/>
      <c r="P181" s="121"/>
      <c r="Q181" s="121"/>
      <c r="R181" s="121"/>
    </row>
    <row r="182" spans="1:33">
      <c r="O182" s="121"/>
      <c r="P182" s="121"/>
      <c r="Q182" s="121"/>
      <c r="R182" s="121"/>
    </row>
    <row r="183" spans="1:33">
      <c r="A183" s="81" t="s">
        <v>86</v>
      </c>
      <c r="B183" s="81" t="s">
        <v>87</v>
      </c>
      <c r="C183" s="81" t="s">
        <v>88</v>
      </c>
      <c r="D183" s="81" t="s">
        <v>104</v>
      </c>
      <c r="E183" s="81"/>
      <c r="F183" s="146" t="s">
        <v>121</v>
      </c>
      <c r="G183" s="90" t="s">
        <v>121</v>
      </c>
      <c r="H183" s="177"/>
      <c r="I183" s="81" t="s">
        <v>91</v>
      </c>
      <c r="J183" s="90" t="s">
        <v>92</v>
      </c>
      <c r="K183" s="90" t="s">
        <v>93</v>
      </c>
      <c r="O183" s="121"/>
      <c r="P183" s="121"/>
      <c r="Q183" s="121"/>
      <c r="R183" s="121"/>
    </row>
    <row r="184" spans="1:33">
      <c r="A184" s="86" t="s">
        <v>94</v>
      </c>
      <c r="B184" s="96" t="s">
        <v>95</v>
      </c>
      <c r="C184" s="96" t="s">
        <v>96</v>
      </c>
      <c r="D184" s="96" t="s">
        <v>122</v>
      </c>
      <c r="E184" s="96" t="s">
        <v>97</v>
      </c>
      <c r="F184" s="150" t="s">
        <v>98</v>
      </c>
      <c r="G184" s="98" t="s">
        <v>99</v>
      </c>
      <c r="H184" s="179" t="s">
        <v>100</v>
      </c>
      <c r="I184" s="96" t="s">
        <v>101</v>
      </c>
      <c r="J184" s="98" t="s">
        <v>123</v>
      </c>
      <c r="K184" s="98" t="s">
        <v>102</v>
      </c>
      <c r="O184" s="121"/>
      <c r="P184" s="121"/>
      <c r="Q184" s="121"/>
      <c r="R184" s="121"/>
    </row>
    <row r="185" spans="1:33">
      <c r="A185" s="332" t="s">
        <v>318</v>
      </c>
      <c r="B185" s="333" t="s">
        <v>1008</v>
      </c>
      <c r="C185" s="257" t="s">
        <v>331</v>
      </c>
      <c r="D185" s="333" t="s">
        <v>1008</v>
      </c>
      <c r="E185" s="332" t="s">
        <v>1009</v>
      </c>
      <c r="F185" s="333">
        <v>201611</v>
      </c>
      <c r="G185" s="334">
        <v>-1524.77</v>
      </c>
      <c r="H185" s="126">
        <f>VLOOKUP(F185,Additions!$N$5:$O$49,2)</f>
        <v>5.5</v>
      </c>
      <c r="I185" s="332">
        <v>1.3083000000000001E-3</v>
      </c>
      <c r="J185" s="398">
        <f t="shared" ref="J185" si="39">ROUND(G185*H185*I185,2)</f>
        <v>-10.97</v>
      </c>
      <c r="K185" s="334">
        <f t="shared" ref="K185" si="40">ROUND(G185*I185*12,2)</f>
        <v>-23.94</v>
      </c>
      <c r="L185" s="288"/>
      <c r="O185" s="121"/>
      <c r="P185" s="121"/>
      <c r="Q185" s="121"/>
      <c r="R185" s="121"/>
      <c r="S185" s="101">
        <f>IF(F185&lt;=$S$1,$U$5,$U$6)</f>
        <v>2017</v>
      </c>
    </row>
    <row r="186" spans="1:33">
      <c r="A186" s="332"/>
      <c r="B186" s="333"/>
      <c r="C186" s="429"/>
      <c r="D186" s="333"/>
      <c r="E186" s="332"/>
      <c r="F186" s="333"/>
      <c r="G186" s="334"/>
      <c r="H186" s="126"/>
      <c r="I186" s="332"/>
      <c r="J186" s="398"/>
      <c r="K186" s="334"/>
      <c r="L186" s="288"/>
      <c r="O186" s="121"/>
      <c r="P186" s="121"/>
      <c r="Q186" s="121"/>
      <c r="R186" s="121"/>
      <c r="S186" s="559">
        <f t="shared" ref="S186:S188" si="41">IF(F186&lt;=$S$1,$U$5,$U$6)</f>
        <v>2016</v>
      </c>
    </row>
    <row r="187" spans="1:33">
      <c r="A187" s="332"/>
      <c r="B187" s="333"/>
      <c r="C187" s="429"/>
      <c r="D187" s="333"/>
      <c r="E187" s="332"/>
      <c r="F187" s="333"/>
      <c r="G187" s="334"/>
      <c r="H187" s="126"/>
      <c r="I187" s="332"/>
      <c r="J187" s="398"/>
      <c r="K187" s="334"/>
      <c r="L187" s="288"/>
      <c r="O187" s="121"/>
      <c r="P187" s="121"/>
      <c r="Q187" s="121"/>
      <c r="R187" s="121"/>
      <c r="S187" s="559">
        <f t="shared" si="41"/>
        <v>2016</v>
      </c>
    </row>
    <row r="188" spans="1:33">
      <c r="A188" s="332"/>
      <c r="B188" s="333"/>
      <c r="C188" s="257"/>
      <c r="D188" s="333"/>
      <c r="E188" s="332"/>
      <c r="F188" s="333"/>
      <c r="G188" s="334"/>
      <c r="H188" s="590"/>
      <c r="I188" s="332"/>
      <c r="J188" s="398"/>
      <c r="K188" s="334"/>
      <c r="L188" s="288"/>
      <c r="O188" s="121"/>
      <c r="P188" s="121"/>
      <c r="Q188" s="121"/>
      <c r="R188" s="121"/>
      <c r="S188" s="559">
        <f t="shared" si="41"/>
        <v>2016</v>
      </c>
    </row>
    <row r="189" spans="1:33" s="559" customFormat="1">
      <c r="A189" s="521"/>
      <c r="B189" s="522"/>
      <c r="C189" s="490"/>
      <c r="D189" s="522"/>
      <c r="E189" s="521"/>
      <c r="F189" s="522"/>
      <c r="G189" s="523"/>
      <c r="H189" s="590"/>
      <c r="I189" s="521"/>
      <c r="J189" s="491"/>
      <c r="K189" s="523"/>
      <c r="L189" s="288"/>
      <c r="O189" s="440"/>
      <c r="P189" s="440"/>
      <c r="Q189" s="440"/>
      <c r="R189" s="440"/>
      <c r="S189" s="559">
        <f t="shared" ref="S189:S190" si="42">IF(F189&lt;=$S$1,$U$5,$U$6)</f>
        <v>2016</v>
      </c>
    </row>
    <row r="190" spans="1:33">
      <c r="A190" s="481"/>
      <c r="B190" s="485"/>
      <c r="C190" s="587"/>
      <c r="D190" s="485"/>
      <c r="E190" s="481"/>
      <c r="F190" s="485"/>
      <c r="G190" s="482"/>
      <c r="H190" s="590"/>
      <c r="I190" s="481"/>
      <c r="J190" s="491"/>
      <c r="K190" s="523"/>
      <c r="L190" s="288"/>
      <c r="M190" s="559"/>
      <c r="N190" s="559"/>
      <c r="O190" s="440"/>
      <c r="P190" s="440"/>
      <c r="Q190" s="440"/>
      <c r="R190" s="440"/>
      <c r="S190" s="559">
        <f t="shared" si="42"/>
        <v>2016</v>
      </c>
      <c r="W190" s="404" t="s">
        <v>318</v>
      </c>
      <c r="X190" s="728" t="s">
        <v>725</v>
      </c>
      <c r="Y190" s="729" t="s">
        <v>331</v>
      </c>
      <c r="Z190" s="728" t="s">
        <v>725</v>
      </c>
      <c r="AA190" s="404" t="s">
        <v>726</v>
      </c>
      <c r="AB190" s="728">
        <v>201510</v>
      </c>
      <c r="AC190" s="483">
        <v>-3034.77</v>
      </c>
      <c r="AD190" s="730">
        <f>VLOOKUP(AB190,Additions!$N$5:$O$37,2,FALSE)</f>
        <v>18.5</v>
      </c>
      <c r="AE190" s="404">
        <v>1.3083000000000001E-3</v>
      </c>
      <c r="AF190" s="731">
        <f t="shared" ref="AF190" si="43">ROUND(AC190*AD190*AE190,2)</f>
        <v>-73.45</v>
      </c>
      <c r="AG190" s="483">
        <f t="shared" ref="AG190" si="44">ROUND(AC190*AE190*12,2)</f>
        <v>-47.64</v>
      </c>
    </row>
    <row r="191" spans="1:33" s="559" customFormat="1">
      <c r="A191" s="481"/>
      <c r="B191" s="485"/>
      <c r="C191" s="587"/>
      <c r="D191" s="485"/>
      <c r="E191" s="481"/>
      <c r="F191" s="485"/>
      <c r="G191" s="482"/>
      <c r="H191" s="590"/>
      <c r="I191" s="481"/>
      <c r="J191" s="491"/>
      <c r="K191" s="523"/>
      <c r="L191" s="288"/>
      <c r="O191" s="440"/>
      <c r="P191" s="440"/>
      <c r="Q191" s="440"/>
      <c r="R191" s="440"/>
      <c r="W191" s="743"/>
      <c r="X191" s="768"/>
      <c r="Y191" s="769"/>
      <c r="Z191" s="768"/>
      <c r="AA191" s="743"/>
      <c r="AB191" s="768"/>
      <c r="AC191" s="714"/>
      <c r="AD191" s="770"/>
      <c r="AE191" s="743"/>
      <c r="AF191" s="714"/>
      <c r="AG191" s="714"/>
    </row>
    <row r="192" spans="1:33" s="559" customFormat="1">
      <c r="A192" s="481"/>
      <c r="B192" s="485"/>
      <c r="C192" s="587"/>
      <c r="D192" s="485"/>
      <c r="E192" s="481"/>
      <c r="F192" s="485"/>
      <c r="G192" s="482"/>
      <c r="H192" s="590"/>
      <c r="I192" s="481"/>
      <c r="J192" s="491"/>
      <c r="K192" s="523"/>
      <c r="L192" s="288"/>
      <c r="O192" s="440"/>
      <c r="P192" s="440"/>
      <c r="Q192" s="440"/>
      <c r="R192" s="440"/>
      <c r="W192" s="743"/>
      <c r="X192" s="768"/>
      <c r="Y192" s="769"/>
      <c r="Z192" s="768"/>
      <c r="AA192" s="743"/>
      <c r="AB192" s="768"/>
      <c r="AC192" s="714"/>
      <c r="AD192" s="770"/>
      <c r="AE192" s="743"/>
      <c r="AF192" s="714"/>
      <c r="AG192" s="714"/>
    </row>
    <row r="193" spans="1:33" s="559" customFormat="1">
      <c r="A193" s="481"/>
      <c r="B193" s="485"/>
      <c r="C193" s="587"/>
      <c r="D193" s="485"/>
      <c r="E193" s="481"/>
      <c r="F193" s="485"/>
      <c r="G193" s="482"/>
      <c r="H193" s="590"/>
      <c r="I193" s="481"/>
      <c r="J193" s="491"/>
      <c r="K193" s="523"/>
      <c r="L193" s="288"/>
      <c r="O193" s="440"/>
      <c r="P193" s="440"/>
      <c r="Q193" s="440"/>
      <c r="R193" s="440"/>
      <c r="W193" s="743"/>
      <c r="X193" s="768"/>
      <c r="Y193" s="769"/>
      <c r="Z193" s="768"/>
      <c r="AA193" s="743"/>
      <c r="AB193" s="768"/>
      <c r="AC193" s="714"/>
      <c r="AD193" s="770"/>
      <c r="AE193" s="743"/>
      <c r="AF193" s="714"/>
      <c r="AG193" s="714"/>
    </row>
    <row r="194" spans="1:33" s="559" customFormat="1">
      <c r="A194" s="481"/>
      <c r="B194" s="485"/>
      <c r="C194" s="587"/>
      <c r="D194" s="485"/>
      <c r="E194" s="481"/>
      <c r="F194" s="485"/>
      <c r="G194" s="482"/>
      <c r="H194" s="590"/>
      <c r="I194" s="481"/>
      <c r="J194" s="491"/>
      <c r="K194" s="523"/>
      <c r="L194" s="288"/>
      <c r="O194" s="440"/>
      <c r="P194" s="440"/>
      <c r="Q194" s="440"/>
      <c r="R194" s="440"/>
      <c r="W194" s="743"/>
      <c r="X194" s="768"/>
      <c r="Y194" s="769"/>
      <c r="Z194" s="768"/>
      <c r="AA194" s="743"/>
      <c r="AB194" s="768"/>
      <c r="AC194" s="714"/>
      <c r="AD194" s="770"/>
      <c r="AE194" s="743"/>
      <c r="AF194" s="714"/>
      <c r="AG194" s="714"/>
    </row>
    <row r="195" spans="1:33">
      <c r="A195" s="110"/>
      <c r="B195" s="108"/>
      <c r="C195" s="108"/>
      <c r="D195" s="108"/>
      <c r="E195" s="126"/>
      <c r="F195" s="159"/>
      <c r="G195" s="82"/>
      <c r="H195" s="126"/>
      <c r="I195" s="126"/>
      <c r="J195" s="398"/>
      <c r="K195" s="82"/>
      <c r="O195" s="121"/>
      <c r="P195" s="121"/>
      <c r="Q195" s="121"/>
      <c r="R195" s="121"/>
    </row>
    <row r="196" spans="1:33">
      <c r="A196" s="113"/>
      <c r="B196" s="267"/>
      <c r="C196" s="267"/>
      <c r="D196" s="267"/>
      <c r="E196" s="267"/>
      <c r="F196" s="164"/>
      <c r="G196" s="129"/>
      <c r="H196" s="181"/>
      <c r="I196" s="121"/>
      <c r="J196" s="129"/>
      <c r="K196" s="129"/>
      <c r="O196" s="121"/>
    </row>
    <row r="197" spans="1:33" ht="13.5" thickBot="1">
      <c r="A197" s="95" t="s">
        <v>132</v>
      </c>
      <c r="F197" s="73" t="s">
        <v>107</v>
      </c>
      <c r="G197" s="130">
        <f>SUM(G185:G196)</f>
        <v>-1524.77</v>
      </c>
      <c r="J197" s="130">
        <f>SUM(J185:J196)</f>
        <v>-10.97</v>
      </c>
      <c r="K197" s="130">
        <f>SUM(K185:K196)</f>
        <v>-23.94</v>
      </c>
    </row>
    <row r="198" spans="1:33" ht="13.5" thickTop="1">
      <c r="B198" s="186"/>
    </row>
    <row r="199" spans="1:33">
      <c r="A199" s="88" t="s">
        <v>133</v>
      </c>
    </row>
    <row r="201" spans="1:33">
      <c r="A201" s="81" t="s">
        <v>86</v>
      </c>
      <c r="B201" s="81" t="s">
        <v>87</v>
      </c>
      <c r="C201" s="81" t="s">
        <v>88</v>
      </c>
      <c r="D201" s="81" t="s">
        <v>104</v>
      </c>
      <c r="E201" s="81"/>
      <c r="F201" s="146" t="s">
        <v>121</v>
      </c>
      <c r="G201" s="90" t="s">
        <v>121</v>
      </c>
      <c r="H201" s="177"/>
      <c r="I201" s="81" t="s">
        <v>91</v>
      </c>
      <c r="J201" s="90" t="s">
        <v>92</v>
      </c>
      <c r="K201" s="90" t="s">
        <v>93</v>
      </c>
    </row>
    <row r="202" spans="1:33">
      <c r="A202" s="86" t="s">
        <v>94</v>
      </c>
      <c r="B202" s="96" t="s">
        <v>95</v>
      </c>
      <c r="C202" s="96" t="s">
        <v>96</v>
      </c>
      <c r="D202" s="96" t="s">
        <v>122</v>
      </c>
      <c r="E202" s="96" t="s">
        <v>97</v>
      </c>
      <c r="F202" s="150" t="s">
        <v>98</v>
      </c>
      <c r="G202" s="98" t="s">
        <v>99</v>
      </c>
      <c r="H202" s="179" t="s">
        <v>100</v>
      </c>
      <c r="I202" s="96" t="s">
        <v>101</v>
      </c>
      <c r="J202" s="98" t="s">
        <v>123</v>
      </c>
      <c r="K202" s="98" t="s">
        <v>134</v>
      </c>
    </row>
    <row r="203" spans="1:33">
      <c r="A203" s="332"/>
      <c r="B203" s="436"/>
      <c r="C203" s="257"/>
      <c r="D203" s="324"/>
      <c r="E203" s="255"/>
      <c r="F203" s="333"/>
      <c r="G203" s="334"/>
      <c r="H203" s="126"/>
      <c r="I203" s="381"/>
      <c r="J203" s="398">
        <f>ROUND(G203*H203*I203,2)</f>
        <v>0</v>
      </c>
      <c r="K203" s="334">
        <f>ROUND(G203*I203*12,2)</f>
        <v>0</v>
      </c>
      <c r="L203" s="288"/>
      <c r="O203" s="121"/>
      <c r="P203" s="121"/>
      <c r="Q203" s="121"/>
      <c r="R203" s="121"/>
      <c r="S203" s="101">
        <f>IF(F203&lt;=$S$1,$U$5,$U$6)</f>
        <v>2016</v>
      </c>
    </row>
    <row r="204" spans="1:33">
      <c r="A204" s="332"/>
      <c r="B204" s="333"/>
      <c r="C204" s="257"/>
      <c r="D204" s="333"/>
      <c r="E204" s="332"/>
      <c r="F204" s="333"/>
      <c r="G204" s="334"/>
      <c r="H204" s="126"/>
      <c r="I204" s="381"/>
      <c r="J204" s="398">
        <f>ROUND(G204*H204*I204,2)</f>
        <v>0</v>
      </c>
      <c r="K204" s="334">
        <f>ROUND(G204*I204*12,2)</f>
        <v>0</v>
      </c>
      <c r="L204" s="288"/>
      <c r="O204" s="121"/>
      <c r="P204" s="121"/>
      <c r="Q204" s="121"/>
      <c r="R204" s="121"/>
      <c r="S204" s="101">
        <f>IF(F204&lt;=$S$1,$U$5,$U$6)</f>
        <v>2016</v>
      </c>
    </row>
    <row r="205" spans="1:33">
      <c r="A205" s="107"/>
      <c r="B205" s="108"/>
      <c r="C205" s="108"/>
      <c r="D205" s="108"/>
      <c r="E205" s="126"/>
      <c r="F205" s="159"/>
      <c r="G205" s="82"/>
      <c r="H205" s="126"/>
      <c r="I205" s="126"/>
      <c r="J205" s="398"/>
      <c r="K205" s="334"/>
      <c r="L205" s="288"/>
      <c r="O205" s="121"/>
      <c r="P205" s="121"/>
      <c r="Q205" s="121"/>
      <c r="R205" s="121"/>
      <c r="S205" s="101">
        <f>IF(F205&lt;=$S$1,$U$5,$U$6)</f>
        <v>2016</v>
      </c>
    </row>
    <row r="206" spans="1:33">
      <c r="A206" s="113"/>
      <c r="B206" s="267"/>
      <c r="C206" s="267"/>
      <c r="D206" s="267"/>
      <c r="E206" s="267"/>
      <c r="F206" s="164"/>
      <c r="G206" s="129"/>
      <c r="H206" s="181"/>
      <c r="I206" s="121"/>
      <c r="J206" s="129"/>
      <c r="K206" s="129"/>
    </row>
    <row r="207" spans="1:33" ht="13.5" thickBot="1">
      <c r="A207" s="95" t="s">
        <v>135</v>
      </c>
      <c r="F207" s="73" t="s">
        <v>107</v>
      </c>
      <c r="G207" s="130">
        <f>SUM(G203:G206)</f>
        <v>0</v>
      </c>
      <c r="J207" s="130">
        <f>SUM(J203:J206)</f>
        <v>0</v>
      </c>
      <c r="K207" s="130">
        <f>SUM(K203:K206)</f>
        <v>0</v>
      </c>
    </row>
    <row r="208" spans="1:33" ht="13.5" thickTop="1"/>
    <row r="209" spans="1:19">
      <c r="A209" s="88" t="s">
        <v>136</v>
      </c>
    </row>
    <row r="211" spans="1:19">
      <c r="A211" s="81" t="s">
        <v>86</v>
      </c>
      <c r="B211" s="81" t="s">
        <v>87</v>
      </c>
      <c r="C211" s="81" t="s">
        <v>88</v>
      </c>
      <c r="D211" s="81" t="s">
        <v>104</v>
      </c>
      <c r="E211" s="81"/>
      <c r="F211" s="146" t="s">
        <v>121</v>
      </c>
      <c r="G211" s="90" t="s">
        <v>121</v>
      </c>
      <c r="H211" s="177"/>
      <c r="I211" s="81" t="s">
        <v>91</v>
      </c>
      <c r="J211" s="90" t="s">
        <v>92</v>
      </c>
      <c r="K211" s="90" t="s">
        <v>93</v>
      </c>
    </row>
    <row r="212" spans="1:19">
      <c r="A212" s="86" t="s">
        <v>94</v>
      </c>
      <c r="B212" s="96" t="s">
        <v>95</v>
      </c>
      <c r="C212" s="96" t="s">
        <v>96</v>
      </c>
      <c r="D212" s="96" t="s">
        <v>122</v>
      </c>
      <c r="E212" s="96" t="s">
        <v>97</v>
      </c>
      <c r="F212" s="150" t="s">
        <v>98</v>
      </c>
      <c r="G212" s="98" t="s">
        <v>99</v>
      </c>
      <c r="H212" s="179" t="s">
        <v>100</v>
      </c>
      <c r="I212" s="96" t="s">
        <v>101</v>
      </c>
      <c r="J212" s="98" t="s">
        <v>123</v>
      </c>
      <c r="K212" s="98" t="s">
        <v>102</v>
      </c>
    </row>
    <row r="213" spans="1:19">
      <c r="A213" s="332"/>
      <c r="B213" s="333"/>
      <c r="C213" s="423"/>
      <c r="D213" s="333"/>
      <c r="E213" s="332"/>
      <c r="F213" s="333"/>
      <c r="G213" s="334"/>
      <c r="H213" s="126"/>
      <c r="I213" s="381"/>
      <c r="J213" s="398"/>
      <c r="K213" s="334"/>
      <c r="L213" s="288"/>
      <c r="S213" s="101">
        <f>IF(F213&lt;=$S$1,$U$5,$U$6)</f>
        <v>2016</v>
      </c>
    </row>
    <row r="214" spans="1:19">
      <c r="A214" s="332"/>
      <c r="B214" s="333"/>
      <c r="C214" s="429"/>
      <c r="D214" s="333"/>
      <c r="E214" s="332"/>
      <c r="F214" s="333"/>
      <c r="G214" s="334"/>
      <c r="H214" s="126"/>
      <c r="I214" s="381"/>
      <c r="J214" s="398"/>
      <c r="K214" s="334"/>
      <c r="L214" s="288"/>
      <c r="S214" s="101">
        <f>IF(F214&lt;=$S$1,$U$5,$U$6)</f>
        <v>2016</v>
      </c>
    </row>
    <row r="215" spans="1:19">
      <c r="A215" s="332"/>
      <c r="B215" s="333"/>
      <c r="C215" s="429"/>
      <c r="D215" s="333"/>
      <c r="E215" s="332"/>
      <c r="F215" s="333"/>
      <c r="G215" s="334"/>
      <c r="H215" s="126"/>
      <c r="I215" s="381"/>
      <c r="J215" s="398"/>
      <c r="K215" s="334"/>
      <c r="L215" s="288"/>
      <c r="S215" s="101">
        <f>IF(F215&lt;=$S$1,$U$5,$U$6)</f>
        <v>2016</v>
      </c>
    </row>
    <row r="216" spans="1:19">
      <c r="A216" s="332"/>
      <c r="B216" s="333"/>
      <c r="C216" s="257"/>
      <c r="D216" s="333"/>
      <c r="E216" s="332"/>
      <c r="F216" s="333"/>
      <c r="G216" s="334"/>
      <c r="H216" s="590"/>
      <c r="I216" s="381"/>
      <c r="J216" s="398"/>
      <c r="K216" s="334"/>
      <c r="L216" s="288"/>
      <c r="S216" s="101">
        <f>IF(F216&lt;=$S$1,$U$5,$U$6)</f>
        <v>2016</v>
      </c>
    </row>
    <row r="217" spans="1:19">
      <c r="A217" s="332"/>
      <c r="B217" s="333"/>
      <c r="C217" s="257"/>
      <c r="D217" s="333"/>
      <c r="E217" s="332"/>
      <c r="F217" s="333"/>
      <c r="G217" s="334"/>
      <c r="H217" s="590"/>
      <c r="I217" s="381"/>
      <c r="J217" s="398"/>
      <c r="K217" s="334"/>
      <c r="L217" s="288"/>
      <c r="S217" s="101">
        <f t="shared" ref="S217" si="45">IF(F217&lt;=$S$1,$U$5,$U$6)</f>
        <v>2016</v>
      </c>
    </row>
    <row r="218" spans="1:19">
      <c r="A218" s="255"/>
      <c r="B218" s="402"/>
      <c r="C218" s="333"/>
      <c r="D218" s="333"/>
      <c r="E218" s="332"/>
      <c r="F218" s="333"/>
      <c r="G218" s="334"/>
      <c r="H218" s="126"/>
      <c r="I218" s="381"/>
      <c r="J218" s="398"/>
      <c r="K218" s="334"/>
      <c r="L218" s="288"/>
      <c r="S218" s="101">
        <f t="shared" ref="S218" si="46">IF(F218&lt;=$S$1,$U$5,$U$6)</f>
        <v>2016</v>
      </c>
    </row>
    <row r="219" spans="1:19">
      <c r="A219" s="113"/>
      <c r="B219" s="267"/>
      <c r="C219" s="267"/>
      <c r="D219" s="267"/>
      <c r="E219" s="267"/>
      <c r="F219" s="164"/>
      <c r="G219" s="129"/>
      <c r="H219" s="181"/>
      <c r="I219" s="121"/>
      <c r="J219" s="129"/>
      <c r="K219" s="129"/>
    </row>
    <row r="220" spans="1:19" ht="13.5" thickBot="1">
      <c r="A220" s="95" t="s">
        <v>137</v>
      </c>
      <c r="F220" s="73" t="s">
        <v>107</v>
      </c>
      <c r="G220" s="130">
        <f>SUM(G213:G219)</f>
        <v>0</v>
      </c>
      <c r="J220" s="130">
        <f>SUM(J213:J219)</f>
        <v>0</v>
      </c>
      <c r="K220" s="130">
        <f>SUM(K213:K219)</f>
        <v>0</v>
      </c>
    </row>
    <row r="221" spans="1:19" ht="13.5" thickTop="1">
      <c r="B221" s="186"/>
    </row>
    <row r="222" spans="1:19">
      <c r="A222" s="88" t="s">
        <v>219</v>
      </c>
    </row>
    <row r="223" spans="1:19" ht="15.75" customHeight="1"/>
    <row r="224" spans="1:19">
      <c r="A224" s="107"/>
      <c r="B224" s="108"/>
      <c r="C224" s="108" t="s">
        <v>218</v>
      </c>
      <c r="D224" s="108"/>
      <c r="E224" s="108" t="s">
        <v>219</v>
      </c>
      <c r="F224" s="159">
        <v>201407</v>
      </c>
      <c r="G224" s="110"/>
      <c r="H224" s="126"/>
      <c r="I224" s="168"/>
      <c r="J224" s="82">
        <f>ROUND(G224*H224*I224,2)</f>
        <v>0</v>
      </c>
      <c r="K224" s="82">
        <f>ROUND(G224*I224*12,2)</f>
        <v>0</v>
      </c>
      <c r="S224" s="101">
        <f t="shared" ref="S224:S225" si="47">IF(F224&lt;=$S$1,$U$5,$U$6)</f>
        <v>2016</v>
      </c>
    </row>
    <row r="225" spans="1:19">
      <c r="A225" s="107"/>
      <c r="B225" s="108"/>
      <c r="C225" s="108" t="s">
        <v>218</v>
      </c>
      <c r="D225" s="108"/>
      <c r="E225" s="108" t="s">
        <v>219</v>
      </c>
      <c r="F225" s="159">
        <v>201408</v>
      </c>
      <c r="G225" s="110"/>
      <c r="H225" s="126"/>
      <c r="I225" s="168"/>
      <c r="J225" s="82">
        <f>ROUND(G225*H225*I225,2)</f>
        <v>0</v>
      </c>
      <c r="K225" s="82">
        <f>ROUND(G225*I225*12,2)</f>
        <v>0</v>
      </c>
      <c r="S225" s="101">
        <f t="shared" si="47"/>
        <v>2016</v>
      </c>
    </row>
    <row r="226" spans="1:19">
      <c r="A226" s="101"/>
      <c r="B226" s="101"/>
      <c r="C226" s="101"/>
      <c r="D226" s="101"/>
      <c r="G226" s="101"/>
      <c r="H226" s="101"/>
      <c r="J226" s="101"/>
      <c r="K226" s="101"/>
    </row>
    <row r="227" spans="1:19" ht="13.5" thickBot="1">
      <c r="A227" s="95" t="s">
        <v>220</v>
      </c>
      <c r="F227" s="73" t="s">
        <v>107</v>
      </c>
      <c r="G227" s="130">
        <f>SUM(G224:G225)</f>
        <v>0</v>
      </c>
      <c r="J227" s="130">
        <f>SUM(J224:J225)</f>
        <v>0</v>
      </c>
      <c r="K227" s="130">
        <f>SUM(K224:K225)</f>
        <v>0</v>
      </c>
    </row>
    <row r="228" spans="1:19" ht="13.5" thickTop="1">
      <c r="B228" s="186"/>
    </row>
    <row r="229" spans="1:19" ht="13.5" thickBot="1">
      <c r="A229" s="95" t="s">
        <v>138</v>
      </c>
      <c r="G229" s="130">
        <f>+G197+G207+G220+G227</f>
        <v>-1524.77</v>
      </c>
      <c r="J229" s="130">
        <f>+J197+J207+J220+J227</f>
        <v>-10.97</v>
      </c>
      <c r="K229" s="130">
        <f>+K197+K207+K220+K227</f>
        <v>-23.94</v>
      </c>
    </row>
    <row r="230" spans="1:19" ht="13.5" thickTop="1">
      <c r="G230" s="253"/>
      <c r="H230" s="101"/>
    </row>
    <row r="231" spans="1:19" ht="13.5" thickBot="1">
      <c r="A231" s="95" t="s">
        <v>139</v>
      </c>
      <c r="G231" s="130">
        <f>+G229+G177+G143+G53</f>
        <v>-924541.74</v>
      </c>
      <c r="J231" s="130">
        <f>+J229+J177+J143+J53</f>
        <v>-12139.36</v>
      </c>
      <c r="K231" s="130">
        <f>+K229+K177+K143+K53</f>
        <v>-33992.33</v>
      </c>
    </row>
    <row r="232" spans="1:19" ht="13.5" thickTop="1"/>
    <row r="233" spans="1:19">
      <c r="G233" s="123">
        <f>+G229+G53</f>
        <v>-143225.9</v>
      </c>
    </row>
    <row r="235" spans="1:19">
      <c r="G235" s="176"/>
      <c r="H235" s="123"/>
    </row>
    <row r="237" spans="1:19">
      <c r="G237" s="123">
        <f>+G229+G53</f>
        <v>-143225.9</v>
      </c>
      <c r="K237" s="123">
        <f>+K229+K53</f>
        <v>-2973.86</v>
      </c>
    </row>
  </sheetData>
  <phoneticPr fontId="10" type="noConversion"/>
  <printOptions horizontalCentered="1"/>
  <pageMargins left="0.35" right="0.35" top="0.5" bottom="1" header="0.5" footer="0.5"/>
  <pageSetup scale="72" fitToHeight="0" orientation="landscape" r:id="rId1"/>
  <headerFooter alignWithMargins="0">
    <oddFooter>&amp;R&amp;"Arial,Bold"APPENDIX A
SCHEDULE 2
PAGE &amp;P OF &amp;N</oddFooter>
  </headerFooter>
  <rowBreaks count="2" manualBreakCount="2">
    <brk id="165" max="10" man="1"/>
    <brk id="208"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752"/>
  <sheetViews>
    <sheetView workbookViewId="0">
      <selection activeCell="B4250" sqref="B4250"/>
    </sheetView>
  </sheetViews>
  <sheetFormatPr defaultColWidth="9.140625" defaultRowHeight="12.75"/>
  <cols>
    <col min="1" max="1" width="21.85546875" style="101" customWidth="1"/>
    <col min="2" max="2" width="11.140625" style="101" customWidth="1"/>
    <col min="3" max="3" width="10.140625" style="101" customWidth="1"/>
    <col min="4" max="4" width="41.85546875" style="102" bestFit="1" customWidth="1"/>
    <col min="5" max="5" width="14" style="152" customWidth="1"/>
    <col min="6" max="6" width="18.7109375" style="101" customWidth="1"/>
    <col min="7" max="7" width="10.42578125" style="153" customWidth="1"/>
    <col min="8" max="8" width="11.140625" style="101" customWidth="1"/>
    <col min="9" max="10" width="16.42578125" style="101" customWidth="1"/>
    <col min="11" max="16" width="9.140625" style="101"/>
    <col min="17" max="17" width="10.7109375" style="101" customWidth="1"/>
    <col min="18" max="16384" width="9.140625" style="101"/>
  </cols>
  <sheetData>
    <row r="1" spans="1:19">
      <c r="A1" s="67" t="s">
        <v>85</v>
      </c>
      <c r="Q1" s="154">
        <v>201509</v>
      </c>
    </row>
    <row r="3" spans="1:19">
      <c r="A3" s="81" t="s">
        <v>86</v>
      </c>
      <c r="B3" s="81" t="s">
        <v>87</v>
      </c>
      <c r="C3" s="81" t="s">
        <v>88</v>
      </c>
      <c r="D3" s="81"/>
      <c r="E3" s="146" t="s">
        <v>89</v>
      </c>
      <c r="F3" s="81" t="s">
        <v>90</v>
      </c>
      <c r="G3" s="147"/>
      <c r="H3" s="81" t="s">
        <v>91</v>
      </c>
      <c r="I3" s="81" t="s">
        <v>92</v>
      </c>
      <c r="J3" s="81" t="s">
        <v>93</v>
      </c>
      <c r="Q3" s="101" t="s">
        <v>214</v>
      </c>
    </row>
    <row r="4" spans="1:19">
      <c r="A4" s="86" t="s">
        <v>94</v>
      </c>
      <c r="B4" s="86" t="s">
        <v>95</v>
      </c>
      <c r="C4" s="86" t="s">
        <v>96</v>
      </c>
      <c r="D4" s="86" t="s">
        <v>97</v>
      </c>
      <c r="E4" s="148" t="s">
        <v>98</v>
      </c>
      <c r="F4" s="86" t="s">
        <v>99</v>
      </c>
      <c r="G4" s="149" t="s">
        <v>100</v>
      </c>
      <c r="H4" s="86" t="s">
        <v>101</v>
      </c>
      <c r="I4" s="86" t="s">
        <v>93</v>
      </c>
      <c r="J4" s="86" t="s">
        <v>102</v>
      </c>
      <c r="Q4" s="101" t="s">
        <v>215</v>
      </c>
    </row>
    <row r="5" spans="1:19">
      <c r="A5" s="332" t="s">
        <v>318</v>
      </c>
      <c r="B5" s="333" t="s">
        <v>627</v>
      </c>
      <c r="C5" s="423" t="s">
        <v>330</v>
      </c>
      <c r="D5" s="332" t="s">
        <v>628</v>
      </c>
      <c r="E5" s="333">
        <v>201601</v>
      </c>
      <c r="F5" s="334">
        <v>-191.51</v>
      </c>
      <c r="G5" s="332">
        <v>3</v>
      </c>
      <c r="H5" s="381">
        <v>1.3083000000000001E-3</v>
      </c>
      <c r="I5" s="334">
        <v>-0.75</v>
      </c>
      <c r="J5" s="393">
        <v>-3.01</v>
      </c>
      <c r="N5" s="126" t="s">
        <v>154</v>
      </c>
      <c r="O5" s="126" t="s">
        <v>155</v>
      </c>
      <c r="Q5" s="101">
        <f>IF(E5&lt;=$Q$1,$S$5,$S$6)</f>
        <v>2016</v>
      </c>
      <c r="R5" s="121"/>
      <c r="S5" s="101">
        <v>2015</v>
      </c>
    </row>
    <row r="6" spans="1:19">
      <c r="A6" s="332" t="s">
        <v>318</v>
      </c>
      <c r="B6" s="333" t="s">
        <v>320</v>
      </c>
      <c r="C6" s="423" t="s">
        <v>319</v>
      </c>
      <c r="D6" s="332" t="s">
        <v>321</v>
      </c>
      <c r="E6" s="333">
        <v>201601</v>
      </c>
      <c r="F6" s="334">
        <v>-445.09</v>
      </c>
      <c r="G6" s="332">
        <v>3</v>
      </c>
      <c r="H6" s="381">
        <v>1.3083000000000001E-3</v>
      </c>
      <c r="I6" s="334">
        <v>-1.75</v>
      </c>
      <c r="J6" s="393">
        <v>-6.99</v>
      </c>
      <c r="N6" s="159">
        <v>201309</v>
      </c>
      <c r="O6" s="126">
        <f t="shared" ref="O6:O33" si="0">+O7+1</f>
        <v>31</v>
      </c>
      <c r="Q6" s="101">
        <f t="shared" ref="Q6:Q39" si="1">IF(E6&lt;=$Q$1,$S$5,$S$6)</f>
        <v>2016</v>
      </c>
      <c r="S6" s="101">
        <v>2016</v>
      </c>
    </row>
    <row r="7" spans="1:19">
      <c r="A7" s="332" t="s">
        <v>318</v>
      </c>
      <c r="B7" s="333" t="s">
        <v>323</v>
      </c>
      <c r="C7" s="423" t="s">
        <v>319</v>
      </c>
      <c r="D7" s="332" t="s">
        <v>324</v>
      </c>
      <c r="E7" s="333">
        <v>201601</v>
      </c>
      <c r="F7" s="334">
        <v>32536.7</v>
      </c>
      <c r="G7" s="332">
        <v>3</v>
      </c>
      <c r="H7" s="381">
        <v>1.3083000000000001E-3</v>
      </c>
      <c r="I7" s="334">
        <v>127.7</v>
      </c>
      <c r="J7" s="393">
        <v>510.81</v>
      </c>
      <c r="N7" s="159">
        <v>201310</v>
      </c>
      <c r="O7" s="126">
        <f t="shared" si="0"/>
        <v>30</v>
      </c>
      <c r="Q7" s="101">
        <f t="shared" si="1"/>
        <v>2016</v>
      </c>
    </row>
    <row r="8" spans="1:19">
      <c r="A8" s="332" t="s">
        <v>322</v>
      </c>
      <c r="B8" s="333" t="s">
        <v>325</v>
      </c>
      <c r="C8" s="423" t="s">
        <v>319</v>
      </c>
      <c r="D8" s="332" t="s">
        <v>326</v>
      </c>
      <c r="E8" s="333">
        <v>201601</v>
      </c>
      <c r="F8" s="334">
        <v>28326.25</v>
      </c>
      <c r="G8" s="332">
        <v>3</v>
      </c>
      <c r="H8" s="381">
        <v>1.1999999999999999E-3</v>
      </c>
      <c r="I8" s="334">
        <v>101.97</v>
      </c>
      <c r="J8" s="393">
        <v>407.9</v>
      </c>
      <c r="N8" s="159">
        <v>201311</v>
      </c>
      <c r="O8" s="126">
        <f t="shared" si="0"/>
        <v>29</v>
      </c>
      <c r="Q8" s="101">
        <f t="shared" si="1"/>
        <v>2016</v>
      </c>
    </row>
    <row r="9" spans="1:19">
      <c r="A9" s="332" t="s">
        <v>318</v>
      </c>
      <c r="B9" s="333" t="s">
        <v>327</v>
      </c>
      <c r="C9" s="423" t="s">
        <v>319</v>
      </c>
      <c r="D9" s="332" t="s">
        <v>328</v>
      </c>
      <c r="E9" s="333">
        <v>201601</v>
      </c>
      <c r="F9" s="334">
        <v>110486.19</v>
      </c>
      <c r="G9" s="332">
        <v>3</v>
      </c>
      <c r="H9" s="336">
        <v>1.3083000000000001E-3</v>
      </c>
      <c r="I9" s="334">
        <v>433.65</v>
      </c>
      <c r="J9" s="393">
        <v>1734.59</v>
      </c>
      <c r="N9" s="159">
        <v>201312</v>
      </c>
      <c r="O9" s="126">
        <f t="shared" si="0"/>
        <v>28</v>
      </c>
      <c r="Q9" s="101">
        <f t="shared" si="1"/>
        <v>2016</v>
      </c>
    </row>
    <row r="10" spans="1:19">
      <c r="A10" s="332" t="s">
        <v>318</v>
      </c>
      <c r="B10" s="333" t="s">
        <v>589</v>
      </c>
      <c r="C10" s="423" t="s">
        <v>330</v>
      </c>
      <c r="D10" s="332" t="s">
        <v>590</v>
      </c>
      <c r="E10" s="333">
        <v>201601</v>
      </c>
      <c r="F10" s="334">
        <v>16.28</v>
      </c>
      <c r="G10" s="332">
        <v>3</v>
      </c>
      <c r="H10" s="336">
        <v>1.3083000000000001E-3</v>
      </c>
      <c r="I10" s="334">
        <v>0.06</v>
      </c>
      <c r="J10" s="393">
        <v>0.26</v>
      </c>
      <c r="N10" s="159">
        <v>201401</v>
      </c>
      <c r="O10" s="126">
        <f t="shared" si="0"/>
        <v>27</v>
      </c>
      <c r="Q10" s="101">
        <f t="shared" si="1"/>
        <v>2016</v>
      </c>
    </row>
    <row r="11" spans="1:19" ht="15">
      <c r="A11" s="332" t="s">
        <v>318</v>
      </c>
      <c r="B11" s="333" t="s">
        <v>589</v>
      </c>
      <c r="C11" s="424" t="s">
        <v>330</v>
      </c>
      <c r="D11" s="332" t="s">
        <v>590</v>
      </c>
      <c r="E11" s="333">
        <v>201601</v>
      </c>
      <c r="F11" s="334">
        <v>0.52</v>
      </c>
      <c r="G11" s="332">
        <v>3</v>
      </c>
      <c r="H11" s="336">
        <v>1.3083000000000001E-3</v>
      </c>
      <c r="I11" s="334">
        <v>0</v>
      </c>
      <c r="J11" s="393">
        <v>0.01</v>
      </c>
      <c r="N11" s="159">
        <v>201402</v>
      </c>
      <c r="O11" s="126">
        <f t="shared" si="0"/>
        <v>26</v>
      </c>
      <c r="Q11" s="101">
        <f t="shared" si="1"/>
        <v>2016</v>
      </c>
    </row>
    <row r="12" spans="1:19">
      <c r="A12" s="332" t="s">
        <v>322</v>
      </c>
      <c r="B12" s="333" t="s">
        <v>643</v>
      </c>
      <c r="C12" s="423" t="s">
        <v>330</v>
      </c>
      <c r="D12" s="332" t="s">
        <v>644</v>
      </c>
      <c r="E12" s="333">
        <v>201601</v>
      </c>
      <c r="F12" s="334">
        <v>26.95</v>
      </c>
      <c r="G12" s="332">
        <v>3</v>
      </c>
      <c r="H12" s="336">
        <v>1.1999999999999999E-3</v>
      </c>
      <c r="I12" s="334">
        <v>0.1</v>
      </c>
      <c r="J12" s="393">
        <v>0.39</v>
      </c>
      <c r="N12" s="159">
        <v>201403</v>
      </c>
      <c r="O12" s="126">
        <f t="shared" si="0"/>
        <v>25</v>
      </c>
      <c r="Q12" s="101">
        <f t="shared" si="1"/>
        <v>2016</v>
      </c>
    </row>
    <row r="13" spans="1:19">
      <c r="A13" s="332" t="s">
        <v>318</v>
      </c>
      <c r="B13" s="333" t="s">
        <v>643</v>
      </c>
      <c r="C13" s="423" t="s">
        <v>330</v>
      </c>
      <c r="D13" s="332" t="s">
        <v>644</v>
      </c>
      <c r="E13" s="333">
        <v>201601</v>
      </c>
      <c r="F13" s="334">
        <v>1850.19</v>
      </c>
      <c r="G13" s="332">
        <v>3</v>
      </c>
      <c r="H13" s="336">
        <v>1.3083000000000001E-3</v>
      </c>
      <c r="I13" s="334">
        <v>7.26</v>
      </c>
      <c r="J13" s="393">
        <v>29.05</v>
      </c>
      <c r="N13" s="159">
        <v>201404</v>
      </c>
      <c r="O13" s="126">
        <f t="shared" si="0"/>
        <v>24</v>
      </c>
      <c r="Q13" s="101">
        <f t="shared" si="1"/>
        <v>2016</v>
      </c>
    </row>
    <row r="14" spans="1:19">
      <c r="A14" s="332" t="s">
        <v>318</v>
      </c>
      <c r="B14" s="333" t="s">
        <v>643</v>
      </c>
      <c r="C14" s="423" t="s">
        <v>330</v>
      </c>
      <c r="D14" s="332" t="s">
        <v>644</v>
      </c>
      <c r="E14" s="333">
        <v>201601</v>
      </c>
      <c r="F14" s="334">
        <v>129.43</v>
      </c>
      <c r="G14" s="332">
        <v>3</v>
      </c>
      <c r="H14" s="336">
        <v>1.3083000000000001E-3</v>
      </c>
      <c r="I14" s="334">
        <v>0.51</v>
      </c>
      <c r="J14" s="393">
        <v>2.0299999999999998</v>
      </c>
      <c r="N14" s="159">
        <v>201405</v>
      </c>
      <c r="O14" s="126">
        <f t="shared" si="0"/>
        <v>23</v>
      </c>
      <c r="Q14" s="101">
        <f t="shared" si="1"/>
        <v>2016</v>
      </c>
    </row>
    <row r="15" spans="1:19" ht="15">
      <c r="A15" s="332" t="s">
        <v>318</v>
      </c>
      <c r="B15" s="333" t="s">
        <v>451</v>
      </c>
      <c r="C15" s="424" t="s">
        <v>330</v>
      </c>
      <c r="D15" s="332" t="s">
        <v>452</v>
      </c>
      <c r="E15" s="333">
        <v>201601</v>
      </c>
      <c r="F15" s="334">
        <v>-1.34</v>
      </c>
      <c r="G15" s="332">
        <v>3</v>
      </c>
      <c r="H15" s="336">
        <v>1.3083000000000001E-3</v>
      </c>
      <c r="I15" s="334">
        <v>-0.01</v>
      </c>
      <c r="J15" s="393">
        <v>-0.02</v>
      </c>
      <c r="N15" s="159">
        <v>201406</v>
      </c>
      <c r="O15" s="126">
        <f t="shared" si="0"/>
        <v>22</v>
      </c>
      <c r="Q15" s="101">
        <f t="shared" si="1"/>
        <v>2016</v>
      </c>
    </row>
    <row r="16" spans="1:19" ht="15">
      <c r="A16" s="332" t="s">
        <v>318</v>
      </c>
      <c r="B16" s="333" t="s">
        <v>451</v>
      </c>
      <c r="C16" s="424" t="s">
        <v>330</v>
      </c>
      <c r="D16" s="332" t="s">
        <v>452</v>
      </c>
      <c r="E16" s="333">
        <v>201601</v>
      </c>
      <c r="F16" s="334">
        <v>-0.03</v>
      </c>
      <c r="G16" s="332">
        <v>3</v>
      </c>
      <c r="H16" s="336">
        <v>1.3083000000000001E-3</v>
      </c>
      <c r="I16" s="334">
        <v>0</v>
      </c>
      <c r="J16" s="393">
        <v>0</v>
      </c>
      <c r="N16" s="159">
        <v>201407</v>
      </c>
      <c r="O16" s="126">
        <f t="shared" si="0"/>
        <v>21</v>
      </c>
      <c r="Q16" s="101">
        <f t="shared" si="1"/>
        <v>2016</v>
      </c>
    </row>
    <row r="17" spans="1:17" ht="15">
      <c r="A17" s="332" t="s">
        <v>318</v>
      </c>
      <c r="B17" s="333" t="s">
        <v>645</v>
      </c>
      <c r="C17" s="424" t="s">
        <v>330</v>
      </c>
      <c r="D17" s="332" t="s">
        <v>646</v>
      </c>
      <c r="E17" s="333">
        <v>201601</v>
      </c>
      <c r="F17" s="334">
        <v>20663.919999999998</v>
      </c>
      <c r="G17" s="332">
        <v>3</v>
      </c>
      <c r="H17" s="336">
        <v>1.3083000000000001E-3</v>
      </c>
      <c r="I17" s="334">
        <v>81.099999999999994</v>
      </c>
      <c r="J17" s="393">
        <v>324.42</v>
      </c>
      <c r="N17" s="159">
        <v>201408</v>
      </c>
      <c r="O17" s="126">
        <f t="shared" si="0"/>
        <v>20</v>
      </c>
      <c r="Q17" s="101">
        <f t="shared" si="1"/>
        <v>2016</v>
      </c>
    </row>
    <row r="18" spans="1:17">
      <c r="A18" s="332" t="s">
        <v>318</v>
      </c>
      <c r="B18" s="333" t="s">
        <v>645</v>
      </c>
      <c r="C18" s="423" t="s">
        <v>330</v>
      </c>
      <c r="D18" s="332" t="s">
        <v>646</v>
      </c>
      <c r="E18" s="333">
        <v>201601</v>
      </c>
      <c r="F18" s="334">
        <v>1311.22</v>
      </c>
      <c r="G18" s="332">
        <v>3</v>
      </c>
      <c r="H18" s="336">
        <v>1.3083000000000001E-3</v>
      </c>
      <c r="I18" s="334">
        <v>5.15</v>
      </c>
      <c r="J18" s="393">
        <v>20.59</v>
      </c>
      <c r="N18" s="159">
        <v>201409</v>
      </c>
      <c r="O18" s="126">
        <f t="shared" si="0"/>
        <v>19</v>
      </c>
      <c r="Q18" s="101">
        <f t="shared" si="1"/>
        <v>2016</v>
      </c>
    </row>
    <row r="19" spans="1:17" ht="15">
      <c r="A19" s="332" t="s">
        <v>318</v>
      </c>
      <c r="B19" s="333" t="s">
        <v>647</v>
      </c>
      <c r="C19" s="424" t="s">
        <v>330</v>
      </c>
      <c r="D19" s="332" t="s">
        <v>648</v>
      </c>
      <c r="E19" s="333">
        <v>201601</v>
      </c>
      <c r="F19" s="334">
        <v>1103.04</v>
      </c>
      <c r="G19" s="332">
        <v>3</v>
      </c>
      <c r="H19" s="336">
        <v>1.3083000000000001E-3</v>
      </c>
      <c r="I19" s="334">
        <v>4.33</v>
      </c>
      <c r="J19" s="393">
        <v>17.32</v>
      </c>
      <c r="N19" s="159">
        <v>201410</v>
      </c>
      <c r="O19" s="126">
        <f t="shared" si="0"/>
        <v>18</v>
      </c>
      <c r="Q19" s="101">
        <f t="shared" si="1"/>
        <v>2016</v>
      </c>
    </row>
    <row r="20" spans="1:17">
      <c r="A20" s="332" t="s">
        <v>318</v>
      </c>
      <c r="B20" s="333" t="s">
        <v>647</v>
      </c>
      <c r="C20" s="423" t="s">
        <v>330</v>
      </c>
      <c r="D20" s="332" t="s">
        <v>648</v>
      </c>
      <c r="E20" s="333">
        <v>201601</v>
      </c>
      <c r="F20" s="334">
        <v>70.010000000000005</v>
      </c>
      <c r="G20" s="332">
        <v>3</v>
      </c>
      <c r="H20" s="336">
        <v>1.3083000000000001E-3</v>
      </c>
      <c r="I20" s="334">
        <v>0.27</v>
      </c>
      <c r="J20" s="393">
        <v>1.1000000000000001</v>
      </c>
      <c r="N20" s="159">
        <v>201411</v>
      </c>
      <c r="O20" s="126">
        <f t="shared" si="0"/>
        <v>17</v>
      </c>
      <c r="Q20" s="101">
        <f t="shared" si="1"/>
        <v>2016</v>
      </c>
    </row>
    <row r="21" spans="1:17">
      <c r="A21" s="332" t="s">
        <v>318</v>
      </c>
      <c r="B21" s="333" t="s">
        <v>784</v>
      </c>
      <c r="C21" s="423" t="s">
        <v>330</v>
      </c>
      <c r="D21" s="332" t="s">
        <v>785</v>
      </c>
      <c r="E21" s="333">
        <v>201601</v>
      </c>
      <c r="F21" s="334">
        <v>379979.09</v>
      </c>
      <c r="G21" s="332">
        <v>3</v>
      </c>
      <c r="H21" s="336">
        <v>1.3083000000000001E-3</v>
      </c>
      <c r="I21" s="334">
        <v>1491.38</v>
      </c>
      <c r="J21" s="393">
        <v>5965.52</v>
      </c>
      <c r="N21" s="159">
        <v>201412</v>
      </c>
      <c r="O21" s="126">
        <f t="shared" si="0"/>
        <v>16</v>
      </c>
      <c r="Q21" s="101">
        <f t="shared" si="1"/>
        <v>2016</v>
      </c>
    </row>
    <row r="22" spans="1:17">
      <c r="A22" s="332" t="s">
        <v>318</v>
      </c>
      <c r="B22" s="333" t="s">
        <v>784</v>
      </c>
      <c r="C22" s="423" t="s">
        <v>330</v>
      </c>
      <c r="D22" s="332" t="s">
        <v>785</v>
      </c>
      <c r="E22" s="333">
        <v>201601</v>
      </c>
      <c r="F22" s="334">
        <v>2390.84</v>
      </c>
      <c r="G22" s="332">
        <v>3</v>
      </c>
      <c r="H22" s="336">
        <v>1.3083000000000001E-3</v>
      </c>
      <c r="I22" s="334">
        <v>9.3800000000000008</v>
      </c>
      <c r="J22" s="393">
        <v>37.54</v>
      </c>
      <c r="N22" s="159">
        <v>201501</v>
      </c>
      <c r="O22" s="126">
        <f t="shared" si="0"/>
        <v>15</v>
      </c>
      <c r="Q22" s="101">
        <f t="shared" si="1"/>
        <v>2016</v>
      </c>
    </row>
    <row r="23" spans="1:17">
      <c r="A23" s="332" t="s">
        <v>318</v>
      </c>
      <c r="B23" s="333" t="s">
        <v>592</v>
      </c>
      <c r="C23" s="423" t="s">
        <v>329</v>
      </c>
      <c r="D23" s="332" t="s">
        <v>593</v>
      </c>
      <c r="E23" s="333">
        <v>201601</v>
      </c>
      <c r="F23" s="334">
        <v>-0.48</v>
      </c>
      <c r="G23" s="332">
        <v>3</v>
      </c>
      <c r="H23" s="336">
        <v>1.3083000000000001E-3</v>
      </c>
      <c r="I23" s="334">
        <v>0</v>
      </c>
      <c r="J23" s="393">
        <v>-0.01</v>
      </c>
      <c r="N23" s="159">
        <v>201502</v>
      </c>
      <c r="O23" s="126">
        <f t="shared" si="0"/>
        <v>14</v>
      </c>
      <c r="Q23" s="101">
        <f t="shared" si="1"/>
        <v>2016</v>
      </c>
    </row>
    <row r="24" spans="1:17">
      <c r="A24" s="332" t="s">
        <v>318</v>
      </c>
      <c r="B24" s="333" t="s">
        <v>592</v>
      </c>
      <c r="C24" s="423" t="s">
        <v>329</v>
      </c>
      <c r="D24" s="332" t="s">
        <v>593</v>
      </c>
      <c r="E24" s="333">
        <v>201601</v>
      </c>
      <c r="F24" s="334">
        <v>-0.05</v>
      </c>
      <c r="G24" s="332">
        <v>3</v>
      </c>
      <c r="H24" s="336">
        <v>1.3083000000000001E-3</v>
      </c>
      <c r="I24" s="334">
        <v>0</v>
      </c>
      <c r="J24" s="393">
        <v>0</v>
      </c>
      <c r="N24" s="159">
        <v>201503</v>
      </c>
      <c r="O24" s="126">
        <f t="shared" si="0"/>
        <v>13</v>
      </c>
      <c r="Q24" s="101">
        <f t="shared" si="1"/>
        <v>2016</v>
      </c>
    </row>
    <row r="25" spans="1:17" ht="15">
      <c r="A25" s="332" t="s">
        <v>318</v>
      </c>
      <c r="B25" s="333" t="s">
        <v>631</v>
      </c>
      <c r="C25" s="424" t="s">
        <v>330</v>
      </c>
      <c r="D25" s="332" t="s">
        <v>632</v>
      </c>
      <c r="E25" s="333">
        <v>201601</v>
      </c>
      <c r="F25" s="334">
        <v>-275.24</v>
      </c>
      <c r="G25" s="332">
        <v>3</v>
      </c>
      <c r="H25" s="336">
        <v>1.3083000000000001E-3</v>
      </c>
      <c r="I25" s="334">
        <v>-1.08</v>
      </c>
      <c r="J25" s="393">
        <v>-4.32</v>
      </c>
      <c r="N25" s="159">
        <v>201504</v>
      </c>
      <c r="O25" s="126">
        <f t="shared" si="0"/>
        <v>12</v>
      </c>
      <c r="Q25" s="101">
        <f t="shared" si="1"/>
        <v>2016</v>
      </c>
    </row>
    <row r="26" spans="1:17" ht="15">
      <c r="A26" s="332" t="s">
        <v>318</v>
      </c>
      <c r="B26" s="333" t="s">
        <v>631</v>
      </c>
      <c r="C26" s="424" t="s">
        <v>330</v>
      </c>
      <c r="D26" s="332" t="s">
        <v>632</v>
      </c>
      <c r="E26" s="333">
        <v>201601</v>
      </c>
      <c r="F26" s="334">
        <v>-4.9800000000000004</v>
      </c>
      <c r="G26" s="332">
        <v>3</v>
      </c>
      <c r="H26" s="336">
        <v>1.3083000000000001E-3</v>
      </c>
      <c r="I26" s="334">
        <v>-0.02</v>
      </c>
      <c r="J26" s="393">
        <v>-0.08</v>
      </c>
      <c r="N26" s="159">
        <v>201505</v>
      </c>
      <c r="O26" s="126">
        <f t="shared" si="0"/>
        <v>11</v>
      </c>
      <c r="Q26" s="101">
        <f t="shared" si="1"/>
        <v>2016</v>
      </c>
    </row>
    <row r="27" spans="1:17" ht="15">
      <c r="A27" s="332" t="s">
        <v>318</v>
      </c>
      <c r="B27" s="333" t="s">
        <v>649</v>
      </c>
      <c r="C27" s="424" t="s">
        <v>330</v>
      </c>
      <c r="D27" s="332" t="s">
        <v>650</v>
      </c>
      <c r="E27" s="333">
        <v>201601</v>
      </c>
      <c r="F27" s="334">
        <v>5505.4</v>
      </c>
      <c r="G27" s="332">
        <v>3</v>
      </c>
      <c r="H27" s="336">
        <v>1.3083000000000001E-3</v>
      </c>
      <c r="I27" s="334">
        <v>21.61</v>
      </c>
      <c r="J27" s="393">
        <v>86.43</v>
      </c>
      <c r="N27" s="159">
        <v>201506</v>
      </c>
      <c r="O27" s="126">
        <f t="shared" si="0"/>
        <v>10</v>
      </c>
      <c r="Q27" s="101">
        <f t="shared" si="1"/>
        <v>2016</v>
      </c>
    </row>
    <row r="28" spans="1:17">
      <c r="A28" s="332" t="s">
        <v>318</v>
      </c>
      <c r="B28" s="333" t="s">
        <v>649</v>
      </c>
      <c r="C28" s="423" t="s">
        <v>330</v>
      </c>
      <c r="D28" s="332" t="s">
        <v>650</v>
      </c>
      <c r="E28" s="333">
        <v>201601</v>
      </c>
      <c r="F28" s="334">
        <v>57.73</v>
      </c>
      <c r="G28" s="332">
        <v>3</v>
      </c>
      <c r="H28" s="336">
        <v>1.3083000000000001E-3</v>
      </c>
      <c r="I28" s="334">
        <v>0.23</v>
      </c>
      <c r="J28" s="393">
        <v>0.91</v>
      </c>
      <c r="N28" s="159">
        <v>201507</v>
      </c>
      <c r="O28" s="126">
        <f t="shared" si="0"/>
        <v>9</v>
      </c>
      <c r="Q28" s="101">
        <f t="shared" si="1"/>
        <v>2016</v>
      </c>
    </row>
    <row r="29" spans="1:17">
      <c r="A29" s="332" t="s">
        <v>318</v>
      </c>
      <c r="B29" s="333" t="s">
        <v>651</v>
      </c>
      <c r="C29" s="423" t="s">
        <v>330</v>
      </c>
      <c r="D29" s="332" t="s">
        <v>652</v>
      </c>
      <c r="E29" s="333">
        <v>201601</v>
      </c>
      <c r="F29" s="334">
        <v>7446.83</v>
      </c>
      <c r="G29" s="332">
        <v>3</v>
      </c>
      <c r="H29" s="336">
        <v>1.3083000000000001E-3</v>
      </c>
      <c r="I29" s="334">
        <v>29.23</v>
      </c>
      <c r="J29" s="393">
        <v>116.91</v>
      </c>
      <c r="N29" s="159">
        <v>201508</v>
      </c>
      <c r="O29" s="126">
        <f t="shared" si="0"/>
        <v>8</v>
      </c>
      <c r="Q29" s="101">
        <f t="shared" si="1"/>
        <v>2016</v>
      </c>
    </row>
    <row r="30" spans="1:17" ht="15">
      <c r="A30" s="332" t="s">
        <v>318</v>
      </c>
      <c r="B30" s="333" t="s">
        <v>651</v>
      </c>
      <c r="C30" s="424" t="s">
        <v>330</v>
      </c>
      <c r="D30" s="332" t="s">
        <v>652</v>
      </c>
      <c r="E30" s="333">
        <v>201601</v>
      </c>
      <c r="F30" s="334">
        <v>554.63</v>
      </c>
      <c r="G30" s="332">
        <v>3</v>
      </c>
      <c r="H30" s="336">
        <v>1.3083000000000001E-3</v>
      </c>
      <c r="I30" s="334">
        <v>2.1800000000000002</v>
      </c>
      <c r="J30" s="393">
        <v>8.7100000000000009</v>
      </c>
      <c r="N30" s="159">
        <v>201509</v>
      </c>
      <c r="O30" s="126">
        <f t="shared" si="0"/>
        <v>7</v>
      </c>
      <c r="Q30" s="101">
        <f t="shared" si="1"/>
        <v>2016</v>
      </c>
    </row>
    <row r="31" spans="1:17" ht="15">
      <c r="A31" s="332" t="s">
        <v>318</v>
      </c>
      <c r="B31" s="333" t="s">
        <v>786</v>
      </c>
      <c r="C31" s="424" t="s">
        <v>330</v>
      </c>
      <c r="D31" s="332" t="s">
        <v>787</v>
      </c>
      <c r="E31" s="333">
        <v>201601</v>
      </c>
      <c r="F31" s="334">
        <v>406568.9</v>
      </c>
      <c r="G31" s="332">
        <v>3</v>
      </c>
      <c r="H31" s="336">
        <v>1.3083000000000001E-3</v>
      </c>
      <c r="I31" s="334">
        <v>1595.74</v>
      </c>
      <c r="J31" s="393">
        <v>6382.97</v>
      </c>
      <c r="N31" s="159">
        <v>201510</v>
      </c>
      <c r="O31" s="126">
        <f t="shared" si="0"/>
        <v>6</v>
      </c>
      <c r="Q31" s="101">
        <f t="shared" si="1"/>
        <v>2016</v>
      </c>
    </row>
    <row r="32" spans="1:17" ht="15">
      <c r="A32" s="332" t="s">
        <v>318</v>
      </c>
      <c r="B32" s="333" t="s">
        <v>786</v>
      </c>
      <c r="C32" s="424" t="s">
        <v>330</v>
      </c>
      <c r="D32" s="332" t="s">
        <v>787</v>
      </c>
      <c r="E32" s="333">
        <v>201601</v>
      </c>
      <c r="F32" s="334">
        <v>27518.85</v>
      </c>
      <c r="G32" s="332">
        <v>3</v>
      </c>
      <c r="H32" s="336">
        <v>1.3083000000000001E-3</v>
      </c>
      <c r="I32" s="334">
        <v>108.01</v>
      </c>
      <c r="J32" s="393">
        <v>432.03</v>
      </c>
      <c r="N32" s="159">
        <v>201511</v>
      </c>
      <c r="O32" s="126">
        <f t="shared" si="0"/>
        <v>5</v>
      </c>
      <c r="Q32" s="101">
        <f t="shared" si="1"/>
        <v>2016</v>
      </c>
    </row>
    <row r="33" spans="1:18">
      <c r="A33" s="332" t="s">
        <v>318</v>
      </c>
      <c r="B33" s="333" t="s">
        <v>653</v>
      </c>
      <c r="C33" s="423" t="s">
        <v>330</v>
      </c>
      <c r="D33" s="332" t="s">
        <v>654</v>
      </c>
      <c r="E33" s="333">
        <v>201601</v>
      </c>
      <c r="F33" s="334">
        <v>3543.64</v>
      </c>
      <c r="G33" s="332">
        <v>3</v>
      </c>
      <c r="H33" s="336">
        <v>1.3083000000000001E-3</v>
      </c>
      <c r="I33" s="334">
        <v>13.91</v>
      </c>
      <c r="J33" s="393">
        <v>55.63</v>
      </c>
      <c r="N33" s="159">
        <v>201512</v>
      </c>
      <c r="O33" s="126">
        <f t="shared" si="0"/>
        <v>4</v>
      </c>
      <c r="Q33" s="101">
        <f t="shared" si="1"/>
        <v>2016</v>
      </c>
    </row>
    <row r="34" spans="1:18" ht="15">
      <c r="A34" s="332" t="s">
        <v>318</v>
      </c>
      <c r="B34" s="333" t="s">
        <v>653</v>
      </c>
      <c r="C34" s="424" t="s">
        <v>330</v>
      </c>
      <c r="D34" s="332" t="s">
        <v>654</v>
      </c>
      <c r="E34" s="333">
        <v>201601</v>
      </c>
      <c r="F34" s="334">
        <v>88.78</v>
      </c>
      <c r="G34" s="332">
        <v>3</v>
      </c>
      <c r="H34" s="336">
        <v>1.3083000000000001E-3</v>
      </c>
      <c r="I34" s="334">
        <v>0.35</v>
      </c>
      <c r="J34" s="393">
        <v>1.39</v>
      </c>
      <c r="N34" s="159">
        <v>201601</v>
      </c>
      <c r="O34" s="126">
        <f>+O35+1</f>
        <v>3</v>
      </c>
      <c r="Q34" s="101">
        <f t="shared" si="1"/>
        <v>2016</v>
      </c>
    </row>
    <row r="35" spans="1:18" ht="15">
      <c r="A35" s="332" t="s">
        <v>318</v>
      </c>
      <c r="B35" s="333" t="s">
        <v>655</v>
      </c>
      <c r="C35" s="424" t="s">
        <v>330</v>
      </c>
      <c r="D35" s="332" t="s">
        <v>656</v>
      </c>
      <c r="E35" s="333">
        <v>201601</v>
      </c>
      <c r="F35" s="334">
        <v>7740.57</v>
      </c>
      <c r="G35" s="332">
        <v>3</v>
      </c>
      <c r="H35" s="336">
        <v>1.3083000000000001E-3</v>
      </c>
      <c r="I35" s="334">
        <v>30.38</v>
      </c>
      <c r="J35" s="393">
        <v>121.52</v>
      </c>
      <c r="N35" s="159">
        <v>201602</v>
      </c>
      <c r="O35" s="126">
        <v>2</v>
      </c>
      <c r="Q35" s="101">
        <f t="shared" si="1"/>
        <v>2016</v>
      </c>
    </row>
    <row r="36" spans="1:18" ht="15">
      <c r="A36" s="332" t="s">
        <v>318</v>
      </c>
      <c r="B36" s="333" t="s">
        <v>655</v>
      </c>
      <c r="C36" s="424" t="s">
        <v>330</v>
      </c>
      <c r="D36" s="332" t="s">
        <v>656</v>
      </c>
      <c r="E36" s="333">
        <v>201601</v>
      </c>
      <c r="F36" s="334">
        <v>-11996.03</v>
      </c>
      <c r="G36" s="332">
        <v>3</v>
      </c>
      <c r="H36" s="336">
        <v>1.3083000000000001E-3</v>
      </c>
      <c r="I36" s="334">
        <v>-47.08</v>
      </c>
      <c r="J36" s="393">
        <v>-188.33</v>
      </c>
      <c r="N36" s="159">
        <v>201603</v>
      </c>
      <c r="O36" s="126">
        <f t="shared" ref="O36" si="2">+O35-1</f>
        <v>1</v>
      </c>
      <c r="Q36" s="101">
        <f t="shared" si="1"/>
        <v>2016</v>
      </c>
    </row>
    <row r="37" spans="1:18">
      <c r="A37" s="332" t="s">
        <v>318</v>
      </c>
      <c r="B37" s="333" t="s">
        <v>594</v>
      </c>
      <c r="C37" s="423" t="s">
        <v>330</v>
      </c>
      <c r="D37" s="332" t="s">
        <v>595</v>
      </c>
      <c r="E37" s="333">
        <v>201601</v>
      </c>
      <c r="F37" s="334">
        <v>-62334.44</v>
      </c>
      <c r="G37" s="332">
        <v>3</v>
      </c>
      <c r="H37" s="336">
        <v>1.3083000000000001E-3</v>
      </c>
      <c r="I37" s="334">
        <v>-244.66</v>
      </c>
      <c r="J37" s="393">
        <v>-978.63</v>
      </c>
      <c r="N37" s="159"/>
      <c r="O37" s="126"/>
      <c r="Q37" s="101">
        <f t="shared" si="1"/>
        <v>2016</v>
      </c>
    </row>
    <row r="38" spans="1:18" ht="15">
      <c r="A38" s="332" t="s">
        <v>318</v>
      </c>
      <c r="B38" s="333" t="s">
        <v>594</v>
      </c>
      <c r="C38" s="424" t="s">
        <v>330</v>
      </c>
      <c r="D38" s="332" t="s">
        <v>595</v>
      </c>
      <c r="E38" s="333">
        <v>201601</v>
      </c>
      <c r="F38" s="334">
        <v>-4774.21</v>
      </c>
      <c r="G38" s="332">
        <v>3</v>
      </c>
      <c r="H38" s="336">
        <v>1.3083000000000001E-3</v>
      </c>
      <c r="I38" s="334">
        <v>-18.739999999999998</v>
      </c>
      <c r="J38" s="393">
        <v>-74.95</v>
      </c>
      <c r="Q38" s="101">
        <f t="shared" si="1"/>
        <v>2016</v>
      </c>
    </row>
    <row r="39" spans="1:18" ht="15">
      <c r="A39" s="332" t="s">
        <v>318</v>
      </c>
      <c r="B39" s="333" t="s">
        <v>596</v>
      </c>
      <c r="C39" s="424" t="s">
        <v>330</v>
      </c>
      <c r="D39" s="332" t="s">
        <v>597</v>
      </c>
      <c r="E39" s="333">
        <v>201601</v>
      </c>
      <c r="F39" s="334">
        <v>1.02</v>
      </c>
      <c r="G39" s="332">
        <v>3</v>
      </c>
      <c r="H39" s="336">
        <v>1.3083000000000001E-3</v>
      </c>
      <c r="I39" s="334">
        <v>0</v>
      </c>
      <c r="J39" s="393">
        <v>0.02</v>
      </c>
      <c r="Q39" s="101">
        <f t="shared" si="1"/>
        <v>2016</v>
      </c>
    </row>
    <row r="40" spans="1:18" ht="15">
      <c r="A40" s="332" t="s">
        <v>318</v>
      </c>
      <c r="B40" s="333" t="s">
        <v>596</v>
      </c>
      <c r="C40" s="424" t="s">
        <v>330</v>
      </c>
      <c r="D40" s="332" t="s">
        <v>597</v>
      </c>
      <c r="E40" s="333">
        <v>201601</v>
      </c>
      <c r="F40" s="334">
        <v>0.01</v>
      </c>
      <c r="G40" s="332">
        <v>3</v>
      </c>
      <c r="H40" s="336">
        <v>1.3083000000000001E-3</v>
      </c>
      <c r="I40" s="334">
        <v>0</v>
      </c>
      <c r="J40" s="393">
        <v>0</v>
      </c>
      <c r="N40" s="126"/>
      <c r="O40" s="126"/>
      <c r="R40" s="121"/>
    </row>
    <row r="41" spans="1:18">
      <c r="A41" s="332" t="s">
        <v>318</v>
      </c>
      <c r="B41" s="333" t="s">
        <v>657</v>
      </c>
      <c r="C41" s="423" t="s">
        <v>330</v>
      </c>
      <c r="D41" s="332" t="s">
        <v>658</v>
      </c>
      <c r="E41" s="333">
        <v>201601</v>
      </c>
      <c r="F41" s="334">
        <v>3955.18</v>
      </c>
      <c r="G41" s="332">
        <v>3</v>
      </c>
      <c r="H41" s="336">
        <v>1.3083000000000001E-3</v>
      </c>
      <c r="I41" s="334">
        <v>15.52</v>
      </c>
      <c r="J41" s="393">
        <v>62.09</v>
      </c>
      <c r="N41" s="126"/>
      <c r="O41" s="126"/>
      <c r="R41" s="121"/>
    </row>
    <row r="42" spans="1:18">
      <c r="A42" s="332" t="s">
        <v>318</v>
      </c>
      <c r="B42" s="333" t="s">
        <v>657</v>
      </c>
      <c r="C42" s="423" t="s">
        <v>330</v>
      </c>
      <c r="D42" s="332" t="s">
        <v>658</v>
      </c>
      <c r="E42" s="333">
        <v>201601</v>
      </c>
      <c r="F42" s="334">
        <v>211.81</v>
      </c>
      <c r="G42" s="332">
        <v>3</v>
      </c>
      <c r="H42" s="336">
        <v>1.3083000000000001E-3</v>
      </c>
      <c r="I42" s="334">
        <v>0.83</v>
      </c>
      <c r="J42" s="393">
        <v>3.33</v>
      </c>
      <c r="N42" s="126"/>
      <c r="O42" s="126"/>
      <c r="R42" s="121"/>
    </row>
    <row r="43" spans="1:18">
      <c r="A43" s="332" t="s">
        <v>318</v>
      </c>
      <c r="B43" s="333" t="s">
        <v>659</v>
      </c>
      <c r="C43" s="423" t="s">
        <v>330</v>
      </c>
      <c r="D43" s="332" t="s">
        <v>660</v>
      </c>
      <c r="E43" s="333">
        <v>201601</v>
      </c>
      <c r="F43" s="334">
        <v>-233.19</v>
      </c>
      <c r="G43" s="332">
        <v>3</v>
      </c>
      <c r="H43" s="336">
        <v>1.3083000000000001E-3</v>
      </c>
      <c r="I43" s="334">
        <v>-0.92</v>
      </c>
      <c r="J43" s="393">
        <v>-3.66</v>
      </c>
      <c r="N43" s="126"/>
      <c r="O43" s="126"/>
      <c r="R43" s="121"/>
    </row>
    <row r="44" spans="1:18">
      <c r="A44" s="332" t="s">
        <v>318</v>
      </c>
      <c r="B44" s="333" t="s">
        <v>659</v>
      </c>
      <c r="C44" s="423" t="s">
        <v>330</v>
      </c>
      <c r="D44" s="332" t="s">
        <v>660</v>
      </c>
      <c r="E44" s="333">
        <v>201601</v>
      </c>
      <c r="F44" s="334">
        <v>-2.66</v>
      </c>
      <c r="G44" s="332">
        <v>3</v>
      </c>
      <c r="H44" s="336">
        <v>1.3083000000000001E-3</v>
      </c>
      <c r="I44" s="334">
        <v>-0.01</v>
      </c>
      <c r="J44" s="393">
        <v>-0.04</v>
      </c>
      <c r="N44" s="126"/>
      <c r="O44" s="126"/>
      <c r="R44" s="121"/>
    </row>
    <row r="45" spans="1:18" ht="15">
      <c r="A45" s="332" t="s">
        <v>318</v>
      </c>
      <c r="B45" s="333" t="s">
        <v>661</v>
      </c>
      <c r="C45" s="424" t="s">
        <v>330</v>
      </c>
      <c r="D45" s="332" t="s">
        <v>662</v>
      </c>
      <c r="E45" s="333">
        <v>201601</v>
      </c>
      <c r="F45" s="334">
        <v>39916.81</v>
      </c>
      <c r="G45" s="332">
        <v>3</v>
      </c>
      <c r="H45" s="336">
        <v>1.3083000000000001E-3</v>
      </c>
      <c r="I45" s="334">
        <v>156.66999999999999</v>
      </c>
      <c r="J45" s="393">
        <v>626.67999999999995</v>
      </c>
      <c r="N45" s="126"/>
      <c r="O45" s="126"/>
      <c r="R45" s="121"/>
    </row>
    <row r="46" spans="1:18" ht="15">
      <c r="A46" s="332" t="s">
        <v>318</v>
      </c>
      <c r="B46" s="333" t="s">
        <v>661</v>
      </c>
      <c r="C46" s="424" t="s">
        <v>330</v>
      </c>
      <c r="D46" s="332" t="s">
        <v>662</v>
      </c>
      <c r="E46" s="333">
        <v>201601</v>
      </c>
      <c r="F46" s="334">
        <v>2642.38</v>
      </c>
      <c r="G46" s="332">
        <v>3</v>
      </c>
      <c r="H46" s="336">
        <v>1.3083000000000001E-3</v>
      </c>
      <c r="I46" s="334">
        <v>10.37</v>
      </c>
      <c r="J46" s="393">
        <v>41.48</v>
      </c>
      <c r="N46" s="126"/>
      <c r="O46" s="126"/>
      <c r="R46" s="121"/>
    </row>
    <row r="47" spans="1:18" ht="15">
      <c r="A47" s="332" t="s">
        <v>318</v>
      </c>
      <c r="B47" s="333" t="s">
        <v>663</v>
      </c>
      <c r="C47" s="424" t="s">
        <v>330</v>
      </c>
      <c r="D47" s="332" t="s">
        <v>664</v>
      </c>
      <c r="E47" s="333">
        <v>201601</v>
      </c>
      <c r="F47" s="334">
        <v>10205.61</v>
      </c>
      <c r="G47" s="332">
        <v>3</v>
      </c>
      <c r="H47" s="336">
        <v>1.3083000000000001E-3</v>
      </c>
      <c r="I47" s="334">
        <v>40.06</v>
      </c>
      <c r="J47" s="393">
        <v>160.22</v>
      </c>
      <c r="N47" s="126"/>
      <c r="O47" s="126"/>
      <c r="R47" s="121"/>
    </row>
    <row r="48" spans="1:18" ht="15">
      <c r="A48" s="332" t="s">
        <v>318</v>
      </c>
      <c r="B48" s="333" t="s">
        <v>663</v>
      </c>
      <c r="C48" s="424" t="s">
        <v>330</v>
      </c>
      <c r="D48" s="332" t="s">
        <v>664</v>
      </c>
      <c r="E48" s="333">
        <v>201601</v>
      </c>
      <c r="F48" s="334">
        <v>742.36</v>
      </c>
      <c r="G48" s="332">
        <v>3</v>
      </c>
      <c r="H48" s="336">
        <v>1.3083000000000001E-3</v>
      </c>
      <c r="I48" s="334">
        <v>2.91</v>
      </c>
      <c r="J48" s="393">
        <v>11.65</v>
      </c>
      <c r="N48" s="126"/>
      <c r="O48" s="126"/>
      <c r="R48" s="121"/>
    </row>
    <row r="49" spans="1:18" ht="15">
      <c r="A49" s="332" t="s">
        <v>318</v>
      </c>
      <c r="B49" s="333" t="s">
        <v>665</v>
      </c>
      <c r="C49" s="424" t="s">
        <v>330</v>
      </c>
      <c r="D49" s="332" t="s">
        <v>666</v>
      </c>
      <c r="E49" s="333">
        <v>201601</v>
      </c>
      <c r="F49" s="334">
        <v>2.92</v>
      </c>
      <c r="G49" s="332">
        <v>3</v>
      </c>
      <c r="H49" s="336">
        <v>1.3083000000000001E-3</v>
      </c>
      <c r="I49" s="334">
        <v>0.01</v>
      </c>
      <c r="J49" s="393">
        <v>0.05</v>
      </c>
      <c r="N49" s="126"/>
      <c r="O49" s="126"/>
      <c r="R49" s="121"/>
    </row>
    <row r="50" spans="1:18" ht="15">
      <c r="A50" s="332" t="s">
        <v>318</v>
      </c>
      <c r="B50" s="333" t="s">
        <v>665</v>
      </c>
      <c r="C50" s="424" t="s">
        <v>330</v>
      </c>
      <c r="D50" s="332" t="s">
        <v>666</v>
      </c>
      <c r="E50" s="333">
        <v>201601</v>
      </c>
      <c r="F50" s="334">
        <v>0.11</v>
      </c>
      <c r="G50" s="332">
        <v>3</v>
      </c>
      <c r="H50" s="336">
        <v>1.3083000000000001E-3</v>
      </c>
      <c r="I50" s="334">
        <v>0</v>
      </c>
      <c r="J50" s="393">
        <v>0</v>
      </c>
      <c r="N50" s="126"/>
      <c r="O50" s="126"/>
      <c r="R50" s="121"/>
    </row>
    <row r="51" spans="1:18" ht="15">
      <c r="A51" s="332" t="s">
        <v>318</v>
      </c>
      <c r="B51" s="333" t="s">
        <v>633</v>
      </c>
      <c r="C51" s="424" t="s">
        <v>329</v>
      </c>
      <c r="D51" s="332" t="s">
        <v>634</v>
      </c>
      <c r="E51" s="333">
        <v>201601</v>
      </c>
      <c r="F51" s="334">
        <v>-6677.12</v>
      </c>
      <c r="G51" s="332">
        <v>3</v>
      </c>
      <c r="H51" s="336">
        <v>1.3083000000000001E-3</v>
      </c>
      <c r="I51" s="334">
        <v>-26.21</v>
      </c>
      <c r="J51" s="393">
        <v>-104.83</v>
      </c>
      <c r="N51" s="126"/>
      <c r="O51" s="126"/>
      <c r="R51" s="121"/>
    </row>
    <row r="52" spans="1:18" ht="15">
      <c r="A52" s="332" t="s">
        <v>318</v>
      </c>
      <c r="B52" s="333" t="s">
        <v>633</v>
      </c>
      <c r="C52" s="424" t="s">
        <v>329</v>
      </c>
      <c r="D52" s="332" t="s">
        <v>634</v>
      </c>
      <c r="E52" s="333">
        <v>201601</v>
      </c>
      <c r="F52" s="334">
        <v>-396.7</v>
      </c>
      <c r="G52" s="332">
        <v>3</v>
      </c>
      <c r="H52" s="336">
        <v>1.3083000000000001E-3</v>
      </c>
      <c r="I52" s="334">
        <v>-1.56</v>
      </c>
      <c r="J52" s="393">
        <v>-6.23</v>
      </c>
      <c r="N52" s="126"/>
      <c r="O52" s="126"/>
      <c r="R52" s="121"/>
    </row>
    <row r="53" spans="1:18" s="559" customFormat="1" ht="15">
      <c r="A53" s="521" t="s">
        <v>318</v>
      </c>
      <c r="B53" s="522" t="s">
        <v>667</v>
      </c>
      <c r="C53" s="424" t="s">
        <v>329</v>
      </c>
      <c r="D53" s="521" t="s">
        <v>668</v>
      </c>
      <c r="E53" s="522">
        <v>201601</v>
      </c>
      <c r="F53" s="523">
        <v>598.52</v>
      </c>
      <c r="G53" s="521">
        <v>3</v>
      </c>
      <c r="H53" s="524">
        <v>1.3083000000000001E-3</v>
      </c>
      <c r="I53" s="523">
        <v>2.35</v>
      </c>
      <c r="J53" s="448">
        <v>9.4</v>
      </c>
      <c r="N53" s="590"/>
      <c r="O53" s="590"/>
      <c r="R53" s="440"/>
    </row>
    <row r="54" spans="1:18" s="559" customFormat="1" ht="15">
      <c r="A54" s="521" t="s">
        <v>322</v>
      </c>
      <c r="B54" s="522" t="s">
        <v>667</v>
      </c>
      <c r="C54" s="424" t="s">
        <v>329</v>
      </c>
      <c r="D54" s="521" t="s">
        <v>668</v>
      </c>
      <c r="E54" s="522">
        <v>201601</v>
      </c>
      <c r="F54" s="523">
        <v>70.03</v>
      </c>
      <c r="G54" s="521">
        <v>3</v>
      </c>
      <c r="H54" s="524">
        <v>1.1999999999999999E-3</v>
      </c>
      <c r="I54" s="523">
        <v>0.25</v>
      </c>
      <c r="J54" s="448">
        <v>1.01</v>
      </c>
      <c r="N54" s="590"/>
      <c r="O54" s="590"/>
      <c r="R54" s="440"/>
    </row>
    <row r="55" spans="1:18" s="559" customFormat="1" ht="15">
      <c r="A55" s="521" t="s">
        <v>318</v>
      </c>
      <c r="B55" s="522" t="s">
        <v>667</v>
      </c>
      <c r="C55" s="424" t="s">
        <v>329</v>
      </c>
      <c r="D55" s="521" t="s">
        <v>668</v>
      </c>
      <c r="E55" s="522">
        <v>201601</v>
      </c>
      <c r="F55" s="523">
        <v>41.2</v>
      </c>
      <c r="G55" s="521">
        <v>3</v>
      </c>
      <c r="H55" s="524">
        <v>1.3083000000000001E-3</v>
      </c>
      <c r="I55" s="523">
        <v>0.16</v>
      </c>
      <c r="J55" s="448">
        <v>0.65</v>
      </c>
      <c r="N55" s="590"/>
      <c r="O55" s="590"/>
      <c r="R55" s="440"/>
    </row>
    <row r="56" spans="1:18" s="559" customFormat="1" ht="15">
      <c r="A56" s="521" t="s">
        <v>318</v>
      </c>
      <c r="B56" s="522" t="s">
        <v>600</v>
      </c>
      <c r="C56" s="424" t="s">
        <v>330</v>
      </c>
      <c r="D56" s="521" t="s">
        <v>601</v>
      </c>
      <c r="E56" s="522">
        <v>201601</v>
      </c>
      <c r="F56" s="523">
        <v>0.71</v>
      </c>
      <c r="G56" s="521">
        <v>3</v>
      </c>
      <c r="H56" s="524">
        <v>1.3083000000000001E-3</v>
      </c>
      <c r="I56" s="523">
        <v>0</v>
      </c>
      <c r="J56" s="448">
        <v>0.01</v>
      </c>
      <c r="N56" s="590"/>
      <c r="O56" s="590"/>
      <c r="R56" s="440"/>
    </row>
    <row r="57" spans="1:18" s="559" customFormat="1" ht="15">
      <c r="A57" s="521" t="s">
        <v>318</v>
      </c>
      <c r="B57" s="522" t="s">
        <v>554</v>
      </c>
      <c r="C57" s="424" t="s">
        <v>330</v>
      </c>
      <c r="D57" s="521" t="s">
        <v>555</v>
      </c>
      <c r="E57" s="522">
        <v>201601</v>
      </c>
      <c r="F57" s="523">
        <v>0.63</v>
      </c>
      <c r="G57" s="521">
        <v>3</v>
      </c>
      <c r="H57" s="524">
        <v>1.3083000000000001E-3</v>
      </c>
      <c r="I57" s="523">
        <v>0</v>
      </c>
      <c r="J57" s="448">
        <v>0.01</v>
      </c>
      <c r="N57" s="590"/>
      <c r="O57" s="590"/>
      <c r="R57" s="440"/>
    </row>
    <row r="58" spans="1:18" s="559" customFormat="1" ht="15">
      <c r="A58" s="521" t="s">
        <v>318</v>
      </c>
      <c r="B58" s="522" t="s">
        <v>554</v>
      </c>
      <c r="C58" s="424" t="s">
        <v>330</v>
      </c>
      <c r="D58" s="521" t="s">
        <v>555</v>
      </c>
      <c r="E58" s="522">
        <v>201601</v>
      </c>
      <c r="F58" s="523">
        <v>0.03</v>
      </c>
      <c r="G58" s="521">
        <v>3</v>
      </c>
      <c r="H58" s="524">
        <v>1.3083000000000001E-3</v>
      </c>
      <c r="I58" s="523">
        <v>0</v>
      </c>
      <c r="J58" s="448">
        <v>0</v>
      </c>
      <c r="N58" s="590"/>
      <c r="O58" s="590"/>
      <c r="R58" s="440"/>
    </row>
    <row r="59" spans="1:18" s="559" customFormat="1" ht="15">
      <c r="A59" s="521" t="s">
        <v>318</v>
      </c>
      <c r="B59" s="522" t="s">
        <v>556</v>
      </c>
      <c r="C59" s="424" t="s">
        <v>330</v>
      </c>
      <c r="D59" s="521" t="s">
        <v>557</v>
      </c>
      <c r="E59" s="522">
        <v>201601</v>
      </c>
      <c r="F59" s="523">
        <v>1.37</v>
      </c>
      <c r="G59" s="521">
        <v>3</v>
      </c>
      <c r="H59" s="524">
        <v>1.3083000000000001E-3</v>
      </c>
      <c r="I59" s="523">
        <v>0.01</v>
      </c>
      <c r="J59" s="448">
        <v>0.02</v>
      </c>
      <c r="N59" s="590"/>
      <c r="O59" s="590"/>
      <c r="R59" s="440"/>
    </row>
    <row r="60" spans="1:18" s="559" customFormat="1" ht="15">
      <c r="A60" s="521" t="s">
        <v>318</v>
      </c>
      <c r="B60" s="522" t="s">
        <v>556</v>
      </c>
      <c r="C60" s="424" t="s">
        <v>330</v>
      </c>
      <c r="D60" s="521" t="s">
        <v>557</v>
      </c>
      <c r="E60" s="522">
        <v>201601</v>
      </c>
      <c r="F60" s="523">
        <v>0.01</v>
      </c>
      <c r="G60" s="521">
        <v>3</v>
      </c>
      <c r="H60" s="524">
        <v>1.3083000000000001E-3</v>
      </c>
      <c r="I60" s="523">
        <v>0</v>
      </c>
      <c r="J60" s="448">
        <v>0</v>
      </c>
      <c r="N60" s="590"/>
      <c r="O60" s="590"/>
      <c r="R60" s="440"/>
    </row>
    <row r="61" spans="1:18" s="559" customFormat="1" ht="15">
      <c r="A61" s="521" t="s">
        <v>318</v>
      </c>
      <c r="B61" s="522" t="s">
        <v>560</v>
      </c>
      <c r="C61" s="424" t="s">
        <v>330</v>
      </c>
      <c r="D61" s="521" t="s">
        <v>561</v>
      </c>
      <c r="E61" s="522">
        <v>201601</v>
      </c>
      <c r="F61" s="523">
        <v>-2.4300000000000002</v>
      </c>
      <c r="G61" s="521">
        <v>3</v>
      </c>
      <c r="H61" s="524">
        <v>1.3083000000000001E-3</v>
      </c>
      <c r="I61" s="523">
        <v>-0.01</v>
      </c>
      <c r="J61" s="448">
        <v>-0.04</v>
      </c>
      <c r="N61" s="590"/>
      <c r="O61" s="590"/>
      <c r="R61" s="440"/>
    </row>
    <row r="62" spans="1:18" s="559" customFormat="1" ht="15">
      <c r="A62" s="521" t="s">
        <v>318</v>
      </c>
      <c r="B62" s="522" t="s">
        <v>560</v>
      </c>
      <c r="C62" s="424" t="s">
        <v>330</v>
      </c>
      <c r="D62" s="521" t="s">
        <v>561</v>
      </c>
      <c r="E62" s="522">
        <v>201601</v>
      </c>
      <c r="F62" s="523">
        <v>-0.13</v>
      </c>
      <c r="G62" s="521">
        <v>3</v>
      </c>
      <c r="H62" s="524">
        <v>1.3083000000000001E-3</v>
      </c>
      <c r="I62" s="523">
        <v>0</v>
      </c>
      <c r="J62" s="448">
        <v>0</v>
      </c>
      <c r="N62" s="590"/>
      <c r="O62" s="590"/>
      <c r="R62" s="440"/>
    </row>
    <row r="63" spans="1:18" s="559" customFormat="1" ht="15">
      <c r="A63" s="521" t="s">
        <v>318</v>
      </c>
      <c r="B63" s="522" t="s">
        <v>562</v>
      </c>
      <c r="C63" s="424" t="s">
        <v>330</v>
      </c>
      <c r="D63" s="521" t="s">
        <v>563</v>
      </c>
      <c r="E63" s="522">
        <v>201601</v>
      </c>
      <c r="F63" s="523">
        <v>1320.26</v>
      </c>
      <c r="G63" s="521">
        <v>3</v>
      </c>
      <c r="H63" s="524">
        <v>1.3083000000000001E-3</v>
      </c>
      <c r="I63" s="523">
        <v>5.18</v>
      </c>
      <c r="J63" s="448">
        <v>20.73</v>
      </c>
      <c r="N63" s="590"/>
      <c r="O63" s="590"/>
      <c r="R63" s="440"/>
    </row>
    <row r="64" spans="1:18" s="559" customFormat="1" ht="15">
      <c r="A64" s="521" t="s">
        <v>318</v>
      </c>
      <c r="B64" s="522" t="s">
        <v>562</v>
      </c>
      <c r="C64" s="424" t="s">
        <v>330</v>
      </c>
      <c r="D64" s="521" t="s">
        <v>563</v>
      </c>
      <c r="E64" s="522">
        <v>201601</v>
      </c>
      <c r="F64" s="523">
        <v>790.1</v>
      </c>
      <c r="G64" s="521">
        <v>3</v>
      </c>
      <c r="H64" s="524">
        <v>1.3083000000000001E-3</v>
      </c>
      <c r="I64" s="523">
        <v>3.1</v>
      </c>
      <c r="J64" s="448">
        <v>12.4</v>
      </c>
      <c r="N64" s="590"/>
      <c r="O64" s="590"/>
      <c r="R64" s="440"/>
    </row>
    <row r="65" spans="1:18" s="559" customFormat="1" ht="15">
      <c r="A65" s="521" t="s">
        <v>318</v>
      </c>
      <c r="B65" s="522" t="s">
        <v>602</v>
      </c>
      <c r="C65" s="424" t="s">
        <v>330</v>
      </c>
      <c r="D65" s="521" t="s">
        <v>603</v>
      </c>
      <c r="E65" s="522">
        <v>201601</v>
      </c>
      <c r="F65" s="523">
        <v>28.21</v>
      </c>
      <c r="G65" s="521">
        <v>3</v>
      </c>
      <c r="H65" s="524">
        <v>1.3083000000000001E-3</v>
      </c>
      <c r="I65" s="523">
        <v>0.11</v>
      </c>
      <c r="J65" s="448">
        <v>0.44</v>
      </c>
      <c r="N65" s="590"/>
      <c r="O65" s="590"/>
      <c r="R65" s="440"/>
    </row>
    <row r="66" spans="1:18" s="559" customFormat="1" ht="15">
      <c r="A66" s="521" t="s">
        <v>318</v>
      </c>
      <c r="B66" s="522" t="s">
        <v>602</v>
      </c>
      <c r="C66" s="424" t="s">
        <v>330</v>
      </c>
      <c r="D66" s="521" t="s">
        <v>603</v>
      </c>
      <c r="E66" s="522">
        <v>201601</v>
      </c>
      <c r="F66" s="523">
        <v>13.36</v>
      </c>
      <c r="G66" s="521">
        <v>3</v>
      </c>
      <c r="H66" s="524">
        <v>1.3083000000000001E-3</v>
      </c>
      <c r="I66" s="523">
        <v>0.05</v>
      </c>
      <c r="J66" s="448">
        <v>0.21</v>
      </c>
      <c r="N66" s="590"/>
      <c r="O66" s="590"/>
      <c r="R66" s="440"/>
    </row>
    <row r="67" spans="1:18" s="559" customFormat="1" ht="15">
      <c r="A67" s="521" t="s">
        <v>318</v>
      </c>
      <c r="B67" s="522" t="s">
        <v>635</v>
      </c>
      <c r="C67" s="424" t="s">
        <v>329</v>
      </c>
      <c r="D67" s="521" t="s">
        <v>636</v>
      </c>
      <c r="E67" s="522">
        <v>201601</v>
      </c>
      <c r="F67" s="523">
        <v>5.58</v>
      </c>
      <c r="G67" s="521">
        <v>3</v>
      </c>
      <c r="H67" s="524">
        <v>1.3083000000000001E-3</v>
      </c>
      <c r="I67" s="523">
        <v>0.02</v>
      </c>
      <c r="J67" s="448">
        <v>0.09</v>
      </c>
      <c r="N67" s="590"/>
      <c r="O67" s="590"/>
      <c r="R67" s="440"/>
    </row>
    <row r="68" spans="1:18" s="559" customFormat="1" ht="15">
      <c r="A68" s="521" t="s">
        <v>318</v>
      </c>
      <c r="B68" s="522" t="s">
        <v>635</v>
      </c>
      <c r="C68" s="424" t="s">
        <v>329</v>
      </c>
      <c r="D68" s="521" t="s">
        <v>636</v>
      </c>
      <c r="E68" s="522">
        <v>201601</v>
      </c>
      <c r="F68" s="523">
        <v>0.13</v>
      </c>
      <c r="G68" s="521">
        <v>3</v>
      </c>
      <c r="H68" s="524">
        <v>1.3083000000000001E-3</v>
      </c>
      <c r="I68" s="523">
        <v>0</v>
      </c>
      <c r="J68" s="448">
        <v>0</v>
      </c>
      <c r="N68" s="590"/>
      <c r="O68" s="590"/>
      <c r="R68" s="440"/>
    </row>
    <row r="69" spans="1:18" s="559" customFormat="1" ht="15">
      <c r="A69" s="521" t="s">
        <v>318</v>
      </c>
      <c r="B69" s="522" t="s">
        <v>788</v>
      </c>
      <c r="C69" s="424" t="s">
        <v>330</v>
      </c>
      <c r="D69" s="521" t="s">
        <v>789</v>
      </c>
      <c r="E69" s="522">
        <v>201601</v>
      </c>
      <c r="F69" s="523">
        <v>146334.85999999999</v>
      </c>
      <c r="G69" s="521">
        <v>3</v>
      </c>
      <c r="H69" s="524">
        <v>1.3083000000000001E-3</v>
      </c>
      <c r="I69" s="523">
        <v>574.35</v>
      </c>
      <c r="J69" s="448">
        <v>2297.4</v>
      </c>
      <c r="N69" s="590"/>
      <c r="O69" s="590"/>
      <c r="R69" s="440"/>
    </row>
    <row r="70" spans="1:18" s="559" customFormat="1" ht="15">
      <c r="A70" s="521" t="s">
        <v>318</v>
      </c>
      <c r="B70" s="522" t="s">
        <v>788</v>
      </c>
      <c r="C70" s="424" t="s">
        <v>330</v>
      </c>
      <c r="D70" s="521" t="s">
        <v>789</v>
      </c>
      <c r="E70" s="522">
        <v>201601</v>
      </c>
      <c r="F70" s="523">
        <v>999.72</v>
      </c>
      <c r="G70" s="521">
        <v>3</v>
      </c>
      <c r="H70" s="524">
        <v>1.3083000000000001E-3</v>
      </c>
      <c r="I70" s="523">
        <v>3.92</v>
      </c>
      <c r="J70" s="448">
        <v>15.7</v>
      </c>
      <c r="N70" s="590"/>
      <c r="O70" s="590"/>
      <c r="R70" s="440"/>
    </row>
    <row r="71" spans="1:18" s="559" customFormat="1" ht="15">
      <c r="A71" s="521" t="s">
        <v>318</v>
      </c>
      <c r="B71" s="522" t="s">
        <v>564</v>
      </c>
      <c r="C71" s="424" t="s">
        <v>330</v>
      </c>
      <c r="D71" s="521" t="s">
        <v>669</v>
      </c>
      <c r="E71" s="522">
        <v>201601</v>
      </c>
      <c r="F71" s="523">
        <v>-1.26</v>
      </c>
      <c r="G71" s="521">
        <v>3</v>
      </c>
      <c r="H71" s="524">
        <v>1.3083000000000001E-3</v>
      </c>
      <c r="I71" s="523">
        <v>0</v>
      </c>
      <c r="J71" s="448">
        <v>-0.02</v>
      </c>
      <c r="N71" s="590"/>
      <c r="O71" s="590"/>
      <c r="R71" s="440"/>
    </row>
    <row r="72" spans="1:18" s="559" customFormat="1" ht="15">
      <c r="A72" s="521" t="s">
        <v>318</v>
      </c>
      <c r="B72" s="522" t="s">
        <v>564</v>
      </c>
      <c r="C72" s="424" t="s">
        <v>330</v>
      </c>
      <c r="D72" s="521" t="s">
        <v>669</v>
      </c>
      <c r="E72" s="522">
        <v>201601</v>
      </c>
      <c r="F72" s="523">
        <v>-0.09</v>
      </c>
      <c r="G72" s="521">
        <v>3</v>
      </c>
      <c r="H72" s="524">
        <v>1.3083000000000001E-3</v>
      </c>
      <c r="I72" s="523">
        <v>0</v>
      </c>
      <c r="J72" s="448">
        <v>0</v>
      </c>
      <c r="N72" s="590"/>
      <c r="O72" s="590"/>
      <c r="R72" s="440"/>
    </row>
    <row r="73" spans="1:18" s="559" customFormat="1" ht="15">
      <c r="A73" s="521" t="s">
        <v>318</v>
      </c>
      <c r="B73" s="522" t="s">
        <v>670</v>
      </c>
      <c r="C73" s="424" t="s">
        <v>330</v>
      </c>
      <c r="D73" s="521" t="s">
        <v>671</v>
      </c>
      <c r="E73" s="522">
        <v>201601</v>
      </c>
      <c r="F73" s="523">
        <v>-2332.52</v>
      </c>
      <c r="G73" s="521">
        <v>3</v>
      </c>
      <c r="H73" s="524">
        <v>1.3083000000000001E-3</v>
      </c>
      <c r="I73" s="523">
        <v>-9.15</v>
      </c>
      <c r="J73" s="448">
        <v>-36.619999999999997</v>
      </c>
      <c r="N73" s="590"/>
      <c r="O73" s="590"/>
      <c r="R73" s="440"/>
    </row>
    <row r="74" spans="1:18" s="559" customFormat="1" ht="15">
      <c r="A74" s="521" t="s">
        <v>318</v>
      </c>
      <c r="B74" s="522" t="s">
        <v>670</v>
      </c>
      <c r="C74" s="424" t="s">
        <v>330</v>
      </c>
      <c r="D74" s="521" t="s">
        <v>671</v>
      </c>
      <c r="E74" s="522">
        <v>201601</v>
      </c>
      <c r="F74" s="523">
        <v>-37.49</v>
      </c>
      <c r="G74" s="521">
        <v>3</v>
      </c>
      <c r="H74" s="524">
        <v>1.3083000000000001E-3</v>
      </c>
      <c r="I74" s="523">
        <v>-0.15</v>
      </c>
      <c r="J74" s="448">
        <v>-0.59</v>
      </c>
      <c r="N74" s="590"/>
      <c r="O74" s="590"/>
      <c r="R74" s="440"/>
    </row>
    <row r="75" spans="1:18" s="559" customFormat="1" ht="15">
      <c r="A75" s="521" t="s">
        <v>318</v>
      </c>
      <c r="B75" s="522" t="s">
        <v>606</v>
      </c>
      <c r="C75" s="424" t="s">
        <v>330</v>
      </c>
      <c r="D75" s="521" t="s">
        <v>607</v>
      </c>
      <c r="E75" s="522">
        <v>201601</v>
      </c>
      <c r="F75" s="523">
        <v>11.19</v>
      </c>
      <c r="G75" s="521">
        <v>3</v>
      </c>
      <c r="H75" s="524">
        <v>1.3083000000000001E-3</v>
      </c>
      <c r="I75" s="523">
        <v>0.04</v>
      </c>
      <c r="J75" s="448">
        <v>0.18</v>
      </c>
      <c r="N75" s="590"/>
      <c r="O75" s="590"/>
      <c r="R75" s="440"/>
    </row>
    <row r="76" spans="1:18" s="559" customFormat="1" ht="15">
      <c r="A76" s="521" t="s">
        <v>318</v>
      </c>
      <c r="B76" s="522" t="s">
        <v>606</v>
      </c>
      <c r="C76" s="424" t="s">
        <v>330</v>
      </c>
      <c r="D76" s="521" t="s">
        <v>607</v>
      </c>
      <c r="E76" s="522">
        <v>201601</v>
      </c>
      <c r="F76" s="523">
        <v>0.09</v>
      </c>
      <c r="G76" s="521">
        <v>3</v>
      </c>
      <c r="H76" s="524">
        <v>1.3083000000000001E-3</v>
      </c>
      <c r="I76" s="523">
        <v>0</v>
      </c>
      <c r="J76" s="448">
        <v>0</v>
      </c>
      <c r="N76" s="590"/>
      <c r="O76" s="590"/>
      <c r="R76" s="440"/>
    </row>
    <row r="77" spans="1:18" s="559" customFormat="1" ht="15">
      <c r="A77" s="521" t="s">
        <v>318</v>
      </c>
      <c r="B77" s="522" t="s">
        <v>565</v>
      </c>
      <c r="C77" s="424" t="s">
        <v>330</v>
      </c>
      <c r="D77" s="521" t="s">
        <v>566</v>
      </c>
      <c r="E77" s="522">
        <v>201601</v>
      </c>
      <c r="F77" s="523">
        <v>0.01</v>
      </c>
      <c r="G77" s="521">
        <v>3</v>
      </c>
      <c r="H77" s="524">
        <v>1.3083000000000001E-3</v>
      </c>
      <c r="I77" s="523">
        <v>0</v>
      </c>
      <c r="J77" s="448">
        <v>0</v>
      </c>
      <c r="N77" s="590"/>
      <c r="O77" s="590"/>
      <c r="R77" s="440"/>
    </row>
    <row r="78" spans="1:18" s="559" customFormat="1" ht="15">
      <c r="A78" s="521" t="s">
        <v>318</v>
      </c>
      <c r="B78" s="522" t="s">
        <v>610</v>
      </c>
      <c r="C78" s="424" t="s">
        <v>330</v>
      </c>
      <c r="D78" s="521" t="s">
        <v>611</v>
      </c>
      <c r="E78" s="522">
        <v>201601</v>
      </c>
      <c r="F78" s="523">
        <v>2.17</v>
      </c>
      <c r="G78" s="521">
        <v>3</v>
      </c>
      <c r="H78" s="524">
        <v>1.3083000000000001E-3</v>
      </c>
      <c r="I78" s="523">
        <v>0.01</v>
      </c>
      <c r="J78" s="448">
        <v>0.03</v>
      </c>
      <c r="N78" s="590"/>
      <c r="O78" s="590"/>
      <c r="R78" s="440"/>
    </row>
    <row r="79" spans="1:18" s="559" customFormat="1" ht="15">
      <c r="A79" s="521" t="s">
        <v>318</v>
      </c>
      <c r="B79" s="522" t="s">
        <v>610</v>
      </c>
      <c r="C79" s="424" t="s">
        <v>330</v>
      </c>
      <c r="D79" s="521" t="s">
        <v>611</v>
      </c>
      <c r="E79" s="522">
        <v>201601</v>
      </c>
      <c r="F79" s="523">
        <v>0.09</v>
      </c>
      <c r="G79" s="521">
        <v>3</v>
      </c>
      <c r="H79" s="524">
        <v>1.3083000000000001E-3</v>
      </c>
      <c r="I79" s="523">
        <v>0</v>
      </c>
      <c r="J79" s="448">
        <v>0</v>
      </c>
      <c r="N79" s="590"/>
      <c r="O79" s="590"/>
      <c r="R79" s="440"/>
    </row>
    <row r="80" spans="1:18" s="559" customFormat="1" ht="15">
      <c r="A80" s="521" t="s">
        <v>318</v>
      </c>
      <c r="B80" s="522" t="s">
        <v>567</v>
      </c>
      <c r="C80" s="424" t="s">
        <v>330</v>
      </c>
      <c r="D80" s="521" t="s">
        <v>568</v>
      </c>
      <c r="E80" s="522">
        <v>201601</v>
      </c>
      <c r="F80" s="523">
        <v>1836.52</v>
      </c>
      <c r="G80" s="521">
        <v>3</v>
      </c>
      <c r="H80" s="524">
        <v>1.3083000000000001E-3</v>
      </c>
      <c r="I80" s="523">
        <v>7.21</v>
      </c>
      <c r="J80" s="448">
        <v>28.83</v>
      </c>
      <c r="N80" s="590"/>
      <c r="O80" s="590"/>
      <c r="R80" s="440"/>
    </row>
    <row r="81" spans="1:18" s="559" customFormat="1" ht="15">
      <c r="A81" s="521" t="s">
        <v>318</v>
      </c>
      <c r="B81" s="522" t="s">
        <v>567</v>
      </c>
      <c r="C81" s="424" t="s">
        <v>330</v>
      </c>
      <c r="D81" s="521" t="s">
        <v>568</v>
      </c>
      <c r="E81" s="522">
        <v>201601</v>
      </c>
      <c r="F81" s="523">
        <v>181.95</v>
      </c>
      <c r="G81" s="521">
        <v>3</v>
      </c>
      <c r="H81" s="524">
        <v>1.3083000000000001E-3</v>
      </c>
      <c r="I81" s="523">
        <v>0.71</v>
      </c>
      <c r="J81" s="448">
        <v>2.86</v>
      </c>
      <c r="N81" s="590"/>
      <c r="O81" s="590"/>
      <c r="R81" s="440"/>
    </row>
    <row r="82" spans="1:18" s="559" customFormat="1" ht="15">
      <c r="A82" s="521" t="s">
        <v>318</v>
      </c>
      <c r="B82" s="522" t="s">
        <v>672</v>
      </c>
      <c r="C82" s="424" t="s">
        <v>330</v>
      </c>
      <c r="D82" s="521" t="s">
        <v>673</v>
      </c>
      <c r="E82" s="522">
        <v>201601</v>
      </c>
      <c r="F82" s="523">
        <v>13158.66</v>
      </c>
      <c r="G82" s="521">
        <v>3</v>
      </c>
      <c r="H82" s="524">
        <v>1.3083000000000001E-3</v>
      </c>
      <c r="I82" s="523">
        <v>51.65</v>
      </c>
      <c r="J82" s="448">
        <v>206.59</v>
      </c>
      <c r="N82" s="590"/>
      <c r="O82" s="590"/>
      <c r="R82" s="440"/>
    </row>
    <row r="83" spans="1:18" s="559" customFormat="1" ht="15">
      <c r="A83" s="521" t="s">
        <v>318</v>
      </c>
      <c r="B83" s="522" t="s">
        <v>672</v>
      </c>
      <c r="C83" s="424" t="s">
        <v>330</v>
      </c>
      <c r="D83" s="521" t="s">
        <v>673</v>
      </c>
      <c r="E83" s="522">
        <v>201601</v>
      </c>
      <c r="F83" s="523">
        <v>1095.02</v>
      </c>
      <c r="G83" s="521">
        <v>3</v>
      </c>
      <c r="H83" s="524">
        <v>1.3083000000000001E-3</v>
      </c>
      <c r="I83" s="523">
        <v>4.3</v>
      </c>
      <c r="J83" s="448">
        <v>17.190000000000001</v>
      </c>
      <c r="N83" s="590"/>
      <c r="O83" s="590"/>
      <c r="R83" s="440"/>
    </row>
    <row r="84" spans="1:18" s="559" customFormat="1" ht="15">
      <c r="A84" s="521" t="s">
        <v>318</v>
      </c>
      <c r="B84" s="522" t="s">
        <v>637</v>
      </c>
      <c r="C84" s="424" t="s">
        <v>329</v>
      </c>
      <c r="D84" s="521" t="s">
        <v>638</v>
      </c>
      <c r="E84" s="522">
        <v>201601</v>
      </c>
      <c r="F84" s="523">
        <v>2.5499999999999998</v>
      </c>
      <c r="G84" s="521">
        <v>3</v>
      </c>
      <c r="H84" s="524">
        <v>1.3083000000000001E-3</v>
      </c>
      <c r="I84" s="523">
        <v>0.01</v>
      </c>
      <c r="J84" s="448">
        <v>0.04</v>
      </c>
      <c r="N84" s="590"/>
      <c r="O84" s="590"/>
      <c r="R84" s="440"/>
    </row>
    <row r="85" spans="1:18" s="559" customFormat="1" ht="15">
      <c r="A85" s="521" t="s">
        <v>318</v>
      </c>
      <c r="B85" s="522" t="s">
        <v>637</v>
      </c>
      <c r="C85" s="424" t="s">
        <v>329</v>
      </c>
      <c r="D85" s="521" t="s">
        <v>638</v>
      </c>
      <c r="E85" s="522">
        <v>201601</v>
      </c>
      <c r="F85" s="523">
        <v>0.15</v>
      </c>
      <c r="G85" s="521">
        <v>3</v>
      </c>
      <c r="H85" s="524">
        <v>1.3083000000000001E-3</v>
      </c>
      <c r="I85" s="523">
        <v>0</v>
      </c>
      <c r="J85" s="448">
        <v>0</v>
      </c>
      <c r="N85" s="590"/>
      <c r="O85" s="590"/>
      <c r="R85" s="440"/>
    </row>
    <row r="86" spans="1:18" s="559" customFormat="1" ht="15">
      <c r="A86" s="521" t="s">
        <v>318</v>
      </c>
      <c r="B86" s="522" t="s">
        <v>674</v>
      </c>
      <c r="C86" s="424" t="s">
        <v>330</v>
      </c>
      <c r="D86" s="521" t="s">
        <v>675</v>
      </c>
      <c r="E86" s="522">
        <v>201601</v>
      </c>
      <c r="F86" s="523">
        <v>65.02</v>
      </c>
      <c r="G86" s="521">
        <v>3</v>
      </c>
      <c r="H86" s="524">
        <v>1.3083000000000001E-3</v>
      </c>
      <c r="I86" s="523">
        <v>0.26</v>
      </c>
      <c r="J86" s="448">
        <v>1.02</v>
      </c>
      <c r="N86" s="590"/>
      <c r="O86" s="590"/>
      <c r="R86" s="440"/>
    </row>
    <row r="87" spans="1:18" s="559" customFormat="1" ht="15">
      <c r="A87" s="521" t="s">
        <v>318</v>
      </c>
      <c r="B87" s="522" t="s">
        <v>674</v>
      </c>
      <c r="C87" s="424" t="s">
        <v>330</v>
      </c>
      <c r="D87" s="521" t="s">
        <v>675</v>
      </c>
      <c r="E87" s="522">
        <v>201601</v>
      </c>
      <c r="F87" s="523">
        <v>3.31</v>
      </c>
      <c r="G87" s="521">
        <v>3</v>
      </c>
      <c r="H87" s="524">
        <v>1.3083000000000001E-3</v>
      </c>
      <c r="I87" s="523">
        <v>0.01</v>
      </c>
      <c r="J87" s="448">
        <v>0.05</v>
      </c>
      <c r="N87" s="590"/>
      <c r="O87" s="590"/>
      <c r="R87" s="440"/>
    </row>
    <row r="88" spans="1:18" s="559" customFormat="1" ht="15">
      <c r="A88" s="521" t="s">
        <v>318</v>
      </c>
      <c r="B88" s="522" t="s">
        <v>790</v>
      </c>
      <c r="C88" s="424" t="s">
        <v>330</v>
      </c>
      <c r="D88" s="521" t="s">
        <v>791</v>
      </c>
      <c r="E88" s="522">
        <v>201601</v>
      </c>
      <c r="F88" s="523">
        <v>218602.69</v>
      </c>
      <c r="G88" s="521">
        <v>3</v>
      </c>
      <c r="H88" s="524">
        <v>1.3083000000000001E-3</v>
      </c>
      <c r="I88" s="523">
        <v>857.99</v>
      </c>
      <c r="J88" s="448">
        <v>3431.97</v>
      </c>
      <c r="N88" s="590"/>
      <c r="O88" s="590"/>
      <c r="R88" s="440"/>
    </row>
    <row r="89" spans="1:18" s="559" customFormat="1" ht="15">
      <c r="A89" s="521" t="s">
        <v>318</v>
      </c>
      <c r="B89" s="522" t="s">
        <v>790</v>
      </c>
      <c r="C89" s="424" t="s">
        <v>330</v>
      </c>
      <c r="D89" s="521" t="s">
        <v>791</v>
      </c>
      <c r="E89" s="522">
        <v>201601</v>
      </c>
      <c r="F89" s="523">
        <v>9282.51</v>
      </c>
      <c r="G89" s="521">
        <v>3</v>
      </c>
      <c r="H89" s="524">
        <v>1.3083000000000001E-3</v>
      </c>
      <c r="I89" s="523">
        <v>36.43</v>
      </c>
      <c r="J89" s="448">
        <v>145.72999999999999</v>
      </c>
      <c r="N89" s="590"/>
      <c r="O89" s="590"/>
      <c r="R89" s="440"/>
    </row>
    <row r="90" spans="1:18" s="559" customFormat="1" ht="15">
      <c r="A90" s="521" t="s">
        <v>318</v>
      </c>
      <c r="B90" s="522" t="s">
        <v>639</v>
      </c>
      <c r="C90" s="424" t="s">
        <v>329</v>
      </c>
      <c r="D90" s="521" t="s">
        <v>640</v>
      </c>
      <c r="E90" s="522">
        <v>201601</v>
      </c>
      <c r="F90" s="523">
        <v>3.13</v>
      </c>
      <c r="G90" s="521">
        <v>3</v>
      </c>
      <c r="H90" s="524">
        <v>1.3083000000000001E-3</v>
      </c>
      <c r="I90" s="523">
        <v>0.01</v>
      </c>
      <c r="J90" s="448">
        <v>0.05</v>
      </c>
      <c r="N90" s="590"/>
      <c r="O90" s="590"/>
      <c r="R90" s="440"/>
    </row>
    <row r="91" spans="1:18" s="559" customFormat="1" ht="15">
      <c r="A91" s="521" t="s">
        <v>318</v>
      </c>
      <c r="B91" s="522" t="s">
        <v>639</v>
      </c>
      <c r="C91" s="424" t="s">
        <v>329</v>
      </c>
      <c r="D91" s="521" t="s">
        <v>640</v>
      </c>
      <c r="E91" s="522">
        <v>201601</v>
      </c>
      <c r="F91" s="523">
        <v>0.57999999999999996</v>
      </c>
      <c r="G91" s="521">
        <v>3</v>
      </c>
      <c r="H91" s="524">
        <v>1.3083000000000001E-3</v>
      </c>
      <c r="I91" s="523">
        <v>0</v>
      </c>
      <c r="J91" s="448">
        <v>0.01</v>
      </c>
      <c r="N91" s="590"/>
      <c r="O91" s="590"/>
      <c r="R91" s="440"/>
    </row>
    <row r="92" spans="1:18" s="559" customFormat="1" ht="15">
      <c r="A92" s="521" t="s">
        <v>318</v>
      </c>
      <c r="B92" s="522" t="s">
        <v>676</v>
      </c>
      <c r="C92" s="424" t="s">
        <v>329</v>
      </c>
      <c r="D92" s="521" t="s">
        <v>677</v>
      </c>
      <c r="E92" s="522">
        <v>201601</v>
      </c>
      <c r="F92" s="523">
        <v>-36084.519999999997</v>
      </c>
      <c r="G92" s="521">
        <v>3</v>
      </c>
      <c r="H92" s="524">
        <v>1.3083000000000001E-3</v>
      </c>
      <c r="I92" s="523">
        <v>-141.63</v>
      </c>
      <c r="J92" s="448">
        <v>-566.51</v>
      </c>
      <c r="N92" s="590"/>
      <c r="O92" s="590"/>
      <c r="R92" s="440"/>
    </row>
    <row r="93" spans="1:18" s="559" customFormat="1" ht="15">
      <c r="A93" s="521" t="s">
        <v>318</v>
      </c>
      <c r="B93" s="522" t="s">
        <v>676</v>
      </c>
      <c r="C93" s="424" t="s">
        <v>329</v>
      </c>
      <c r="D93" s="521" t="s">
        <v>677</v>
      </c>
      <c r="E93" s="522">
        <v>201601</v>
      </c>
      <c r="F93" s="523">
        <v>35713.64</v>
      </c>
      <c r="G93" s="521">
        <v>3</v>
      </c>
      <c r="H93" s="524">
        <v>1.3083000000000001E-3</v>
      </c>
      <c r="I93" s="523">
        <v>140.16999999999999</v>
      </c>
      <c r="J93" s="448">
        <v>560.69000000000005</v>
      </c>
      <c r="N93" s="590"/>
      <c r="O93" s="590"/>
      <c r="R93" s="440"/>
    </row>
    <row r="94" spans="1:18" s="559" customFormat="1" ht="15">
      <c r="A94" s="521" t="s">
        <v>318</v>
      </c>
      <c r="B94" s="522" t="s">
        <v>678</v>
      </c>
      <c r="C94" s="424" t="s">
        <v>330</v>
      </c>
      <c r="D94" s="521" t="s">
        <v>679</v>
      </c>
      <c r="E94" s="522">
        <v>201601</v>
      </c>
      <c r="F94" s="523">
        <v>1793.62</v>
      </c>
      <c r="G94" s="521">
        <v>3</v>
      </c>
      <c r="H94" s="524">
        <v>1.3083000000000001E-3</v>
      </c>
      <c r="I94" s="523">
        <v>7.04</v>
      </c>
      <c r="J94" s="448">
        <v>28.16</v>
      </c>
      <c r="N94" s="590"/>
      <c r="O94" s="590"/>
      <c r="R94" s="440"/>
    </row>
    <row r="95" spans="1:18" s="559" customFormat="1" ht="15">
      <c r="A95" s="521" t="s">
        <v>318</v>
      </c>
      <c r="B95" s="522" t="s">
        <v>678</v>
      </c>
      <c r="C95" s="424" t="s">
        <v>330</v>
      </c>
      <c r="D95" s="521" t="s">
        <v>679</v>
      </c>
      <c r="E95" s="522">
        <v>201601</v>
      </c>
      <c r="F95" s="523">
        <v>44.44</v>
      </c>
      <c r="G95" s="521">
        <v>3</v>
      </c>
      <c r="H95" s="524">
        <v>1.3083000000000001E-3</v>
      </c>
      <c r="I95" s="523">
        <v>0.17</v>
      </c>
      <c r="J95" s="448">
        <v>0.7</v>
      </c>
      <c r="N95" s="590"/>
      <c r="O95" s="590"/>
      <c r="R95" s="440"/>
    </row>
    <row r="96" spans="1:18" s="559" customFormat="1" ht="15">
      <c r="A96" s="521" t="s">
        <v>318</v>
      </c>
      <c r="B96" s="522" t="s">
        <v>680</v>
      </c>
      <c r="C96" s="424" t="s">
        <v>330</v>
      </c>
      <c r="D96" s="521" t="s">
        <v>681</v>
      </c>
      <c r="E96" s="522">
        <v>201601</v>
      </c>
      <c r="F96" s="523">
        <v>2073.2399999999998</v>
      </c>
      <c r="G96" s="521">
        <v>3</v>
      </c>
      <c r="H96" s="524">
        <v>1.3083000000000001E-3</v>
      </c>
      <c r="I96" s="523">
        <v>8.14</v>
      </c>
      <c r="J96" s="448">
        <v>32.549999999999997</v>
      </c>
      <c r="N96" s="590"/>
      <c r="O96" s="590"/>
      <c r="R96" s="440"/>
    </row>
    <row r="97" spans="1:18" s="559" customFormat="1" ht="15">
      <c r="A97" s="521" t="s">
        <v>318</v>
      </c>
      <c r="B97" s="522" t="s">
        <v>680</v>
      </c>
      <c r="C97" s="424" t="s">
        <v>330</v>
      </c>
      <c r="D97" s="521" t="s">
        <v>681</v>
      </c>
      <c r="E97" s="522">
        <v>201601</v>
      </c>
      <c r="F97" s="523">
        <v>51.09</v>
      </c>
      <c r="G97" s="521">
        <v>3</v>
      </c>
      <c r="H97" s="524">
        <v>1.3083000000000001E-3</v>
      </c>
      <c r="I97" s="523">
        <v>0.2</v>
      </c>
      <c r="J97" s="448">
        <v>0.8</v>
      </c>
      <c r="N97" s="590"/>
      <c r="O97" s="590"/>
      <c r="R97" s="440"/>
    </row>
    <row r="98" spans="1:18" s="559" customFormat="1" ht="15">
      <c r="A98" s="521" t="s">
        <v>318</v>
      </c>
      <c r="B98" s="522" t="s">
        <v>641</v>
      </c>
      <c r="C98" s="424" t="s">
        <v>330</v>
      </c>
      <c r="D98" s="521" t="s">
        <v>642</v>
      </c>
      <c r="E98" s="522">
        <v>201601</v>
      </c>
      <c r="F98" s="523">
        <v>0.31</v>
      </c>
      <c r="G98" s="521">
        <v>3</v>
      </c>
      <c r="H98" s="524">
        <v>1.3083000000000001E-3</v>
      </c>
      <c r="I98" s="523">
        <v>0</v>
      </c>
      <c r="J98" s="448">
        <v>0</v>
      </c>
      <c r="N98" s="590"/>
      <c r="O98" s="590"/>
      <c r="R98" s="440"/>
    </row>
    <row r="99" spans="1:18" s="559" customFormat="1" ht="15">
      <c r="A99" s="521" t="s">
        <v>318</v>
      </c>
      <c r="B99" s="522" t="s">
        <v>641</v>
      </c>
      <c r="C99" s="424" t="s">
        <v>330</v>
      </c>
      <c r="D99" s="521" t="s">
        <v>642</v>
      </c>
      <c r="E99" s="522">
        <v>201601</v>
      </c>
      <c r="F99" s="523">
        <v>0.02</v>
      </c>
      <c r="G99" s="521">
        <v>3</v>
      </c>
      <c r="H99" s="524">
        <v>1.3083000000000001E-3</v>
      </c>
      <c r="I99" s="523">
        <v>0</v>
      </c>
      <c r="J99" s="448">
        <v>0</v>
      </c>
      <c r="N99" s="590"/>
      <c r="O99" s="590"/>
      <c r="R99" s="440"/>
    </row>
    <row r="100" spans="1:18" s="559" customFormat="1" ht="15">
      <c r="A100" s="521" t="s">
        <v>318</v>
      </c>
      <c r="B100" s="522" t="s">
        <v>684</v>
      </c>
      <c r="C100" s="424" t="s">
        <v>330</v>
      </c>
      <c r="D100" s="521" t="s">
        <v>685</v>
      </c>
      <c r="E100" s="522">
        <v>201601</v>
      </c>
      <c r="F100" s="523">
        <v>1074.31</v>
      </c>
      <c r="G100" s="521">
        <v>3</v>
      </c>
      <c r="H100" s="524">
        <v>1.3083000000000001E-3</v>
      </c>
      <c r="I100" s="523">
        <v>4.22</v>
      </c>
      <c r="J100" s="448">
        <v>16.87</v>
      </c>
      <c r="N100" s="590"/>
      <c r="O100" s="590"/>
      <c r="R100" s="440"/>
    </row>
    <row r="101" spans="1:18" s="559" customFormat="1" ht="15">
      <c r="A101" s="521" t="s">
        <v>318</v>
      </c>
      <c r="B101" s="522" t="s">
        <v>684</v>
      </c>
      <c r="C101" s="424" t="s">
        <v>330</v>
      </c>
      <c r="D101" s="521" t="s">
        <v>685</v>
      </c>
      <c r="E101" s="522">
        <v>201601</v>
      </c>
      <c r="F101" s="523">
        <v>51.38</v>
      </c>
      <c r="G101" s="521">
        <v>3</v>
      </c>
      <c r="H101" s="524">
        <v>1.3083000000000001E-3</v>
      </c>
      <c r="I101" s="523">
        <v>0.2</v>
      </c>
      <c r="J101" s="448">
        <v>0.81</v>
      </c>
      <c r="N101" s="590"/>
      <c r="O101" s="590"/>
      <c r="R101" s="440"/>
    </row>
    <row r="102" spans="1:18" s="559" customFormat="1" ht="15">
      <c r="A102" s="521" t="s">
        <v>318</v>
      </c>
      <c r="B102" s="522" t="s">
        <v>792</v>
      </c>
      <c r="C102" s="424" t="s">
        <v>329</v>
      </c>
      <c r="D102" s="521" t="s">
        <v>793</v>
      </c>
      <c r="E102" s="522">
        <v>201601</v>
      </c>
      <c r="F102" s="523">
        <v>626277.55000000005</v>
      </c>
      <c r="G102" s="521">
        <v>3</v>
      </c>
      <c r="H102" s="524">
        <v>1.3083000000000001E-3</v>
      </c>
      <c r="I102" s="523">
        <v>2458.08</v>
      </c>
      <c r="J102" s="448">
        <v>9832.31</v>
      </c>
      <c r="N102" s="590"/>
      <c r="O102" s="590"/>
      <c r="R102" s="440"/>
    </row>
    <row r="103" spans="1:18" s="559" customFormat="1" ht="15">
      <c r="A103" s="521" t="s">
        <v>318</v>
      </c>
      <c r="B103" s="522" t="s">
        <v>792</v>
      </c>
      <c r="C103" s="424" t="s">
        <v>329</v>
      </c>
      <c r="D103" s="521" t="s">
        <v>793</v>
      </c>
      <c r="E103" s="522">
        <v>201601</v>
      </c>
      <c r="F103" s="523">
        <v>169394.93</v>
      </c>
      <c r="G103" s="521">
        <v>3</v>
      </c>
      <c r="H103" s="524">
        <v>1.3083000000000001E-3</v>
      </c>
      <c r="I103" s="523">
        <v>664.86</v>
      </c>
      <c r="J103" s="448">
        <v>2659.43</v>
      </c>
      <c r="N103" s="590"/>
      <c r="O103" s="590"/>
      <c r="R103" s="440"/>
    </row>
    <row r="104" spans="1:18" s="559" customFormat="1" ht="15">
      <c r="A104" s="521" t="s">
        <v>318</v>
      </c>
      <c r="B104" s="522" t="s">
        <v>686</v>
      </c>
      <c r="C104" s="424" t="s">
        <v>329</v>
      </c>
      <c r="D104" s="521" t="s">
        <v>687</v>
      </c>
      <c r="E104" s="522">
        <v>201601</v>
      </c>
      <c r="F104" s="523">
        <v>645</v>
      </c>
      <c r="G104" s="521">
        <v>3</v>
      </c>
      <c r="H104" s="524">
        <v>1.3083000000000001E-3</v>
      </c>
      <c r="I104" s="523">
        <v>2.5299999999999998</v>
      </c>
      <c r="J104" s="448">
        <v>10.130000000000001</v>
      </c>
      <c r="N104" s="590"/>
      <c r="O104" s="590"/>
      <c r="R104" s="440"/>
    </row>
    <row r="105" spans="1:18" s="559" customFormat="1" ht="15">
      <c r="A105" s="521" t="s">
        <v>318</v>
      </c>
      <c r="B105" s="522" t="s">
        <v>686</v>
      </c>
      <c r="C105" s="424" t="s">
        <v>329</v>
      </c>
      <c r="D105" s="521" t="s">
        <v>687</v>
      </c>
      <c r="E105" s="522">
        <v>201601</v>
      </c>
      <c r="F105" s="523">
        <v>53.32</v>
      </c>
      <c r="G105" s="521">
        <v>3</v>
      </c>
      <c r="H105" s="524">
        <v>1.3083000000000001E-3</v>
      </c>
      <c r="I105" s="523">
        <v>0.21</v>
      </c>
      <c r="J105" s="448">
        <v>0.84</v>
      </c>
      <c r="N105" s="590"/>
      <c r="O105" s="590"/>
      <c r="R105" s="440"/>
    </row>
    <row r="106" spans="1:18" s="559" customFormat="1" ht="15">
      <c r="A106" s="521" t="s">
        <v>322</v>
      </c>
      <c r="B106" s="522" t="s">
        <v>688</v>
      </c>
      <c r="C106" s="424" t="s">
        <v>329</v>
      </c>
      <c r="D106" s="521" t="s">
        <v>689</v>
      </c>
      <c r="E106" s="522">
        <v>201601</v>
      </c>
      <c r="F106" s="523">
        <v>359.21</v>
      </c>
      <c r="G106" s="521">
        <v>3</v>
      </c>
      <c r="H106" s="524">
        <v>1.1999999999999999E-3</v>
      </c>
      <c r="I106" s="523">
        <v>1.29</v>
      </c>
      <c r="J106" s="448">
        <v>5.17</v>
      </c>
      <c r="N106" s="590"/>
      <c r="O106" s="590"/>
      <c r="R106" s="440"/>
    </row>
    <row r="107" spans="1:18" s="559" customFormat="1" ht="15">
      <c r="A107" s="521" t="s">
        <v>318</v>
      </c>
      <c r="B107" s="522" t="s">
        <v>688</v>
      </c>
      <c r="C107" s="424" t="s">
        <v>329</v>
      </c>
      <c r="D107" s="521" t="s">
        <v>689</v>
      </c>
      <c r="E107" s="522">
        <v>201601</v>
      </c>
      <c r="F107" s="523">
        <v>-5374.01</v>
      </c>
      <c r="G107" s="521">
        <v>3</v>
      </c>
      <c r="H107" s="524">
        <v>1.3083000000000001E-3</v>
      </c>
      <c r="I107" s="523">
        <v>-21.09</v>
      </c>
      <c r="J107" s="448">
        <v>-84.37</v>
      </c>
      <c r="N107" s="590"/>
      <c r="O107" s="590"/>
      <c r="R107" s="440"/>
    </row>
    <row r="108" spans="1:18" s="559" customFormat="1" ht="15">
      <c r="A108" s="521" t="s">
        <v>318</v>
      </c>
      <c r="B108" s="522" t="s">
        <v>688</v>
      </c>
      <c r="C108" s="424" t="s">
        <v>329</v>
      </c>
      <c r="D108" s="521" t="s">
        <v>689</v>
      </c>
      <c r="E108" s="522">
        <v>201601</v>
      </c>
      <c r="F108" s="523">
        <v>4719.0600000000004</v>
      </c>
      <c r="G108" s="521">
        <v>3</v>
      </c>
      <c r="H108" s="524">
        <v>1.3083000000000001E-3</v>
      </c>
      <c r="I108" s="523">
        <v>18.52</v>
      </c>
      <c r="J108" s="448">
        <v>74.09</v>
      </c>
      <c r="N108" s="590"/>
      <c r="O108" s="590"/>
      <c r="R108" s="440"/>
    </row>
    <row r="109" spans="1:18" s="559" customFormat="1" ht="15">
      <c r="A109" s="521" t="s">
        <v>318</v>
      </c>
      <c r="B109" s="522" t="s">
        <v>690</v>
      </c>
      <c r="C109" s="424" t="s">
        <v>330</v>
      </c>
      <c r="D109" s="521" t="s">
        <v>691</v>
      </c>
      <c r="E109" s="522">
        <v>201601</v>
      </c>
      <c r="F109" s="523">
        <v>-1561.13</v>
      </c>
      <c r="G109" s="521">
        <v>3</v>
      </c>
      <c r="H109" s="524">
        <v>1.3083000000000001E-3</v>
      </c>
      <c r="I109" s="523">
        <v>-6.13</v>
      </c>
      <c r="J109" s="448">
        <v>-24.51</v>
      </c>
      <c r="N109" s="590"/>
      <c r="O109" s="590"/>
      <c r="R109" s="440"/>
    </row>
    <row r="110" spans="1:18" s="559" customFormat="1" ht="15">
      <c r="A110" s="521" t="s">
        <v>318</v>
      </c>
      <c r="B110" s="522" t="s">
        <v>690</v>
      </c>
      <c r="C110" s="424" t="s">
        <v>330</v>
      </c>
      <c r="D110" s="521" t="s">
        <v>691</v>
      </c>
      <c r="E110" s="522">
        <v>201601</v>
      </c>
      <c r="F110" s="523">
        <v>-59.59</v>
      </c>
      <c r="G110" s="521">
        <v>3</v>
      </c>
      <c r="H110" s="524">
        <v>1.3083000000000001E-3</v>
      </c>
      <c r="I110" s="523">
        <v>-0.23</v>
      </c>
      <c r="J110" s="448">
        <v>-0.94</v>
      </c>
      <c r="N110" s="590"/>
      <c r="O110" s="590"/>
      <c r="R110" s="440"/>
    </row>
    <row r="111" spans="1:18" s="559" customFormat="1" ht="15">
      <c r="A111" s="521" t="s">
        <v>318</v>
      </c>
      <c r="B111" s="522" t="s">
        <v>692</v>
      </c>
      <c r="C111" s="424" t="s">
        <v>330</v>
      </c>
      <c r="D111" s="521" t="s">
        <v>693</v>
      </c>
      <c r="E111" s="522">
        <v>201601</v>
      </c>
      <c r="F111" s="523">
        <v>-1802.39</v>
      </c>
      <c r="G111" s="521">
        <v>3</v>
      </c>
      <c r="H111" s="524">
        <v>1.3083000000000001E-3</v>
      </c>
      <c r="I111" s="523">
        <v>-7.07</v>
      </c>
      <c r="J111" s="448">
        <v>-28.3</v>
      </c>
      <c r="N111" s="590"/>
      <c r="O111" s="590"/>
      <c r="R111" s="440"/>
    </row>
    <row r="112" spans="1:18" s="559" customFormat="1" ht="15">
      <c r="A112" s="521" t="s">
        <v>318</v>
      </c>
      <c r="B112" s="522" t="s">
        <v>692</v>
      </c>
      <c r="C112" s="424" t="s">
        <v>330</v>
      </c>
      <c r="D112" s="521" t="s">
        <v>693</v>
      </c>
      <c r="E112" s="522">
        <v>201601</v>
      </c>
      <c r="F112" s="523">
        <v>-84.44</v>
      </c>
      <c r="G112" s="521">
        <v>3</v>
      </c>
      <c r="H112" s="524">
        <v>1.3083000000000001E-3</v>
      </c>
      <c r="I112" s="523">
        <v>-0.33</v>
      </c>
      <c r="J112" s="448">
        <v>-1.33</v>
      </c>
      <c r="N112" s="590"/>
      <c r="O112" s="590"/>
      <c r="R112" s="440"/>
    </row>
    <row r="113" spans="1:18" s="559" customFormat="1" ht="15">
      <c r="A113" s="521" t="s">
        <v>318</v>
      </c>
      <c r="B113" s="522" t="s">
        <v>694</v>
      </c>
      <c r="C113" s="424" t="s">
        <v>330</v>
      </c>
      <c r="D113" s="521" t="s">
        <v>695</v>
      </c>
      <c r="E113" s="522">
        <v>201601</v>
      </c>
      <c r="F113" s="523">
        <v>119.2</v>
      </c>
      <c r="G113" s="521">
        <v>3</v>
      </c>
      <c r="H113" s="524">
        <v>1.3083000000000001E-3</v>
      </c>
      <c r="I113" s="523">
        <v>0.47</v>
      </c>
      <c r="J113" s="448">
        <v>1.87</v>
      </c>
      <c r="N113" s="590"/>
      <c r="O113" s="590"/>
      <c r="R113" s="440"/>
    </row>
    <row r="114" spans="1:18" s="559" customFormat="1" ht="15">
      <c r="A114" s="521" t="s">
        <v>318</v>
      </c>
      <c r="B114" s="522" t="s">
        <v>694</v>
      </c>
      <c r="C114" s="424" t="s">
        <v>330</v>
      </c>
      <c r="D114" s="521" t="s">
        <v>695</v>
      </c>
      <c r="E114" s="522">
        <v>201601</v>
      </c>
      <c r="F114" s="523">
        <v>4.87</v>
      </c>
      <c r="G114" s="521">
        <v>3</v>
      </c>
      <c r="H114" s="524">
        <v>1.3083000000000001E-3</v>
      </c>
      <c r="I114" s="523">
        <v>0.02</v>
      </c>
      <c r="J114" s="448">
        <v>0.08</v>
      </c>
      <c r="N114" s="590"/>
      <c r="O114" s="590"/>
      <c r="R114" s="440"/>
    </row>
    <row r="115" spans="1:18" s="559" customFormat="1" ht="15">
      <c r="A115" s="521" t="s">
        <v>318</v>
      </c>
      <c r="B115" s="522" t="s">
        <v>696</v>
      </c>
      <c r="C115" s="424" t="s">
        <v>330</v>
      </c>
      <c r="D115" s="521" t="s">
        <v>697</v>
      </c>
      <c r="E115" s="522">
        <v>201601</v>
      </c>
      <c r="F115" s="523">
        <v>10062.18</v>
      </c>
      <c r="G115" s="521">
        <v>3</v>
      </c>
      <c r="H115" s="524">
        <v>1.3083000000000001E-3</v>
      </c>
      <c r="I115" s="523">
        <v>39.49</v>
      </c>
      <c r="J115" s="448">
        <v>157.97</v>
      </c>
      <c r="N115" s="590"/>
      <c r="O115" s="590"/>
      <c r="R115" s="440"/>
    </row>
    <row r="116" spans="1:18" s="559" customFormat="1" ht="15">
      <c r="A116" s="521" t="s">
        <v>318</v>
      </c>
      <c r="B116" s="522" t="s">
        <v>696</v>
      </c>
      <c r="C116" s="424" t="s">
        <v>330</v>
      </c>
      <c r="D116" s="521" t="s">
        <v>697</v>
      </c>
      <c r="E116" s="522">
        <v>201601</v>
      </c>
      <c r="F116" s="523">
        <v>2701.61</v>
      </c>
      <c r="G116" s="521">
        <v>3</v>
      </c>
      <c r="H116" s="524">
        <v>1.3083000000000001E-3</v>
      </c>
      <c r="I116" s="523">
        <v>10.6</v>
      </c>
      <c r="J116" s="448">
        <v>42.41</v>
      </c>
      <c r="N116" s="590"/>
      <c r="O116" s="590"/>
      <c r="R116" s="440"/>
    </row>
    <row r="117" spans="1:18" s="559" customFormat="1" ht="15">
      <c r="A117" s="521" t="s">
        <v>318</v>
      </c>
      <c r="B117" s="522" t="s">
        <v>698</v>
      </c>
      <c r="C117" s="424" t="s">
        <v>330</v>
      </c>
      <c r="D117" s="521" t="s">
        <v>699</v>
      </c>
      <c r="E117" s="522">
        <v>201601</v>
      </c>
      <c r="F117" s="523">
        <v>218.24</v>
      </c>
      <c r="G117" s="521">
        <v>3</v>
      </c>
      <c r="H117" s="524">
        <v>1.3083000000000001E-3</v>
      </c>
      <c r="I117" s="523">
        <v>0.86</v>
      </c>
      <c r="J117" s="448">
        <v>3.43</v>
      </c>
      <c r="N117" s="590"/>
      <c r="O117" s="590"/>
      <c r="R117" s="440"/>
    </row>
    <row r="118" spans="1:18" s="559" customFormat="1" ht="15">
      <c r="A118" s="521" t="s">
        <v>318</v>
      </c>
      <c r="B118" s="522" t="s">
        <v>698</v>
      </c>
      <c r="C118" s="424" t="s">
        <v>330</v>
      </c>
      <c r="D118" s="521" t="s">
        <v>699</v>
      </c>
      <c r="E118" s="522">
        <v>201601</v>
      </c>
      <c r="F118" s="523">
        <v>4.59</v>
      </c>
      <c r="G118" s="521">
        <v>3</v>
      </c>
      <c r="H118" s="524">
        <v>1.3083000000000001E-3</v>
      </c>
      <c r="I118" s="523">
        <v>0.02</v>
      </c>
      <c r="J118" s="448">
        <v>7.0000000000000007E-2</v>
      </c>
      <c r="N118" s="590"/>
      <c r="O118" s="590"/>
      <c r="R118" s="440"/>
    </row>
    <row r="119" spans="1:18" s="559" customFormat="1" ht="15">
      <c r="A119" s="521" t="s">
        <v>318</v>
      </c>
      <c r="B119" s="522" t="s">
        <v>700</v>
      </c>
      <c r="C119" s="424" t="s">
        <v>330</v>
      </c>
      <c r="D119" s="521" t="s">
        <v>701</v>
      </c>
      <c r="E119" s="522">
        <v>201601</v>
      </c>
      <c r="F119" s="523">
        <v>1122.21</v>
      </c>
      <c r="G119" s="521">
        <v>3</v>
      </c>
      <c r="H119" s="524">
        <v>1.3083000000000001E-3</v>
      </c>
      <c r="I119" s="523">
        <v>4.4000000000000004</v>
      </c>
      <c r="J119" s="448">
        <v>17.62</v>
      </c>
      <c r="N119" s="590"/>
      <c r="O119" s="590"/>
      <c r="R119" s="440"/>
    </row>
    <row r="120" spans="1:18" s="559" customFormat="1" ht="15">
      <c r="A120" s="521" t="s">
        <v>318</v>
      </c>
      <c r="B120" s="522" t="s">
        <v>700</v>
      </c>
      <c r="C120" s="424" t="s">
        <v>330</v>
      </c>
      <c r="D120" s="521" t="s">
        <v>701</v>
      </c>
      <c r="E120" s="522">
        <v>201601</v>
      </c>
      <c r="F120" s="523">
        <v>48.55</v>
      </c>
      <c r="G120" s="521">
        <v>3</v>
      </c>
      <c r="H120" s="524">
        <v>1.3083000000000001E-3</v>
      </c>
      <c r="I120" s="523">
        <v>0.19</v>
      </c>
      <c r="J120" s="448">
        <v>0.76</v>
      </c>
      <c r="N120" s="590"/>
      <c r="O120" s="590"/>
      <c r="R120" s="440"/>
    </row>
    <row r="121" spans="1:18" s="559" customFormat="1" ht="15">
      <c r="A121" s="521" t="s">
        <v>318</v>
      </c>
      <c r="B121" s="522" t="s">
        <v>794</v>
      </c>
      <c r="C121" s="424" t="s">
        <v>330</v>
      </c>
      <c r="D121" s="521" t="s">
        <v>795</v>
      </c>
      <c r="E121" s="522">
        <v>201601</v>
      </c>
      <c r="F121" s="523">
        <v>2569.2399999999998</v>
      </c>
      <c r="G121" s="521">
        <v>3</v>
      </c>
      <c r="H121" s="524">
        <v>1.3083000000000001E-3</v>
      </c>
      <c r="I121" s="523">
        <v>10.08</v>
      </c>
      <c r="J121" s="448">
        <v>40.340000000000003</v>
      </c>
      <c r="N121" s="590"/>
      <c r="O121" s="590"/>
      <c r="R121" s="440"/>
    </row>
    <row r="122" spans="1:18" s="559" customFormat="1" ht="15">
      <c r="A122" s="521" t="s">
        <v>318</v>
      </c>
      <c r="B122" s="522" t="s">
        <v>702</v>
      </c>
      <c r="C122" s="424" t="s">
        <v>330</v>
      </c>
      <c r="D122" s="521" t="s">
        <v>703</v>
      </c>
      <c r="E122" s="522">
        <v>201601</v>
      </c>
      <c r="F122" s="523">
        <v>3.45</v>
      </c>
      <c r="G122" s="521">
        <v>3</v>
      </c>
      <c r="H122" s="524">
        <v>1.3083000000000001E-3</v>
      </c>
      <c r="I122" s="523">
        <v>0.01</v>
      </c>
      <c r="J122" s="448">
        <v>0.05</v>
      </c>
      <c r="N122" s="590"/>
      <c r="O122" s="590"/>
      <c r="R122" s="440"/>
    </row>
    <row r="123" spans="1:18" s="559" customFormat="1" ht="15">
      <c r="A123" s="521" t="s">
        <v>318</v>
      </c>
      <c r="B123" s="522" t="s">
        <v>627</v>
      </c>
      <c r="C123" s="424" t="s">
        <v>330</v>
      </c>
      <c r="D123" s="521" t="s">
        <v>628</v>
      </c>
      <c r="E123" s="522">
        <v>201602</v>
      </c>
      <c r="F123" s="523">
        <v>170.78</v>
      </c>
      <c r="G123" s="521">
        <v>2</v>
      </c>
      <c r="H123" s="524">
        <v>1.3083000000000001E-3</v>
      </c>
      <c r="I123" s="523">
        <v>0.45</v>
      </c>
      <c r="J123" s="448">
        <v>2.68</v>
      </c>
      <c r="N123" s="590"/>
      <c r="O123" s="590"/>
      <c r="R123" s="440"/>
    </row>
    <row r="124" spans="1:18" s="559" customFormat="1" ht="15">
      <c r="A124" s="521" t="s">
        <v>318</v>
      </c>
      <c r="B124" s="522" t="s">
        <v>320</v>
      </c>
      <c r="C124" s="424" t="s">
        <v>319</v>
      </c>
      <c r="D124" s="521" t="s">
        <v>321</v>
      </c>
      <c r="E124" s="522">
        <v>201602</v>
      </c>
      <c r="F124" s="523">
        <v>79.66</v>
      </c>
      <c r="G124" s="521">
        <v>2</v>
      </c>
      <c r="H124" s="524">
        <v>1.3083000000000001E-3</v>
      </c>
      <c r="I124" s="523">
        <v>0.21</v>
      </c>
      <c r="J124" s="448">
        <v>1.25</v>
      </c>
      <c r="N124" s="590"/>
      <c r="O124" s="590"/>
      <c r="R124" s="440"/>
    </row>
    <row r="125" spans="1:18" s="559" customFormat="1" ht="15">
      <c r="A125" s="521" t="s">
        <v>318</v>
      </c>
      <c r="B125" s="522" t="s">
        <v>323</v>
      </c>
      <c r="C125" s="424" t="s">
        <v>319</v>
      </c>
      <c r="D125" s="521" t="s">
        <v>324</v>
      </c>
      <c r="E125" s="522">
        <v>201602</v>
      </c>
      <c r="F125" s="523">
        <v>51195</v>
      </c>
      <c r="G125" s="521">
        <v>2</v>
      </c>
      <c r="H125" s="524">
        <v>1.3083000000000001E-3</v>
      </c>
      <c r="I125" s="523">
        <v>133.96</v>
      </c>
      <c r="J125" s="448">
        <v>803.74</v>
      </c>
      <c r="N125" s="590"/>
      <c r="O125" s="590"/>
      <c r="R125" s="440"/>
    </row>
    <row r="126" spans="1:18" s="559" customFormat="1" ht="15">
      <c r="A126" s="521" t="s">
        <v>322</v>
      </c>
      <c r="B126" s="522" t="s">
        <v>325</v>
      </c>
      <c r="C126" s="424" t="s">
        <v>319</v>
      </c>
      <c r="D126" s="521" t="s">
        <v>326</v>
      </c>
      <c r="E126" s="522">
        <v>201602</v>
      </c>
      <c r="F126" s="523">
        <v>-1220.1300000000001</v>
      </c>
      <c r="G126" s="521">
        <v>2</v>
      </c>
      <c r="H126" s="524">
        <v>1.1999999999999999E-3</v>
      </c>
      <c r="I126" s="523">
        <v>-2.93</v>
      </c>
      <c r="J126" s="448">
        <v>-17.57</v>
      </c>
      <c r="N126" s="590"/>
      <c r="O126" s="590"/>
      <c r="R126" s="440"/>
    </row>
    <row r="127" spans="1:18" s="559" customFormat="1" ht="15">
      <c r="A127" s="521" t="s">
        <v>318</v>
      </c>
      <c r="B127" s="522" t="s">
        <v>327</v>
      </c>
      <c r="C127" s="424" t="s">
        <v>319</v>
      </c>
      <c r="D127" s="521" t="s">
        <v>328</v>
      </c>
      <c r="E127" s="522">
        <v>201602</v>
      </c>
      <c r="F127" s="523">
        <v>8224.48</v>
      </c>
      <c r="G127" s="521">
        <v>2</v>
      </c>
      <c r="H127" s="524">
        <v>1.3083000000000001E-3</v>
      </c>
      <c r="I127" s="523">
        <v>21.52</v>
      </c>
      <c r="J127" s="448">
        <v>129.12</v>
      </c>
      <c r="N127" s="590"/>
      <c r="O127" s="590"/>
      <c r="R127" s="440"/>
    </row>
    <row r="128" spans="1:18" s="559" customFormat="1" ht="15">
      <c r="A128" s="521" t="s">
        <v>318</v>
      </c>
      <c r="B128" s="522" t="s">
        <v>546</v>
      </c>
      <c r="C128" s="424" t="s">
        <v>330</v>
      </c>
      <c r="D128" s="521" t="s">
        <v>547</v>
      </c>
      <c r="E128" s="522">
        <v>201602</v>
      </c>
      <c r="F128" s="523">
        <v>-86.54</v>
      </c>
      <c r="G128" s="521">
        <v>2</v>
      </c>
      <c r="H128" s="524">
        <v>1.3083000000000001E-3</v>
      </c>
      <c r="I128" s="523">
        <v>-0.23</v>
      </c>
      <c r="J128" s="448">
        <v>-1.36</v>
      </c>
      <c r="N128" s="590"/>
      <c r="O128" s="590"/>
      <c r="R128" s="440"/>
    </row>
    <row r="129" spans="1:18" s="559" customFormat="1" ht="15">
      <c r="A129" s="521" t="s">
        <v>318</v>
      </c>
      <c r="B129" s="522" t="s">
        <v>546</v>
      </c>
      <c r="C129" s="424" t="s">
        <v>330</v>
      </c>
      <c r="D129" s="521" t="s">
        <v>547</v>
      </c>
      <c r="E129" s="522">
        <v>201602</v>
      </c>
      <c r="F129" s="523">
        <v>-11.03</v>
      </c>
      <c r="G129" s="521">
        <v>2</v>
      </c>
      <c r="H129" s="524">
        <v>1.3083000000000001E-3</v>
      </c>
      <c r="I129" s="523">
        <v>-0.03</v>
      </c>
      <c r="J129" s="448">
        <v>-0.17</v>
      </c>
      <c r="N129" s="590"/>
      <c r="O129" s="590"/>
      <c r="R129" s="440"/>
    </row>
    <row r="130" spans="1:18" s="559" customFormat="1" ht="15">
      <c r="A130" s="521" t="s">
        <v>318</v>
      </c>
      <c r="B130" s="522" t="s">
        <v>589</v>
      </c>
      <c r="C130" s="424" t="s">
        <v>330</v>
      </c>
      <c r="D130" s="521" t="s">
        <v>590</v>
      </c>
      <c r="E130" s="522">
        <v>201602</v>
      </c>
      <c r="F130" s="523">
        <v>-13649.78</v>
      </c>
      <c r="G130" s="521">
        <v>2</v>
      </c>
      <c r="H130" s="524">
        <v>1.3083000000000001E-3</v>
      </c>
      <c r="I130" s="523">
        <v>-35.72</v>
      </c>
      <c r="J130" s="448">
        <v>-214.3</v>
      </c>
      <c r="N130" s="590"/>
      <c r="O130" s="590"/>
      <c r="R130" s="440"/>
    </row>
    <row r="131" spans="1:18" s="559" customFormat="1" ht="15">
      <c r="A131" s="521" t="s">
        <v>318</v>
      </c>
      <c r="B131" s="522" t="s">
        <v>589</v>
      </c>
      <c r="C131" s="424" t="s">
        <v>330</v>
      </c>
      <c r="D131" s="521" t="s">
        <v>590</v>
      </c>
      <c r="E131" s="522">
        <v>201602</v>
      </c>
      <c r="F131" s="523">
        <v>-440</v>
      </c>
      <c r="G131" s="521">
        <v>2</v>
      </c>
      <c r="H131" s="524">
        <v>1.3083000000000001E-3</v>
      </c>
      <c r="I131" s="523">
        <v>-1.1499999999999999</v>
      </c>
      <c r="J131" s="448">
        <v>-6.91</v>
      </c>
      <c r="N131" s="590"/>
      <c r="O131" s="590"/>
      <c r="R131" s="440"/>
    </row>
    <row r="132" spans="1:18" s="559" customFormat="1" ht="15">
      <c r="A132" s="521" t="s">
        <v>322</v>
      </c>
      <c r="B132" s="522" t="s">
        <v>643</v>
      </c>
      <c r="C132" s="424" t="s">
        <v>330</v>
      </c>
      <c r="D132" s="521" t="s">
        <v>644</v>
      </c>
      <c r="E132" s="522">
        <v>201602</v>
      </c>
      <c r="F132" s="523">
        <v>35.479999999999997</v>
      </c>
      <c r="G132" s="521">
        <v>2</v>
      </c>
      <c r="H132" s="524">
        <v>1.1999999999999999E-3</v>
      </c>
      <c r="I132" s="523">
        <v>0.09</v>
      </c>
      <c r="J132" s="448">
        <v>0.51</v>
      </c>
      <c r="N132" s="590"/>
      <c r="O132" s="590"/>
      <c r="R132" s="440"/>
    </row>
    <row r="133" spans="1:18" s="559" customFormat="1" ht="15">
      <c r="A133" s="521" t="s">
        <v>318</v>
      </c>
      <c r="B133" s="522" t="s">
        <v>643</v>
      </c>
      <c r="C133" s="424" t="s">
        <v>330</v>
      </c>
      <c r="D133" s="521" t="s">
        <v>644</v>
      </c>
      <c r="E133" s="522">
        <v>201602</v>
      </c>
      <c r="F133" s="523">
        <v>2436.2800000000002</v>
      </c>
      <c r="G133" s="521">
        <v>2</v>
      </c>
      <c r="H133" s="524">
        <v>1.3083000000000001E-3</v>
      </c>
      <c r="I133" s="523">
        <v>6.37</v>
      </c>
      <c r="J133" s="448">
        <v>38.25</v>
      </c>
      <c r="N133" s="590"/>
      <c r="O133" s="590"/>
      <c r="R133" s="440"/>
    </row>
    <row r="134" spans="1:18" s="559" customFormat="1" ht="15">
      <c r="A134" s="521" t="s">
        <v>318</v>
      </c>
      <c r="B134" s="522" t="s">
        <v>643</v>
      </c>
      <c r="C134" s="424" t="s">
        <v>330</v>
      </c>
      <c r="D134" s="521" t="s">
        <v>644</v>
      </c>
      <c r="E134" s="522">
        <v>201602</v>
      </c>
      <c r="F134" s="523">
        <v>170.44</v>
      </c>
      <c r="G134" s="521">
        <v>2</v>
      </c>
      <c r="H134" s="524">
        <v>1.3083000000000001E-3</v>
      </c>
      <c r="I134" s="523">
        <v>0.45</v>
      </c>
      <c r="J134" s="448">
        <v>2.68</v>
      </c>
      <c r="N134" s="590"/>
      <c r="O134" s="590"/>
      <c r="R134" s="440"/>
    </row>
    <row r="135" spans="1:18" s="559" customFormat="1" ht="15">
      <c r="A135" s="521" t="s">
        <v>318</v>
      </c>
      <c r="B135" s="522" t="s">
        <v>800</v>
      </c>
      <c r="C135" s="424" t="s">
        <v>330</v>
      </c>
      <c r="D135" s="521" t="s">
        <v>1085</v>
      </c>
      <c r="E135" s="522">
        <v>201602</v>
      </c>
      <c r="F135" s="523">
        <v>89532.41</v>
      </c>
      <c r="G135" s="521">
        <v>2</v>
      </c>
      <c r="H135" s="524">
        <v>1.3083000000000001E-3</v>
      </c>
      <c r="I135" s="523">
        <v>234.27</v>
      </c>
      <c r="J135" s="448">
        <v>1405.62</v>
      </c>
      <c r="N135" s="590"/>
      <c r="O135" s="590"/>
      <c r="R135" s="440"/>
    </row>
    <row r="136" spans="1:18" s="559" customFormat="1" ht="15">
      <c r="A136" s="521" t="s">
        <v>318</v>
      </c>
      <c r="B136" s="522" t="s">
        <v>800</v>
      </c>
      <c r="C136" s="424" t="s">
        <v>330</v>
      </c>
      <c r="D136" s="521" t="s">
        <v>1085</v>
      </c>
      <c r="E136" s="522">
        <v>201602</v>
      </c>
      <c r="F136" s="523">
        <v>5018.29</v>
      </c>
      <c r="G136" s="521">
        <v>2</v>
      </c>
      <c r="H136" s="524">
        <v>1.3083000000000001E-3</v>
      </c>
      <c r="I136" s="523">
        <v>13.13</v>
      </c>
      <c r="J136" s="448">
        <v>78.790000000000006</v>
      </c>
      <c r="N136" s="590"/>
      <c r="O136" s="590"/>
      <c r="R136" s="440"/>
    </row>
    <row r="137" spans="1:18" s="559" customFormat="1" ht="15">
      <c r="A137" s="521" t="s">
        <v>318</v>
      </c>
      <c r="B137" s="522" t="s">
        <v>451</v>
      </c>
      <c r="C137" s="424" t="s">
        <v>330</v>
      </c>
      <c r="D137" s="521" t="s">
        <v>452</v>
      </c>
      <c r="E137" s="522">
        <v>201602</v>
      </c>
      <c r="F137" s="523">
        <v>-0.03</v>
      </c>
      <c r="G137" s="521">
        <v>2</v>
      </c>
      <c r="H137" s="524">
        <v>1.3083000000000001E-3</v>
      </c>
      <c r="I137" s="523">
        <v>0</v>
      </c>
      <c r="J137" s="448">
        <v>0</v>
      </c>
      <c r="N137" s="590"/>
      <c r="O137" s="590"/>
      <c r="R137" s="440"/>
    </row>
    <row r="138" spans="1:18" s="559" customFormat="1" ht="15">
      <c r="A138" s="521" t="s">
        <v>318</v>
      </c>
      <c r="B138" s="522" t="s">
        <v>645</v>
      </c>
      <c r="C138" s="424" t="s">
        <v>330</v>
      </c>
      <c r="D138" s="521" t="s">
        <v>646</v>
      </c>
      <c r="E138" s="522">
        <v>201602</v>
      </c>
      <c r="F138" s="523">
        <v>-1.86</v>
      </c>
      <c r="G138" s="521">
        <v>2</v>
      </c>
      <c r="H138" s="524">
        <v>1.3083000000000001E-3</v>
      </c>
      <c r="I138" s="523">
        <v>0</v>
      </c>
      <c r="J138" s="448">
        <v>-0.03</v>
      </c>
      <c r="N138" s="590"/>
      <c r="O138" s="590"/>
      <c r="R138" s="440"/>
    </row>
    <row r="139" spans="1:18" s="559" customFormat="1" ht="15">
      <c r="A139" s="521" t="s">
        <v>318</v>
      </c>
      <c r="B139" s="522" t="s">
        <v>645</v>
      </c>
      <c r="C139" s="424" t="s">
        <v>330</v>
      </c>
      <c r="D139" s="521" t="s">
        <v>646</v>
      </c>
      <c r="E139" s="522">
        <v>201602</v>
      </c>
      <c r="F139" s="523">
        <v>-0.12</v>
      </c>
      <c r="G139" s="521">
        <v>2</v>
      </c>
      <c r="H139" s="524">
        <v>1.3083000000000001E-3</v>
      </c>
      <c r="I139" s="523">
        <v>0</v>
      </c>
      <c r="J139" s="448">
        <v>0</v>
      </c>
      <c r="N139" s="590"/>
      <c r="O139" s="590"/>
      <c r="R139" s="440"/>
    </row>
    <row r="140" spans="1:18" s="559" customFormat="1" ht="15">
      <c r="A140" s="521" t="s">
        <v>318</v>
      </c>
      <c r="B140" s="522" t="s">
        <v>647</v>
      </c>
      <c r="C140" s="424" t="s">
        <v>330</v>
      </c>
      <c r="D140" s="521" t="s">
        <v>648</v>
      </c>
      <c r="E140" s="522">
        <v>201602</v>
      </c>
      <c r="F140" s="523">
        <v>28.68</v>
      </c>
      <c r="G140" s="521">
        <v>2</v>
      </c>
      <c r="H140" s="524">
        <v>1.3083000000000001E-3</v>
      </c>
      <c r="I140" s="523">
        <v>0.08</v>
      </c>
      <c r="J140" s="448">
        <v>0.45</v>
      </c>
      <c r="N140" s="590"/>
      <c r="O140" s="590"/>
      <c r="R140" s="440"/>
    </row>
    <row r="141" spans="1:18" s="559" customFormat="1" ht="15">
      <c r="A141" s="521" t="s">
        <v>318</v>
      </c>
      <c r="B141" s="522" t="s">
        <v>647</v>
      </c>
      <c r="C141" s="424" t="s">
        <v>330</v>
      </c>
      <c r="D141" s="521" t="s">
        <v>648</v>
      </c>
      <c r="E141" s="522">
        <v>201602</v>
      </c>
      <c r="F141" s="523">
        <v>1.8</v>
      </c>
      <c r="G141" s="521">
        <v>2</v>
      </c>
      <c r="H141" s="524">
        <v>1.3083000000000001E-3</v>
      </c>
      <c r="I141" s="523">
        <v>0</v>
      </c>
      <c r="J141" s="448">
        <v>0.03</v>
      </c>
      <c r="N141" s="590"/>
      <c r="O141" s="590"/>
      <c r="R141" s="440"/>
    </row>
    <row r="142" spans="1:18" s="559" customFormat="1" ht="15">
      <c r="A142" s="521" t="s">
        <v>318</v>
      </c>
      <c r="B142" s="522" t="s">
        <v>784</v>
      </c>
      <c r="C142" s="424" t="s">
        <v>330</v>
      </c>
      <c r="D142" s="521" t="s">
        <v>785</v>
      </c>
      <c r="E142" s="522">
        <v>201602</v>
      </c>
      <c r="F142" s="523">
        <v>1974.05</v>
      </c>
      <c r="G142" s="521">
        <v>2</v>
      </c>
      <c r="H142" s="524">
        <v>1.3083000000000001E-3</v>
      </c>
      <c r="I142" s="523">
        <v>5.17</v>
      </c>
      <c r="J142" s="448">
        <v>30.99</v>
      </c>
      <c r="N142" s="590"/>
      <c r="O142" s="590"/>
      <c r="R142" s="440"/>
    </row>
    <row r="143" spans="1:18" s="559" customFormat="1" ht="15">
      <c r="A143" s="521" t="s">
        <v>318</v>
      </c>
      <c r="B143" s="522" t="s">
        <v>784</v>
      </c>
      <c r="C143" s="424" t="s">
        <v>330</v>
      </c>
      <c r="D143" s="521" t="s">
        <v>785</v>
      </c>
      <c r="E143" s="522">
        <v>201602</v>
      </c>
      <c r="F143" s="523">
        <v>12.43</v>
      </c>
      <c r="G143" s="521">
        <v>2</v>
      </c>
      <c r="H143" s="524">
        <v>1.3083000000000001E-3</v>
      </c>
      <c r="I143" s="523">
        <v>0.03</v>
      </c>
      <c r="J143" s="448">
        <v>0.2</v>
      </c>
      <c r="N143" s="590"/>
      <c r="O143" s="590"/>
      <c r="R143" s="440"/>
    </row>
    <row r="144" spans="1:18" s="559" customFormat="1" ht="15">
      <c r="A144" s="521" t="s">
        <v>318</v>
      </c>
      <c r="B144" s="522" t="s">
        <v>629</v>
      </c>
      <c r="C144" s="424" t="s">
        <v>330</v>
      </c>
      <c r="D144" s="521" t="s">
        <v>630</v>
      </c>
      <c r="E144" s="522">
        <v>201602</v>
      </c>
      <c r="F144" s="523">
        <v>-218.22</v>
      </c>
      <c r="G144" s="521">
        <v>2</v>
      </c>
      <c r="H144" s="524">
        <v>1.3083000000000001E-3</v>
      </c>
      <c r="I144" s="523">
        <v>-0.56999999999999995</v>
      </c>
      <c r="J144" s="448">
        <v>-3.43</v>
      </c>
      <c r="N144" s="590"/>
      <c r="O144" s="590"/>
      <c r="R144" s="440"/>
    </row>
    <row r="145" spans="1:18" s="559" customFormat="1" ht="15">
      <c r="A145" s="521" t="s">
        <v>318</v>
      </c>
      <c r="B145" s="522" t="s">
        <v>629</v>
      </c>
      <c r="C145" s="424" t="s">
        <v>330</v>
      </c>
      <c r="D145" s="521" t="s">
        <v>630</v>
      </c>
      <c r="E145" s="522">
        <v>201602</v>
      </c>
      <c r="F145" s="523">
        <v>-282573.43</v>
      </c>
      <c r="G145" s="521">
        <v>2</v>
      </c>
      <c r="H145" s="524">
        <v>1.3083000000000001E-3</v>
      </c>
      <c r="I145" s="523">
        <v>-739.38</v>
      </c>
      <c r="J145" s="448">
        <v>-4436.29</v>
      </c>
      <c r="N145" s="590"/>
      <c r="O145" s="590"/>
      <c r="R145" s="440"/>
    </row>
    <row r="146" spans="1:18" s="559" customFormat="1" ht="15">
      <c r="A146" s="521" t="s">
        <v>318</v>
      </c>
      <c r="B146" s="522" t="s">
        <v>592</v>
      </c>
      <c r="C146" s="424" t="s">
        <v>329</v>
      </c>
      <c r="D146" s="521" t="s">
        <v>593</v>
      </c>
      <c r="E146" s="522">
        <v>201602</v>
      </c>
      <c r="F146" s="523">
        <v>-0.02</v>
      </c>
      <c r="G146" s="521">
        <v>2</v>
      </c>
      <c r="H146" s="524">
        <v>1.3083000000000001E-3</v>
      </c>
      <c r="I146" s="523">
        <v>0</v>
      </c>
      <c r="J146" s="448">
        <v>0</v>
      </c>
      <c r="N146" s="590"/>
      <c r="O146" s="590"/>
      <c r="R146" s="440"/>
    </row>
    <row r="147" spans="1:18" s="559" customFormat="1" ht="15">
      <c r="A147" s="521" t="s">
        <v>318</v>
      </c>
      <c r="B147" s="522" t="s">
        <v>592</v>
      </c>
      <c r="C147" s="424" t="s">
        <v>329</v>
      </c>
      <c r="D147" s="521" t="s">
        <v>593</v>
      </c>
      <c r="E147" s="522">
        <v>201602</v>
      </c>
      <c r="F147" s="523">
        <v>-0.13</v>
      </c>
      <c r="G147" s="521">
        <v>2</v>
      </c>
      <c r="H147" s="524">
        <v>1.3083000000000001E-3</v>
      </c>
      <c r="I147" s="523">
        <v>0</v>
      </c>
      <c r="J147" s="448">
        <v>0</v>
      </c>
      <c r="N147" s="590"/>
      <c r="O147" s="590"/>
      <c r="R147" s="440"/>
    </row>
    <row r="148" spans="1:18" s="559" customFormat="1" ht="15">
      <c r="A148" s="521" t="s">
        <v>318</v>
      </c>
      <c r="B148" s="522" t="s">
        <v>631</v>
      </c>
      <c r="C148" s="424" t="s">
        <v>330</v>
      </c>
      <c r="D148" s="521" t="s">
        <v>632</v>
      </c>
      <c r="E148" s="522">
        <v>201602</v>
      </c>
      <c r="F148" s="523">
        <v>0.02</v>
      </c>
      <c r="G148" s="521">
        <v>2</v>
      </c>
      <c r="H148" s="524">
        <v>1.3083000000000001E-3</v>
      </c>
      <c r="I148" s="523">
        <v>0</v>
      </c>
      <c r="J148" s="448">
        <v>0</v>
      </c>
      <c r="N148" s="590"/>
      <c r="O148" s="590"/>
      <c r="R148" s="440"/>
    </row>
    <row r="149" spans="1:18" s="559" customFormat="1" ht="15">
      <c r="A149" s="521" t="s">
        <v>318</v>
      </c>
      <c r="B149" s="522" t="s">
        <v>631</v>
      </c>
      <c r="C149" s="424" t="s">
        <v>330</v>
      </c>
      <c r="D149" s="521" t="s">
        <v>632</v>
      </c>
      <c r="E149" s="522">
        <v>201602</v>
      </c>
      <c r="F149" s="523">
        <v>1.24</v>
      </c>
      <c r="G149" s="521">
        <v>2</v>
      </c>
      <c r="H149" s="524">
        <v>1.3083000000000001E-3</v>
      </c>
      <c r="I149" s="523">
        <v>0</v>
      </c>
      <c r="J149" s="448">
        <v>0.02</v>
      </c>
      <c r="N149" s="590"/>
      <c r="O149" s="590"/>
      <c r="R149" s="440"/>
    </row>
    <row r="150" spans="1:18" s="559" customFormat="1" ht="15">
      <c r="A150" s="521" t="s">
        <v>318</v>
      </c>
      <c r="B150" s="522" t="s">
        <v>649</v>
      </c>
      <c r="C150" s="424" t="s">
        <v>330</v>
      </c>
      <c r="D150" s="521" t="s">
        <v>650</v>
      </c>
      <c r="E150" s="522">
        <v>201602</v>
      </c>
      <c r="F150" s="523">
        <v>346.8</v>
      </c>
      <c r="G150" s="521">
        <v>2</v>
      </c>
      <c r="H150" s="524">
        <v>1.3083000000000001E-3</v>
      </c>
      <c r="I150" s="523">
        <v>0.91</v>
      </c>
      <c r="J150" s="448">
        <v>5.44</v>
      </c>
      <c r="N150" s="590"/>
      <c r="O150" s="590"/>
      <c r="R150" s="440"/>
    </row>
    <row r="151" spans="1:18" s="559" customFormat="1" ht="15">
      <c r="A151" s="521" t="s">
        <v>318</v>
      </c>
      <c r="B151" s="522" t="s">
        <v>649</v>
      </c>
      <c r="C151" s="424" t="s">
        <v>330</v>
      </c>
      <c r="D151" s="521" t="s">
        <v>650</v>
      </c>
      <c r="E151" s="522">
        <v>201602</v>
      </c>
      <c r="F151" s="523">
        <v>33078.75</v>
      </c>
      <c r="G151" s="521">
        <v>2</v>
      </c>
      <c r="H151" s="524">
        <v>1.3083000000000001E-3</v>
      </c>
      <c r="I151" s="523">
        <v>86.55</v>
      </c>
      <c r="J151" s="448">
        <v>519.32000000000005</v>
      </c>
      <c r="N151" s="590"/>
      <c r="O151" s="590"/>
      <c r="R151" s="440"/>
    </row>
    <row r="152" spans="1:18" s="559" customFormat="1" ht="15">
      <c r="A152" s="521" t="s">
        <v>318</v>
      </c>
      <c r="B152" s="522" t="s">
        <v>651</v>
      </c>
      <c r="C152" s="424" t="s">
        <v>330</v>
      </c>
      <c r="D152" s="521" t="s">
        <v>652</v>
      </c>
      <c r="E152" s="522">
        <v>201602</v>
      </c>
      <c r="F152" s="523">
        <v>16879.37</v>
      </c>
      <c r="G152" s="521">
        <v>2</v>
      </c>
      <c r="H152" s="524">
        <v>1.3083000000000001E-3</v>
      </c>
      <c r="I152" s="523">
        <v>44.17</v>
      </c>
      <c r="J152" s="448">
        <v>265</v>
      </c>
      <c r="N152" s="590"/>
      <c r="O152" s="590"/>
      <c r="R152" s="440"/>
    </row>
    <row r="153" spans="1:18" s="559" customFormat="1" ht="15">
      <c r="A153" s="521" t="s">
        <v>318</v>
      </c>
      <c r="B153" s="522" t="s">
        <v>651</v>
      </c>
      <c r="C153" s="424" t="s">
        <v>330</v>
      </c>
      <c r="D153" s="521" t="s">
        <v>652</v>
      </c>
      <c r="E153" s="522">
        <v>201602</v>
      </c>
      <c r="F153" s="523">
        <v>1257.17</v>
      </c>
      <c r="G153" s="521">
        <v>2</v>
      </c>
      <c r="H153" s="524">
        <v>1.3083000000000001E-3</v>
      </c>
      <c r="I153" s="523">
        <v>3.29</v>
      </c>
      <c r="J153" s="448">
        <v>19.739999999999998</v>
      </c>
      <c r="N153" s="590"/>
      <c r="O153" s="590"/>
      <c r="R153" s="440"/>
    </row>
    <row r="154" spans="1:18" s="559" customFormat="1" ht="15">
      <c r="A154" s="521" t="s">
        <v>318</v>
      </c>
      <c r="B154" s="522" t="s">
        <v>786</v>
      </c>
      <c r="C154" s="424" t="s">
        <v>330</v>
      </c>
      <c r="D154" s="521" t="s">
        <v>787</v>
      </c>
      <c r="E154" s="522">
        <v>201602</v>
      </c>
      <c r="F154" s="523">
        <v>37450.44</v>
      </c>
      <c r="G154" s="521">
        <v>2</v>
      </c>
      <c r="H154" s="524">
        <v>1.3083000000000001E-3</v>
      </c>
      <c r="I154" s="523">
        <v>97.99</v>
      </c>
      <c r="J154" s="448">
        <v>587.96</v>
      </c>
      <c r="N154" s="590"/>
      <c r="O154" s="590"/>
      <c r="R154" s="440"/>
    </row>
    <row r="155" spans="1:18" s="559" customFormat="1" ht="15">
      <c r="A155" s="521" t="s">
        <v>318</v>
      </c>
      <c r="B155" s="522" t="s">
        <v>786</v>
      </c>
      <c r="C155" s="424" t="s">
        <v>330</v>
      </c>
      <c r="D155" s="521" t="s">
        <v>787</v>
      </c>
      <c r="E155" s="522">
        <v>201602</v>
      </c>
      <c r="F155" s="523">
        <v>2534.85</v>
      </c>
      <c r="G155" s="521">
        <v>2</v>
      </c>
      <c r="H155" s="524">
        <v>1.3083000000000001E-3</v>
      </c>
      <c r="I155" s="523">
        <v>6.63</v>
      </c>
      <c r="J155" s="448">
        <v>39.799999999999997</v>
      </c>
      <c r="N155" s="590"/>
      <c r="O155" s="590"/>
      <c r="R155" s="440"/>
    </row>
    <row r="156" spans="1:18" s="559" customFormat="1" ht="15">
      <c r="A156" s="521" t="s">
        <v>318</v>
      </c>
      <c r="B156" s="522" t="s">
        <v>653</v>
      </c>
      <c r="C156" s="424" t="s">
        <v>330</v>
      </c>
      <c r="D156" s="521" t="s">
        <v>654</v>
      </c>
      <c r="E156" s="522">
        <v>201602</v>
      </c>
      <c r="F156" s="523">
        <v>590.84</v>
      </c>
      <c r="G156" s="521">
        <v>2</v>
      </c>
      <c r="H156" s="524">
        <v>1.3083000000000001E-3</v>
      </c>
      <c r="I156" s="523">
        <v>1.55</v>
      </c>
      <c r="J156" s="448">
        <v>9.2799999999999994</v>
      </c>
      <c r="N156" s="590"/>
      <c r="O156" s="590"/>
      <c r="R156" s="440"/>
    </row>
    <row r="157" spans="1:18" s="559" customFormat="1" ht="15">
      <c r="A157" s="521" t="s">
        <v>318</v>
      </c>
      <c r="B157" s="522" t="s">
        <v>653</v>
      </c>
      <c r="C157" s="424" t="s">
        <v>330</v>
      </c>
      <c r="D157" s="521" t="s">
        <v>654</v>
      </c>
      <c r="E157" s="522">
        <v>201602</v>
      </c>
      <c r="F157" s="523">
        <v>23582.080000000002</v>
      </c>
      <c r="G157" s="521">
        <v>2</v>
      </c>
      <c r="H157" s="524">
        <v>1.3083000000000001E-3</v>
      </c>
      <c r="I157" s="523">
        <v>61.7</v>
      </c>
      <c r="J157" s="448">
        <v>370.23</v>
      </c>
      <c r="N157" s="590"/>
      <c r="O157" s="590"/>
      <c r="R157" s="440"/>
    </row>
    <row r="158" spans="1:18" s="559" customFormat="1" ht="15">
      <c r="A158" s="521" t="s">
        <v>318</v>
      </c>
      <c r="B158" s="522" t="s">
        <v>655</v>
      </c>
      <c r="C158" s="424" t="s">
        <v>330</v>
      </c>
      <c r="D158" s="521" t="s">
        <v>656</v>
      </c>
      <c r="E158" s="522">
        <v>201602</v>
      </c>
      <c r="F158" s="523">
        <v>15.35</v>
      </c>
      <c r="G158" s="521">
        <v>2</v>
      </c>
      <c r="H158" s="524">
        <v>1.3083000000000001E-3</v>
      </c>
      <c r="I158" s="523">
        <v>0.04</v>
      </c>
      <c r="J158" s="448">
        <v>0.24</v>
      </c>
      <c r="N158" s="590"/>
      <c r="O158" s="590"/>
      <c r="R158" s="440"/>
    </row>
    <row r="159" spans="1:18" s="559" customFormat="1" ht="15">
      <c r="A159" s="521" t="s">
        <v>318</v>
      </c>
      <c r="B159" s="522" t="s">
        <v>655</v>
      </c>
      <c r="C159" s="424" t="s">
        <v>330</v>
      </c>
      <c r="D159" s="521" t="s">
        <v>656</v>
      </c>
      <c r="E159" s="522">
        <v>201602</v>
      </c>
      <c r="F159" s="523">
        <v>0.21</v>
      </c>
      <c r="G159" s="521">
        <v>2</v>
      </c>
      <c r="H159" s="524">
        <v>1.3083000000000001E-3</v>
      </c>
      <c r="I159" s="523">
        <v>0</v>
      </c>
      <c r="J159" s="448">
        <v>0</v>
      </c>
      <c r="N159" s="590"/>
      <c r="O159" s="590"/>
      <c r="R159" s="440"/>
    </row>
    <row r="160" spans="1:18" s="559" customFormat="1" ht="15">
      <c r="A160" s="521" t="s">
        <v>318</v>
      </c>
      <c r="B160" s="522" t="s">
        <v>594</v>
      </c>
      <c r="C160" s="424" t="s">
        <v>330</v>
      </c>
      <c r="D160" s="521" t="s">
        <v>595</v>
      </c>
      <c r="E160" s="522">
        <v>201602</v>
      </c>
      <c r="F160" s="523">
        <v>1.78</v>
      </c>
      <c r="G160" s="521">
        <v>2</v>
      </c>
      <c r="H160" s="524">
        <v>1.3083000000000001E-3</v>
      </c>
      <c r="I160" s="523">
        <v>0</v>
      </c>
      <c r="J160" s="448">
        <v>0.03</v>
      </c>
      <c r="N160" s="590"/>
      <c r="O160" s="590"/>
      <c r="R160" s="440"/>
    </row>
    <row r="161" spans="1:18" s="559" customFormat="1" ht="15">
      <c r="A161" s="521" t="s">
        <v>318</v>
      </c>
      <c r="B161" s="522" t="s">
        <v>594</v>
      </c>
      <c r="C161" s="424" t="s">
        <v>330</v>
      </c>
      <c r="D161" s="521" t="s">
        <v>595</v>
      </c>
      <c r="E161" s="522">
        <v>201602</v>
      </c>
      <c r="F161" s="523">
        <v>0.05</v>
      </c>
      <c r="G161" s="521">
        <v>2</v>
      </c>
      <c r="H161" s="524">
        <v>1.3083000000000001E-3</v>
      </c>
      <c r="I161" s="523">
        <v>0</v>
      </c>
      <c r="J161" s="448">
        <v>0</v>
      </c>
      <c r="N161" s="590"/>
      <c r="O161" s="590"/>
      <c r="R161" s="440"/>
    </row>
    <row r="162" spans="1:18" s="559" customFormat="1" ht="15">
      <c r="A162" s="521" t="s">
        <v>318</v>
      </c>
      <c r="B162" s="522" t="s">
        <v>596</v>
      </c>
      <c r="C162" s="424" t="s">
        <v>330</v>
      </c>
      <c r="D162" s="521" t="s">
        <v>597</v>
      </c>
      <c r="E162" s="522">
        <v>201602</v>
      </c>
      <c r="F162" s="523">
        <v>0.01</v>
      </c>
      <c r="G162" s="521">
        <v>2</v>
      </c>
      <c r="H162" s="524">
        <v>1.3083000000000001E-3</v>
      </c>
      <c r="I162" s="523">
        <v>0</v>
      </c>
      <c r="J162" s="448">
        <v>0</v>
      </c>
      <c r="N162" s="590"/>
      <c r="O162" s="590"/>
      <c r="R162" s="440"/>
    </row>
    <row r="163" spans="1:18" s="559" customFormat="1" ht="15">
      <c r="A163" s="521" t="s">
        <v>318</v>
      </c>
      <c r="B163" s="522" t="s">
        <v>596</v>
      </c>
      <c r="C163" s="424" t="s">
        <v>330</v>
      </c>
      <c r="D163" s="521" t="s">
        <v>597</v>
      </c>
      <c r="E163" s="522">
        <v>201602</v>
      </c>
      <c r="F163" s="523">
        <v>0.24</v>
      </c>
      <c r="G163" s="521">
        <v>2</v>
      </c>
      <c r="H163" s="524">
        <v>1.3083000000000001E-3</v>
      </c>
      <c r="I163" s="523">
        <v>0</v>
      </c>
      <c r="J163" s="448">
        <v>0</v>
      </c>
      <c r="N163" s="590"/>
      <c r="O163" s="590"/>
      <c r="R163" s="440"/>
    </row>
    <row r="164" spans="1:18" s="559" customFormat="1" ht="15">
      <c r="A164" s="521" t="s">
        <v>318</v>
      </c>
      <c r="B164" s="522" t="s">
        <v>657</v>
      </c>
      <c r="C164" s="424" t="s">
        <v>330</v>
      </c>
      <c r="D164" s="521" t="s">
        <v>658</v>
      </c>
      <c r="E164" s="522">
        <v>201602</v>
      </c>
      <c r="F164" s="523">
        <v>-3.6</v>
      </c>
      <c r="G164" s="521">
        <v>2</v>
      </c>
      <c r="H164" s="524">
        <v>1.3083000000000001E-3</v>
      </c>
      <c r="I164" s="523">
        <v>-0.01</v>
      </c>
      <c r="J164" s="448">
        <v>-0.06</v>
      </c>
      <c r="N164" s="590"/>
      <c r="O164" s="590"/>
      <c r="R164" s="440"/>
    </row>
    <row r="165" spans="1:18" s="559" customFormat="1" ht="15">
      <c r="A165" s="521" t="s">
        <v>318</v>
      </c>
      <c r="B165" s="522" t="s">
        <v>657</v>
      </c>
      <c r="C165" s="424" t="s">
        <v>330</v>
      </c>
      <c r="D165" s="521" t="s">
        <v>658</v>
      </c>
      <c r="E165" s="522">
        <v>201602</v>
      </c>
      <c r="F165" s="523">
        <v>-0.2</v>
      </c>
      <c r="G165" s="521">
        <v>2</v>
      </c>
      <c r="H165" s="524">
        <v>1.3083000000000001E-3</v>
      </c>
      <c r="I165" s="523">
        <v>0</v>
      </c>
      <c r="J165" s="448">
        <v>0</v>
      </c>
      <c r="N165" s="590"/>
      <c r="O165" s="590"/>
      <c r="R165" s="440"/>
    </row>
    <row r="166" spans="1:18" s="559" customFormat="1" ht="15">
      <c r="A166" s="521" t="s">
        <v>318</v>
      </c>
      <c r="B166" s="522" t="s">
        <v>659</v>
      </c>
      <c r="C166" s="424" t="s">
        <v>330</v>
      </c>
      <c r="D166" s="521" t="s">
        <v>660</v>
      </c>
      <c r="E166" s="522">
        <v>201602</v>
      </c>
      <c r="F166" s="523">
        <v>-5.04</v>
      </c>
      <c r="G166" s="521">
        <v>2</v>
      </c>
      <c r="H166" s="524">
        <v>1.3083000000000001E-3</v>
      </c>
      <c r="I166" s="523">
        <v>-0.01</v>
      </c>
      <c r="J166" s="448">
        <v>-0.08</v>
      </c>
      <c r="N166" s="590"/>
      <c r="O166" s="590"/>
      <c r="R166" s="440"/>
    </row>
    <row r="167" spans="1:18" s="559" customFormat="1" ht="15">
      <c r="A167" s="521" t="s">
        <v>318</v>
      </c>
      <c r="B167" s="522" t="s">
        <v>659</v>
      </c>
      <c r="C167" s="424" t="s">
        <v>330</v>
      </c>
      <c r="D167" s="521" t="s">
        <v>660</v>
      </c>
      <c r="E167" s="522">
        <v>201602</v>
      </c>
      <c r="F167" s="523">
        <v>-441.45</v>
      </c>
      <c r="G167" s="521">
        <v>2</v>
      </c>
      <c r="H167" s="524">
        <v>1.3083000000000001E-3</v>
      </c>
      <c r="I167" s="523">
        <v>-1.1599999999999999</v>
      </c>
      <c r="J167" s="448">
        <v>-6.93</v>
      </c>
      <c r="N167" s="590"/>
      <c r="O167" s="590"/>
      <c r="R167" s="440"/>
    </row>
    <row r="168" spans="1:18" s="559" customFormat="1" ht="15">
      <c r="A168" s="521" t="s">
        <v>318</v>
      </c>
      <c r="B168" s="522" t="s">
        <v>661</v>
      </c>
      <c r="C168" s="424" t="s">
        <v>330</v>
      </c>
      <c r="D168" s="521" t="s">
        <v>662</v>
      </c>
      <c r="E168" s="522">
        <v>201602</v>
      </c>
      <c r="F168" s="523">
        <v>2834.73</v>
      </c>
      <c r="G168" s="521">
        <v>2</v>
      </c>
      <c r="H168" s="524">
        <v>1.3083000000000001E-3</v>
      </c>
      <c r="I168" s="523">
        <v>7.42</v>
      </c>
      <c r="J168" s="448">
        <v>44.5</v>
      </c>
      <c r="N168" s="590"/>
      <c r="O168" s="590"/>
      <c r="R168" s="440"/>
    </row>
    <row r="169" spans="1:18" s="559" customFormat="1" ht="15">
      <c r="A169" s="521" t="s">
        <v>318</v>
      </c>
      <c r="B169" s="522" t="s">
        <v>661</v>
      </c>
      <c r="C169" s="424" t="s">
        <v>330</v>
      </c>
      <c r="D169" s="521" t="s">
        <v>662</v>
      </c>
      <c r="E169" s="522">
        <v>201602</v>
      </c>
      <c r="F169" s="523">
        <v>42822.62</v>
      </c>
      <c r="G169" s="521">
        <v>2</v>
      </c>
      <c r="H169" s="524">
        <v>1.3083000000000001E-3</v>
      </c>
      <c r="I169" s="523">
        <v>112.05</v>
      </c>
      <c r="J169" s="448">
        <v>672.3</v>
      </c>
      <c r="N169" s="590"/>
      <c r="O169" s="590"/>
      <c r="R169" s="440"/>
    </row>
    <row r="170" spans="1:18" s="559" customFormat="1" ht="15">
      <c r="A170" s="521" t="s">
        <v>318</v>
      </c>
      <c r="B170" s="522" t="s">
        <v>663</v>
      </c>
      <c r="C170" s="424" t="s">
        <v>330</v>
      </c>
      <c r="D170" s="521" t="s">
        <v>664</v>
      </c>
      <c r="E170" s="522">
        <v>201602</v>
      </c>
      <c r="F170" s="523">
        <v>-525.42999999999995</v>
      </c>
      <c r="G170" s="521">
        <v>2</v>
      </c>
      <c r="H170" s="524">
        <v>1.3083000000000001E-3</v>
      </c>
      <c r="I170" s="523">
        <v>-1.37</v>
      </c>
      <c r="J170" s="448">
        <v>-8.25</v>
      </c>
      <c r="N170" s="590"/>
      <c r="O170" s="590"/>
      <c r="R170" s="440"/>
    </row>
    <row r="171" spans="1:18" s="559" customFormat="1" ht="15">
      <c r="A171" s="521" t="s">
        <v>318</v>
      </c>
      <c r="B171" s="522" t="s">
        <v>663</v>
      </c>
      <c r="C171" s="424" t="s">
        <v>330</v>
      </c>
      <c r="D171" s="521" t="s">
        <v>664</v>
      </c>
      <c r="E171" s="522">
        <v>201602</v>
      </c>
      <c r="F171" s="523">
        <v>-7223.39</v>
      </c>
      <c r="G171" s="521">
        <v>2</v>
      </c>
      <c r="H171" s="524">
        <v>1.3083000000000001E-3</v>
      </c>
      <c r="I171" s="523">
        <v>-18.899999999999999</v>
      </c>
      <c r="J171" s="448">
        <v>-113.4</v>
      </c>
      <c r="N171" s="590"/>
      <c r="O171" s="590"/>
      <c r="R171" s="440"/>
    </row>
    <row r="172" spans="1:18" s="559" customFormat="1" ht="15">
      <c r="A172" s="521" t="s">
        <v>318</v>
      </c>
      <c r="B172" s="522" t="s">
        <v>665</v>
      </c>
      <c r="C172" s="424" t="s">
        <v>330</v>
      </c>
      <c r="D172" s="521" t="s">
        <v>666</v>
      </c>
      <c r="E172" s="522">
        <v>201602</v>
      </c>
      <c r="F172" s="523">
        <v>-50494.05</v>
      </c>
      <c r="G172" s="521">
        <v>2</v>
      </c>
      <c r="H172" s="524">
        <v>1.3083000000000001E-3</v>
      </c>
      <c r="I172" s="523">
        <v>-132.12</v>
      </c>
      <c r="J172" s="448">
        <v>-792.74</v>
      </c>
      <c r="N172" s="590"/>
      <c r="O172" s="590"/>
      <c r="R172" s="440"/>
    </row>
    <row r="173" spans="1:18" s="559" customFormat="1" ht="15">
      <c r="A173" s="521" t="s">
        <v>318</v>
      </c>
      <c r="B173" s="522" t="s">
        <v>665</v>
      </c>
      <c r="C173" s="424" t="s">
        <v>330</v>
      </c>
      <c r="D173" s="521" t="s">
        <v>666</v>
      </c>
      <c r="E173" s="522">
        <v>201602</v>
      </c>
      <c r="F173" s="523">
        <v>-6122.81</v>
      </c>
      <c r="G173" s="521">
        <v>2</v>
      </c>
      <c r="H173" s="524">
        <v>1.3083000000000001E-3</v>
      </c>
      <c r="I173" s="523">
        <v>-16.02</v>
      </c>
      <c r="J173" s="448">
        <v>-96.13</v>
      </c>
      <c r="N173" s="590"/>
      <c r="O173" s="590"/>
      <c r="R173" s="440"/>
    </row>
    <row r="174" spans="1:18" s="559" customFormat="1" ht="15">
      <c r="A174" s="521" t="s">
        <v>318</v>
      </c>
      <c r="B174" s="522" t="s">
        <v>801</v>
      </c>
      <c r="C174" s="424" t="s">
        <v>330</v>
      </c>
      <c r="D174" s="521" t="s">
        <v>802</v>
      </c>
      <c r="E174" s="522">
        <v>201602</v>
      </c>
      <c r="F174" s="523">
        <v>15375.67</v>
      </c>
      <c r="G174" s="521">
        <v>2</v>
      </c>
      <c r="H174" s="524">
        <v>1.3083000000000001E-3</v>
      </c>
      <c r="I174" s="523">
        <v>40.229999999999997</v>
      </c>
      <c r="J174" s="448">
        <v>241.39</v>
      </c>
      <c r="N174" s="590"/>
      <c r="O174" s="590"/>
      <c r="R174" s="440"/>
    </row>
    <row r="175" spans="1:18" s="559" customFormat="1" ht="15">
      <c r="A175" s="521" t="s">
        <v>318</v>
      </c>
      <c r="B175" s="522" t="s">
        <v>801</v>
      </c>
      <c r="C175" s="424" t="s">
        <v>330</v>
      </c>
      <c r="D175" s="521" t="s">
        <v>802</v>
      </c>
      <c r="E175" s="522">
        <v>201602</v>
      </c>
      <c r="F175" s="523">
        <v>205616.16</v>
      </c>
      <c r="G175" s="521">
        <v>2</v>
      </c>
      <c r="H175" s="524">
        <v>1.3083000000000001E-3</v>
      </c>
      <c r="I175" s="523">
        <v>538.02</v>
      </c>
      <c r="J175" s="448">
        <v>3228.09</v>
      </c>
      <c r="N175" s="590"/>
      <c r="O175" s="590"/>
      <c r="R175" s="440"/>
    </row>
    <row r="176" spans="1:18" s="559" customFormat="1" ht="15">
      <c r="A176" s="521" t="s">
        <v>318</v>
      </c>
      <c r="B176" s="522" t="s">
        <v>803</v>
      </c>
      <c r="C176" s="424" t="s">
        <v>330</v>
      </c>
      <c r="D176" s="521" t="s">
        <v>804</v>
      </c>
      <c r="E176" s="522">
        <v>201602</v>
      </c>
      <c r="F176" s="523">
        <v>135169.66</v>
      </c>
      <c r="G176" s="521">
        <v>2</v>
      </c>
      <c r="H176" s="524">
        <v>1.3083000000000001E-3</v>
      </c>
      <c r="I176" s="523">
        <v>353.68</v>
      </c>
      <c r="J176" s="448">
        <v>2122.11</v>
      </c>
      <c r="N176" s="590"/>
      <c r="O176" s="590"/>
      <c r="R176" s="440"/>
    </row>
    <row r="177" spans="1:18" s="559" customFormat="1" ht="15">
      <c r="A177" s="521" t="s">
        <v>318</v>
      </c>
      <c r="B177" s="522" t="s">
        <v>803</v>
      </c>
      <c r="C177" s="424" t="s">
        <v>330</v>
      </c>
      <c r="D177" s="521" t="s">
        <v>804</v>
      </c>
      <c r="E177" s="522">
        <v>201602</v>
      </c>
      <c r="F177" s="523">
        <v>9976.99</v>
      </c>
      <c r="G177" s="521">
        <v>2</v>
      </c>
      <c r="H177" s="524">
        <v>1.3083000000000001E-3</v>
      </c>
      <c r="I177" s="523">
        <v>26.11</v>
      </c>
      <c r="J177" s="448">
        <v>156.63</v>
      </c>
      <c r="N177" s="590"/>
      <c r="O177" s="590"/>
      <c r="R177" s="440"/>
    </row>
    <row r="178" spans="1:18" s="559" customFormat="1" ht="15">
      <c r="A178" s="521" t="s">
        <v>318</v>
      </c>
      <c r="B178" s="522" t="s">
        <v>805</v>
      </c>
      <c r="C178" s="424" t="s">
        <v>330</v>
      </c>
      <c r="D178" s="521" t="s">
        <v>806</v>
      </c>
      <c r="E178" s="522">
        <v>201602</v>
      </c>
      <c r="F178" s="523">
        <v>201870.7</v>
      </c>
      <c r="G178" s="521">
        <v>2</v>
      </c>
      <c r="H178" s="524">
        <v>1.3083000000000001E-3</v>
      </c>
      <c r="I178" s="523">
        <v>528.21</v>
      </c>
      <c r="J178" s="448">
        <v>3169.29</v>
      </c>
      <c r="N178" s="590"/>
      <c r="O178" s="590"/>
      <c r="R178" s="440"/>
    </row>
    <row r="179" spans="1:18" s="559" customFormat="1" ht="15">
      <c r="A179" s="521" t="s">
        <v>318</v>
      </c>
      <c r="B179" s="522" t="s">
        <v>805</v>
      </c>
      <c r="C179" s="424" t="s">
        <v>330</v>
      </c>
      <c r="D179" s="521" t="s">
        <v>806</v>
      </c>
      <c r="E179" s="522">
        <v>201602</v>
      </c>
      <c r="F179" s="523">
        <v>7691.71</v>
      </c>
      <c r="G179" s="521">
        <v>2</v>
      </c>
      <c r="H179" s="524">
        <v>1.3083000000000001E-3</v>
      </c>
      <c r="I179" s="523">
        <v>20.13</v>
      </c>
      <c r="J179" s="448">
        <v>120.76</v>
      </c>
      <c r="N179" s="590"/>
      <c r="O179" s="590"/>
      <c r="R179" s="440"/>
    </row>
    <row r="180" spans="1:18" s="559" customFormat="1" ht="15">
      <c r="A180" s="521" t="s">
        <v>318</v>
      </c>
      <c r="B180" s="522" t="s">
        <v>633</v>
      </c>
      <c r="C180" s="424" t="s">
        <v>329</v>
      </c>
      <c r="D180" s="521" t="s">
        <v>807</v>
      </c>
      <c r="E180" s="522">
        <v>201602</v>
      </c>
      <c r="F180" s="523">
        <v>1713.3</v>
      </c>
      <c r="G180" s="521">
        <v>2</v>
      </c>
      <c r="H180" s="524">
        <v>1.3083000000000001E-3</v>
      </c>
      <c r="I180" s="523">
        <v>4.4800000000000004</v>
      </c>
      <c r="J180" s="448">
        <v>26.9</v>
      </c>
      <c r="N180" s="590"/>
      <c r="O180" s="590"/>
      <c r="R180" s="440"/>
    </row>
    <row r="181" spans="1:18" s="559" customFormat="1" ht="15">
      <c r="A181" s="521" t="s">
        <v>318</v>
      </c>
      <c r="B181" s="522" t="s">
        <v>633</v>
      </c>
      <c r="C181" s="424" t="s">
        <v>329</v>
      </c>
      <c r="D181" s="521" t="s">
        <v>807</v>
      </c>
      <c r="E181" s="522">
        <v>201602</v>
      </c>
      <c r="F181" s="523">
        <v>101.79</v>
      </c>
      <c r="G181" s="521">
        <v>2</v>
      </c>
      <c r="H181" s="524">
        <v>1.3083000000000001E-3</v>
      </c>
      <c r="I181" s="523">
        <v>0.27</v>
      </c>
      <c r="J181" s="448">
        <v>1.6</v>
      </c>
      <c r="N181" s="590"/>
      <c r="O181" s="590"/>
      <c r="R181" s="440"/>
    </row>
    <row r="182" spans="1:18" s="559" customFormat="1" ht="15">
      <c r="A182" s="521" t="s">
        <v>318</v>
      </c>
      <c r="B182" s="522" t="s">
        <v>808</v>
      </c>
      <c r="C182" s="424" t="s">
        <v>329</v>
      </c>
      <c r="D182" s="521" t="s">
        <v>809</v>
      </c>
      <c r="E182" s="522">
        <v>201602</v>
      </c>
      <c r="F182" s="523">
        <v>443401.29</v>
      </c>
      <c r="G182" s="521">
        <v>2</v>
      </c>
      <c r="H182" s="524">
        <v>1.3083000000000001E-3</v>
      </c>
      <c r="I182" s="523">
        <v>1160.2</v>
      </c>
      <c r="J182" s="448">
        <v>6961.22</v>
      </c>
      <c r="N182" s="590"/>
      <c r="O182" s="590"/>
      <c r="R182" s="440"/>
    </row>
    <row r="183" spans="1:18" s="559" customFormat="1" ht="15">
      <c r="A183" s="521" t="s">
        <v>318</v>
      </c>
      <c r="B183" s="522" t="s">
        <v>808</v>
      </c>
      <c r="C183" s="424" t="s">
        <v>329</v>
      </c>
      <c r="D183" s="521" t="s">
        <v>809</v>
      </c>
      <c r="E183" s="522">
        <v>201602</v>
      </c>
      <c r="F183" s="523">
        <v>110735.95</v>
      </c>
      <c r="G183" s="521">
        <v>2</v>
      </c>
      <c r="H183" s="524">
        <v>1.3083000000000001E-3</v>
      </c>
      <c r="I183" s="523">
        <v>289.75</v>
      </c>
      <c r="J183" s="448">
        <v>1738.51</v>
      </c>
      <c r="N183" s="590"/>
      <c r="O183" s="590"/>
      <c r="R183" s="440"/>
    </row>
    <row r="184" spans="1:18" s="559" customFormat="1" ht="15">
      <c r="A184" s="521" t="s">
        <v>322</v>
      </c>
      <c r="B184" s="522" t="s">
        <v>667</v>
      </c>
      <c r="C184" s="424" t="s">
        <v>329</v>
      </c>
      <c r="D184" s="521" t="s">
        <v>668</v>
      </c>
      <c r="E184" s="522">
        <v>201602</v>
      </c>
      <c r="F184" s="523">
        <v>116.92</v>
      </c>
      <c r="G184" s="521">
        <v>2</v>
      </c>
      <c r="H184" s="524">
        <v>1.1999999999999999E-3</v>
      </c>
      <c r="I184" s="523">
        <v>0.28000000000000003</v>
      </c>
      <c r="J184" s="448">
        <v>1.68</v>
      </c>
      <c r="N184" s="590"/>
      <c r="O184" s="590"/>
      <c r="R184" s="440"/>
    </row>
    <row r="185" spans="1:18" s="559" customFormat="1" ht="15">
      <c r="A185" s="521" t="s">
        <v>318</v>
      </c>
      <c r="B185" s="522" t="s">
        <v>667</v>
      </c>
      <c r="C185" s="424" t="s">
        <v>329</v>
      </c>
      <c r="D185" s="521" t="s">
        <v>668</v>
      </c>
      <c r="E185" s="522">
        <v>201602</v>
      </c>
      <c r="F185" s="523">
        <v>68.819999999999993</v>
      </c>
      <c r="G185" s="521">
        <v>2</v>
      </c>
      <c r="H185" s="524">
        <v>1.3083000000000001E-3</v>
      </c>
      <c r="I185" s="523">
        <v>0.18</v>
      </c>
      <c r="J185" s="448">
        <v>1.08</v>
      </c>
      <c r="N185" s="590"/>
      <c r="O185" s="590"/>
      <c r="R185" s="440"/>
    </row>
    <row r="186" spans="1:18" s="559" customFormat="1" ht="15">
      <c r="A186" s="521" t="s">
        <v>318</v>
      </c>
      <c r="B186" s="522" t="s">
        <v>667</v>
      </c>
      <c r="C186" s="424" t="s">
        <v>329</v>
      </c>
      <c r="D186" s="521" t="s">
        <v>668</v>
      </c>
      <c r="E186" s="522">
        <v>201602</v>
      </c>
      <c r="F186" s="523">
        <v>999.56</v>
      </c>
      <c r="G186" s="521">
        <v>2</v>
      </c>
      <c r="H186" s="524">
        <v>1.3083000000000001E-3</v>
      </c>
      <c r="I186" s="523">
        <v>2.62</v>
      </c>
      <c r="J186" s="448">
        <v>15.69</v>
      </c>
      <c r="N186" s="590"/>
      <c r="O186" s="590"/>
      <c r="R186" s="440"/>
    </row>
    <row r="187" spans="1:18" s="559" customFormat="1" ht="15">
      <c r="A187" s="521" t="s">
        <v>318</v>
      </c>
      <c r="B187" s="522" t="s">
        <v>598</v>
      </c>
      <c r="C187" s="424" t="s">
        <v>330</v>
      </c>
      <c r="D187" s="521" t="s">
        <v>599</v>
      </c>
      <c r="E187" s="522">
        <v>201602</v>
      </c>
      <c r="F187" s="523">
        <v>-17.47</v>
      </c>
      <c r="G187" s="521">
        <v>2</v>
      </c>
      <c r="H187" s="524">
        <v>1.3083000000000001E-3</v>
      </c>
      <c r="I187" s="523">
        <v>-0.05</v>
      </c>
      <c r="J187" s="448">
        <v>-0.27</v>
      </c>
      <c r="N187" s="590"/>
      <c r="O187" s="590"/>
      <c r="R187" s="440"/>
    </row>
    <row r="188" spans="1:18" s="559" customFormat="1" ht="15">
      <c r="A188" s="521" t="s">
        <v>318</v>
      </c>
      <c r="B188" s="522" t="s">
        <v>598</v>
      </c>
      <c r="C188" s="424" t="s">
        <v>330</v>
      </c>
      <c r="D188" s="521" t="s">
        <v>599</v>
      </c>
      <c r="E188" s="522">
        <v>201602</v>
      </c>
      <c r="F188" s="523">
        <v>-13.04</v>
      </c>
      <c r="G188" s="521">
        <v>2</v>
      </c>
      <c r="H188" s="524">
        <v>1.3083000000000001E-3</v>
      </c>
      <c r="I188" s="523">
        <v>-0.03</v>
      </c>
      <c r="J188" s="448">
        <v>-0.2</v>
      </c>
      <c r="N188" s="590"/>
      <c r="O188" s="590"/>
      <c r="R188" s="440"/>
    </row>
    <row r="189" spans="1:18" s="559" customFormat="1" ht="15">
      <c r="A189" s="521" t="s">
        <v>318</v>
      </c>
      <c r="B189" s="522" t="s">
        <v>600</v>
      </c>
      <c r="C189" s="424" t="s">
        <v>330</v>
      </c>
      <c r="D189" s="521" t="s">
        <v>601</v>
      </c>
      <c r="E189" s="522">
        <v>201602</v>
      </c>
      <c r="F189" s="523">
        <v>0.23</v>
      </c>
      <c r="G189" s="521">
        <v>2</v>
      </c>
      <c r="H189" s="524">
        <v>1.3083000000000001E-3</v>
      </c>
      <c r="I189" s="523">
        <v>0</v>
      </c>
      <c r="J189" s="448">
        <v>0</v>
      </c>
      <c r="N189" s="590"/>
      <c r="O189" s="590"/>
      <c r="R189" s="440"/>
    </row>
    <row r="190" spans="1:18" s="559" customFormat="1" ht="15">
      <c r="A190" s="521" t="s">
        <v>318</v>
      </c>
      <c r="B190" s="522" t="s">
        <v>554</v>
      </c>
      <c r="C190" s="424" t="s">
        <v>330</v>
      </c>
      <c r="D190" s="521" t="s">
        <v>555</v>
      </c>
      <c r="E190" s="522">
        <v>201602</v>
      </c>
      <c r="F190" s="523">
        <v>0.21</v>
      </c>
      <c r="G190" s="521">
        <v>2</v>
      </c>
      <c r="H190" s="524">
        <v>1.3083000000000001E-3</v>
      </c>
      <c r="I190" s="523">
        <v>0</v>
      </c>
      <c r="J190" s="448">
        <v>0</v>
      </c>
      <c r="N190" s="590"/>
      <c r="O190" s="590"/>
      <c r="R190" s="440"/>
    </row>
    <row r="191" spans="1:18" s="559" customFormat="1" ht="15">
      <c r="A191" s="521" t="s">
        <v>318</v>
      </c>
      <c r="B191" s="522" t="s">
        <v>554</v>
      </c>
      <c r="C191" s="424" t="s">
        <v>330</v>
      </c>
      <c r="D191" s="521" t="s">
        <v>555</v>
      </c>
      <c r="E191" s="522">
        <v>201602</v>
      </c>
      <c r="F191" s="523">
        <v>0.02</v>
      </c>
      <c r="G191" s="521">
        <v>2</v>
      </c>
      <c r="H191" s="524">
        <v>1.3083000000000001E-3</v>
      </c>
      <c r="I191" s="523">
        <v>0</v>
      </c>
      <c r="J191" s="448">
        <v>0</v>
      </c>
      <c r="N191" s="590"/>
      <c r="O191" s="590"/>
      <c r="R191" s="440"/>
    </row>
    <row r="192" spans="1:18" s="559" customFormat="1" ht="15">
      <c r="A192" s="521" t="s">
        <v>318</v>
      </c>
      <c r="B192" s="522" t="s">
        <v>556</v>
      </c>
      <c r="C192" s="424" t="s">
        <v>330</v>
      </c>
      <c r="D192" s="521" t="s">
        <v>557</v>
      </c>
      <c r="E192" s="522">
        <v>201602</v>
      </c>
      <c r="F192" s="523">
        <v>37.409999999999997</v>
      </c>
      <c r="G192" s="521">
        <v>2</v>
      </c>
      <c r="H192" s="524">
        <v>1.3083000000000001E-3</v>
      </c>
      <c r="I192" s="523">
        <v>0.1</v>
      </c>
      <c r="J192" s="448">
        <v>0.59</v>
      </c>
      <c r="N192" s="590"/>
      <c r="O192" s="590"/>
      <c r="R192" s="440"/>
    </row>
    <row r="193" spans="1:18" s="559" customFormat="1" ht="15">
      <c r="A193" s="521" t="s">
        <v>318</v>
      </c>
      <c r="B193" s="522" t="s">
        <v>556</v>
      </c>
      <c r="C193" s="424" t="s">
        <v>330</v>
      </c>
      <c r="D193" s="521" t="s">
        <v>557</v>
      </c>
      <c r="E193" s="522">
        <v>201602</v>
      </c>
      <c r="F193" s="523">
        <v>114.23</v>
      </c>
      <c r="G193" s="521">
        <v>2</v>
      </c>
      <c r="H193" s="524">
        <v>1.3083000000000001E-3</v>
      </c>
      <c r="I193" s="523">
        <v>0.3</v>
      </c>
      <c r="J193" s="448">
        <v>1.79</v>
      </c>
      <c r="N193" s="590"/>
      <c r="O193" s="590"/>
      <c r="R193" s="440"/>
    </row>
    <row r="194" spans="1:18" s="559" customFormat="1" ht="15">
      <c r="A194" s="521" t="s">
        <v>318</v>
      </c>
      <c r="B194" s="522" t="s">
        <v>560</v>
      </c>
      <c r="C194" s="424" t="s">
        <v>330</v>
      </c>
      <c r="D194" s="521" t="s">
        <v>561</v>
      </c>
      <c r="E194" s="522">
        <v>201602</v>
      </c>
      <c r="F194" s="523">
        <v>-0.73</v>
      </c>
      <c r="G194" s="521">
        <v>2</v>
      </c>
      <c r="H194" s="524">
        <v>1.3083000000000001E-3</v>
      </c>
      <c r="I194" s="523">
        <v>0</v>
      </c>
      <c r="J194" s="448">
        <v>-0.01</v>
      </c>
      <c r="N194" s="590"/>
      <c r="O194" s="590"/>
      <c r="R194" s="440"/>
    </row>
    <row r="195" spans="1:18" s="559" customFormat="1" ht="15">
      <c r="A195" s="521" t="s">
        <v>318</v>
      </c>
      <c r="B195" s="522" t="s">
        <v>560</v>
      </c>
      <c r="C195" s="424" t="s">
        <v>330</v>
      </c>
      <c r="D195" s="521" t="s">
        <v>561</v>
      </c>
      <c r="E195" s="522">
        <v>201602</v>
      </c>
      <c r="F195" s="523">
        <v>-0.06</v>
      </c>
      <c r="G195" s="521">
        <v>2</v>
      </c>
      <c r="H195" s="524">
        <v>1.3083000000000001E-3</v>
      </c>
      <c r="I195" s="523">
        <v>0</v>
      </c>
      <c r="J195" s="448">
        <v>0</v>
      </c>
      <c r="N195" s="590"/>
      <c r="O195" s="590"/>
      <c r="R195" s="440"/>
    </row>
    <row r="196" spans="1:18" s="559" customFormat="1" ht="15">
      <c r="A196" s="521" t="s">
        <v>318</v>
      </c>
      <c r="B196" s="522" t="s">
        <v>562</v>
      </c>
      <c r="C196" s="424" t="s">
        <v>330</v>
      </c>
      <c r="D196" s="521" t="s">
        <v>563</v>
      </c>
      <c r="E196" s="522">
        <v>201602</v>
      </c>
      <c r="F196" s="523">
        <v>0.68</v>
      </c>
      <c r="G196" s="521">
        <v>2</v>
      </c>
      <c r="H196" s="524">
        <v>1.3083000000000001E-3</v>
      </c>
      <c r="I196" s="523">
        <v>0</v>
      </c>
      <c r="J196" s="448">
        <v>0.01</v>
      </c>
      <c r="N196" s="590"/>
      <c r="O196" s="590"/>
      <c r="R196" s="440"/>
    </row>
    <row r="197" spans="1:18" s="559" customFormat="1" ht="15">
      <c r="A197" s="521" t="s">
        <v>318</v>
      </c>
      <c r="B197" s="522" t="s">
        <v>562</v>
      </c>
      <c r="C197" s="424" t="s">
        <v>330</v>
      </c>
      <c r="D197" s="521" t="s">
        <v>563</v>
      </c>
      <c r="E197" s="522">
        <v>201602</v>
      </c>
      <c r="F197" s="523">
        <v>7.62</v>
      </c>
      <c r="G197" s="521">
        <v>2</v>
      </c>
      <c r="H197" s="524">
        <v>1.3083000000000001E-3</v>
      </c>
      <c r="I197" s="523">
        <v>0.02</v>
      </c>
      <c r="J197" s="448">
        <v>0.12</v>
      </c>
      <c r="N197" s="590"/>
      <c r="O197" s="590"/>
      <c r="R197" s="440"/>
    </row>
    <row r="198" spans="1:18" s="559" customFormat="1" ht="15">
      <c r="A198" s="521" t="s">
        <v>318</v>
      </c>
      <c r="B198" s="522" t="s">
        <v>602</v>
      </c>
      <c r="C198" s="424" t="s">
        <v>330</v>
      </c>
      <c r="D198" s="521" t="s">
        <v>603</v>
      </c>
      <c r="E198" s="522">
        <v>201602</v>
      </c>
      <c r="F198" s="523">
        <v>13.34</v>
      </c>
      <c r="G198" s="521">
        <v>2</v>
      </c>
      <c r="H198" s="524">
        <v>1.3083000000000001E-3</v>
      </c>
      <c r="I198" s="523">
        <v>0.03</v>
      </c>
      <c r="J198" s="448">
        <v>0.21</v>
      </c>
      <c r="N198" s="590"/>
      <c r="O198" s="590"/>
      <c r="R198" s="440"/>
    </row>
    <row r="199" spans="1:18" s="559" customFormat="1" ht="15">
      <c r="A199" s="521" t="s">
        <v>318</v>
      </c>
      <c r="B199" s="522" t="s">
        <v>602</v>
      </c>
      <c r="C199" s="424" t="s">
        <v>330</v>
      </c>
      <c r="D199" s="521" t="s">
        <v>603</v>
      </c>
      <c r="E199" s="522">
        <v>201602</v>
      </c>
      <c r="F199" s="523">
        <v>27.67</v>
      </c>
      <c r="G199" s="521">
        <v>2</v>
      </c>
      <c r="H199" s="524">
        <v>1.3083000000000001E-3</v>
      </c>
      <c r="I199" s="523">
        <v>7.0000000000000007E-2</v>
      </c>
      <c r="J199" s="448">
        <v>0.43</v>
      </c>
      <c r="N199" s="590"/>
      <c r="O199" s="590"/>
      <c r="R199" s="440"/>
    </row>
    <row r="200" spans="1:18" s="559" customFormat="1" ht="15">
      <c r="A200" s="521" t="s">
        <v>318</v>
      </c>
      <c r="B200" s="522" t="s">
        <v>810</v>
      </c>
      <c r="C200" s="424" t="s">
        <v>330</v>
      </c>
      <c r="D200" s="521" t="s">
        <v>811</v>
      </c>
      <c r="E200" s="522">
        <v>201602</v>
      </c>
      <c r="F200" s="523">
        <v>36973.79</v>
      </c>
      <c r="G200" s="521">
        <v>2</v>
      </c>
      <c r="H200" s="524">
        <v>1.3083000000000001E-3</v>
      </c>
      <c r="I200" s="523">
        <v>96.75</v>
      </c>
      <c r="J200" s="448">
        <v>580.47</v>
      </c>
      <c r="N200" s="590"/>
      <c r="O200" s="590"/>
      <c r="R200" s="440"/>
    </row>
    <row r="201" spans="1:18" s="559" customFormat="1" ht="15">
      <c r="A201" s="521" t="s">
        <v>318</v>
      </c>
      <c r="B201" s="522" t="s">
        <v>810</v>
      </c>
      <c r="C201" s="424" t="s">
        <v>330</v>
      </c>
      <c r="D201" s="521" t="s">
        <v>811</v>
      </c>
      <c r="E201" s="522">
        <v>201602</v>
      </c>
      <c r="F201" s="523">
        <v>751760.51</v>
      </c>
      <c r="G201" s="521">
        <v>2</v>
      </c>
      <c r="H201" s="524">
        <v>1.3083000000000001E-3</v>
      </c>
      <c r="I201" s="523">
        <v>1967.06</v>
      </c>
      <c r="J201" s="448">
        <v>11802.34</v>
      </c>
      <c r="N201" s="590"/>
      <c r="O201" s="590"/>
      <c r="R201" s="440"/>
    </row>
    <row r="202" spans="1:18" s="559" customFormat="1" ht="15">
      <c r="A202" s="521" t="s">
        <v>318</v>
      </c>
      <c r="B202" s="522" t="s">
        <v>635</v>
      </c>
      <c r="C202" s="424" t="s">
        <v>329</v>
      </c>
      <c r="D202" s="521" t="s">
        <v>636</v>
      </c>
      <c r="E202" s="522">
        <v>201602</v>
      </c>
      <c r="F202" s="523">
        <v>-6.83</v>
      </c>
      <c r="G202" s="521">
        <v>2</v>
      </c>
      <c r="H202" s="524">
        <v>1.3083000000000001E-3</v>
      </c>
      <c r="I202" s="523">
        <v>-0.02</v>
      </c>
      <c r="J202" s="448">
        <v>-0.11</v>
      </c>
      <c r="N202" s="590"/>
      <c r="O202" s="590"/>
      <c r="R202" s="440"/>
    </row>
    <row r="203" spans="1:18" s="559" customFormat="1" ht="15">
      <c r="A203" s="521" t="s">
        <v>318</v>
      </c>
      <c r="B203" s="522" t="s">
        <v>635</v>
      </c>
      <c r="C203" s="424" t="s">
        <v>329</v>
      </c>
      <c r="D203" s="521" t="s">
        <v>636</v>
      </c>
      <c r="E203" s="522">
        <v>201602</v>
      </c>
      <c r="F203" s="523">
        <v>-72.12</v>
      </c>
      <c r="G203" s="521">
        <v>2</v>
      </c>
      <c r="H203" s="524">
        <v>1.3083000000000001E-3</v>
      </c>
      <c r="I203" s="523">
        <v>-0.19</v>
      </c>
      <c r="J203" s="448">
        <v>-1.1299999999999999</v>
      </c>
      <c r="N203" s="590"/>
      <c r="O203" s="590"/>
      <c r="R203" s="440"/>
    </row>
    <row r="204" spans="1:18" s="559" customFormat="1" ht="15">
      <c r="A204" s="521" t="s">
        <v>318</v>
      </c>
      <c r="B204" s="522" t="s">
        <v>812</v>
      </c>
      <c r="C204" s="424" t="s">
        <v>330</v>
      </c>
      <c r="D204" s="521" t="s">
        <v>813</v>
      </c>
      <c r="E204" s="522">
        <v>201602</v>
      </c>
      <c r="F204" s="523">
        <v>615850.86</v>
      </c>
      <c r="G204" s="521">
        <v>2</v>
      </c>
      <c r="H204" s="524">
        <v>1.3083000000000001E-3</v>
      </c>
      <c r="I204" s="523">
        <v>1611.44</v>
      </c>
      <c r="J204" s="448">
        <v>9668.61</v>
      </c>
      <c r="N204" s="590"/>
      <c r="O204" s="590"/>
      <c r="R204" s="440"/>
    </row>
    <row r="205" spans="1:18" s="559" customFormat="1" ht="15">
      <c r="A205" s="521" t="s">
        <v>318</v>
      </c>
      <c r="B205" s="522" t="s">
        <v>812</v>
      </c>
      <c r="C205" s="424" t="s">
        <v>330</v>
      </c>
      <c r="D205" s="521" t="s">
        <v>813</v>
      </c>
      <c r="E205" s="522">
        <v>201602</v>
      </c>
      <c r="F205" s="523">
        <v>34257.83</v>
      </c>
      <c r="G205" s="521">
        <v>2</v>
      </c>
      <c r="H205" s="524">
        <v>1.3083000000000001E-3</v>
      </c>
      <c r="I205" s="523">
        <v>89.64</v>
      </c>
      <c r="J205" s="448">
        <v>537.83000000000004</v>
      </c>
      <c r="N205" s="590"/>
      <c r="O205" s="590"/>
      <c r="R205" s="440"/>
    </row>
    <row r="206" spans="1:18" s="559" customFormat="1" ht="15">
      <c r="A206" s="521" t="s">
        <v>318</v>
      </c>
      <c r="B206" s="522" t="s">
        <v>788</v>
      </c>
      <c r="C206" s="424" t="s">
        <v>330</v>
      </c>
      <c r="D206" s="521" t="s">
        <v>789</v>
      </c>
      <c r="E206" s="522">
        <v>201602</v>
      </c>
      <c r="F206" s="523">
        <v>214.31</v>
      </c>
      <c r="G206" s="521">
        <v>2</v>
      </c>
      <c r="H206" s="524">
        <v>1.3083000000000001E-3</v>
      </c>
      <c r="I206" s="523">
        <v>0.56000000000000005</v>
      </c>
      <c r="J206" s="448">
        <v>3.36</v>
      </c>
      <c r="N206" s="590"/>
      <c r="O206" s="590"/>
      <c r="R206" s="440"/>
    </row>
    <row r="207" spans="1:18" s="559" customFormat="1" ht="15">
      <c r="A207" s="521" t="s">
        <v>318</v>
      </c>
      <c r="B207" s="522" t="s">
        <v>788</v>
      </c>
      <c r="C207" s="424" t="s">
        <v>330</v>
      </c>
      <c r="D207" s="521" t="s">
        <v>789</v>
      </c>
      <c r="E207" s="522">
        <v>201602</v>
      </c>
      <c r="F207" s="523">
        <v>1.47</v>
      </c>
      <c r="G207" s="521">
        <v>2</v>
      </c>
      <c r="H207" s="524">
        <v>1.3083000000000001E-3</v>
      </c>
      <c r="I207" s="523">
        <v>0</v>
      </c>
      <c r="J207" s="448">
        <v>0.02</v>
      </c>
      <c r="N207" s="590"/>
      <c r="O207" s="590"/>
      <c r="R207" s="440"/>
    </row>
    <row r="208" spans="1:18" s="559" customFormat="1" ht="15">
      <c r="A208" s="521" t="s">
        <v>318</v>
      </c>
      <c r="B208" s="522" t="s">
        <v>564</v>
      </c>
      <c r="C208" s="424" t="s">
        <v>330</v>
      </c>
      <c r="D208" s="521" t="s">
        <v>669</v>
      </c>
      <c r="E208" s="522">
        <v>201602</v>
      </c>
      <c r="F208" s="523">
        <v>-0.38</v>
      </c>
      <c r="G208" s="521">
        <v>2</v>
      </c>
      <c r="H208" s="524">
        <v>1.3083000000000001E-3</v>
      </c>
      <c r="I208" s="523">
        <v>0</v>
      </c>
      <c r="J208" s="448">
        <v>-0.01</v>
      </c>
      <c r="N208" s="590"/>
      <c r="O208" s="590"/>
      <c r="R208" s="440"/>
    </row>
    <row r="209" spans="1:18" s="559" customFormat="1" ht="15">
      <c r="A209" s="521" t="s">
        <v>318</v>
      </c>
      <c r="B209" s="522" t="s">
        <v>564</v>
      </c>
      <c r="C209" s="424" t="s">
        <v>330</v>
      </c>
      <c r="D209" s="521" t="s">
        <v>669</v>
      </c>
      <c r="E209" s="522">
        <v>201602</v>
      </c>
      <c r="F209" s="523">
        <v>-0.04</v>
      </c>
      <c r="G209" s="521">
        <v>2</v>
      </c>
      <c r="H209" s="524">
        <v>1.3083000000000001E-3</v>
      </c>
      <c r="I209" s="523">
        <v>0</v>
      </c>
      <c r="J209" s="448">
        <v>0</v>
      </c>
      <c r="N209" s="590"/>
      <c r="O209" s="590"/>
      <c r="R209" s="440"/>
    </row>
    <row r="210" spans="1:18" s="559" customFormat="1" ht="15">
      <c r="A210" s="521" t="s">
        <v>318</v>
      </c>
      <c r="B210" s="522" t="s">
        <v>670</v>
      </c>
      <c r="C210" s="424" t="s">
        <v>330</v>
      </c>
      <c r="D210" s="521" t="s">
        <v>671</v>
      </c>
      <c r="E210" s="522">
        <v>201602</v>
      </c>
      <c r="F210" s="523">
        <v>32.869999999999997</v>
      </c>
      <c r="G210" s="521">
        <v>2</v>
      </c>
      <c r="H210" s="524">
        <v>1.3083000000000001E-3</v>
      </c>
      <c r="I210" s="523">
        <v>0.09</v>
      </c>
      <c r="J210" s="448">
        <v>0.52</v>
      </c>
      <c r="N210" s="590"/>
      <c r="O210" s="590"/>
      <c r="R210" s="440"/>
    </row>
    <row r="211" spans="1:18" s="559" customFormat="1" ht="15">
      <c r="A211" s="521" t="s">
        <v>318</v>
      </c>
      <c r="B211" s="522" t="s">
        <v>670</v>
      </c>
      <c r="C211" s="424" t="s">
        <v>330</v>
      </c>
      <c r="D211" s="521" t="s">
        <v>671</v>
      </c>
      <c r="E211" s="522">
        <v>201602</v>
      </c>
      <c r="F211" s="523">
        <v>2044.23</v>
      </c>
      <c r="G211" s="521">
        <v>2</v>
      </c>
      <c r="H211" s="524">
        <v>1.3083000000000001E-3</v>
      </c>
      <c r="I211" s="523">
        <v>5.35</v>
      </c>
      <c r="J211" s="448">
        <v>32.090000000000003</v>
      </c>
      <c r="N211" s="590"/>
      <c r="O211" s="590"/>
      <c r="R211" s="440"/>
    </row>
    <row r="212" spans="1:18" s="559" customFormat="1" ht="15">
      <c r="A212" s="521" t="s">
        <v>318</v>
      </c>
      <c r="B212" s="522" t="s">
        <v>604</v>
      </c>
      <c r="C212" s="424" t="s">
        <v>330</v>
      </c>
      <c r="D212" s="521" t="s">
        <v>605</v>
      </c>
      <c r="E212" s="522">
        <v>201602</v>
      </c>
      <c r="F212" s="523">
        <v>-3209.68</v>
      </c>
      <c r="G212" s="521">
        <v>2</v>
      </c>
      <c r="H212" s="524">
        <v>1.3083000000000001E-3</v>
      </c>
      <c r="I212" s="523">
        <v>-8.4</v>
      </c>
      <c r="J212" s="448">
        <v>-50.39</v>
      </c>
      <c r="N212" s="590"/>
      <c r="O212" s="590"/>
      <c r="R212" s="440"/>
    </row>
    <row r="213" spans="1:18" s="559" customFormat="1" ht="15">
      <c r="A213" s="521" t="s">
        <v>318</v>
      </c>
      <c r="B213" s="522" t="s">
        <v>604</v>
      </c>
      <c r="C213" s="424" t="s">
        <v>330</v>
      </c>
      <c r="D213" s="521" t="s">
        <v>605</v>
      </c>
      <c r="E213" s="522">
        <v>201602</v>
      </c>
      <c r="F213" s="523">
        <v>-11927.37</v>
      </c>
      <c r="G213" s="521">
        <v>2</v>
      </c>
      <c r="H213" s="524">
        <v>1.3083000000000001E-3</v>
      </c>
      <c r="I213" s="523">
        <v>-31.21</v>
      </c>
      <c r="J213" s="448">
        <v>-187.25</v>
      </c>
      <c r="N213" s="590"/>
      <c r="O213" s="590"/>
      <c r="R213" s="440"/>
    </row>
    <row r="214" spans="1:18" s="559" customFormat="1" ht="15">
      <c r="A214" s="521" t="s">
        <v>318</v>
      </c>
      <c r="B214" s="522" t="s">
        <v>606</v>
      </c>
      <c r="C214" s="424" t="s">
        <v>330</v>
      </c>
      <c r="D214" s="521" t="s">
        <v>607</v>
      </c>
      <c r="E214" s="522">
        <v>201602</v>
      </c>
      <c r="F214" s="523">
        <v>0.04</v>
      </c>
      <c r="G214" s="521">
        <v>2</v>
      </c>
      <c r="H214" s="524">
        <v>1.3083000000000001E-3</v>
      </c>
      <c r="I214" s="523">
        <v>0</v>
      </c>
      <c r="J214" s="448">
        <v>0</v>
      </c>
      <c r="N214" s="590"/>
      <c r="O214" s="590"/>
      <c r="R214" s="440"/>
    </row>
    <row r="215" spans="1:18" s="559" customFormat="1" ht="15">
      <c r="A215" s="521" t="s">
        <v>318</v>
      </c>
      <c r="B215" s="522" t="s">
        <v>606</v>
      </c>
      <c r="C215" s="424" t="s">
        <v>330</v>
      </c>
      <c r="D215" s="521" t="s">
        <v>607</v>
      </c>
      <c r="E215" s="522">
        <v>201602</v>
      </c>
      <c r="F215" s="523">
        <v>1.86</v>
      </c>
      <c r="G215" s="521">
        <v>2</v>
      </c>
      <c r="H215" s="524">
        <v>1.3083000000000001E-3</v>
      </c>
      <c r="I215" s="523">
        <v>0</v>
      </c>
      <c r="J215" s="448">
        <v>0.03</v>
      </c>
      <c r="N215" s="590"/>
      <c r="O215" s="590"/>
      <c r="R215" s="440"/>
    </row>
    <row r="216" spans="1:18" s="559" customFormat="1" ht="15">
      <c r="A216" s="521" t="s">
        <v>318</v>
      </c>
      <c r="B216" s="522" t="s">
        <v>608</v>
      </c>
      <c r="C216" s="424" t="s">
        <v>330</v>
      </c>
      <c r="D216" s="521" t="s">
        <v>609</v>
      </c>
      <c r="E216" s="522">
        <v>201602</v>
      </c>
      <c r="F216" s="523">
        <v>53.08</v>
      </c>
      <c r="G216" s="521">
        <v>2</v>
      </c>
      <c r="H216" s="524">
        <v>1.3083000000000001E-3</v>
      </c>
      <c r="I216" s="523">
        <v>0.14000000000000001</v>
      </c>
      <c r="J216" s="448">
        <v>0.83</v>
      </c>
      <c r="N216" s="590"/>
      <c r="O216" s="590"/>
      <c r="R216" s="440"/>
    </row>
    <row r="217" spans="1:18" s="559" customFormat="1" ht="15">
      <c r="A217" s="521" t="s">
        <v>318</v>
      </c>
      <c r="B217" s="522" t="s">
        <v>608</v>
      </c>
      <c r="C217" s="424" t="s">
        <v>330</v>
      </c>
      <c r="D217" s="521" t="s">
        <v>609</v>
      </c>
      <c r="E217" s="522">
        <v>201602</v>
      </c>
      <c r="F217" s="523">
        <v>88.16</v>
      </c>
      <c r="G217" s="521">
        <v>2</v>
      </c>
      <c r="H217" s="524">
        <v>1.3083000000000001E-3</v>
      </c>
      <c r="I217" s="523">
        <v>0.23</v>
      </c>
      <c r="J217" s="448">
        <v>1.38</v>
      </c>
      <c r="N217" s="590"/>
      <c r="O217" s="590"/>
      <c r="R217" s="440"/>
    </row>
    <row r="218" spans="1:18" s="559" customFormat="1" ht="15">
      <c r="A218" s="521" t="s">
        <v>318</v>
      </c>
      <c r="B218" s="522" t="s">
        <v>565</v>
      </c>
      <c r="C218" s="424" t="s">
        <v>330</v>
      </c>
      <c r="D218" s="521" t="s">
        <v>566</v>
      </c>
      <c r="E218" s="522">
        <v>201602</v>
      </c>
      <c r="F218" s="523">
        <v>0.01</v>
      </c>
      <c r="G218" s="521">
        <v>2</v>
      </c>
      <c r="H218" s="524">
        <v>1.3083000000000001E-3</v>
      </c>
      <c r="I218" s="523">
        <v>0</v>
      </c>
      <c r="J218" s="448">
        <v>0</v>
      </c>
      <c r="N218" s="590"/>
      <c r="O218" s="590"/>
      <c r="R218" s="440"/>
    </row>
    <row r="219" spans="1:18" s="559" customFormat="1" ht="15">
      <c r="A219" s="521" t="s">
        <v>318</v>
      </c>
      <c r="B219" s="522" t="s">
        <v>610</v>
      </c>
      <c r="C219" s="424" t="s">
        <v>330</v>
      </c>
      <c r="D219" s="521" t="s">
        <v>611</v>
      </c>
      <c r="E219" s="522">
        <v>201602</v>
      </c>
      <c r="F219" s="523">
        <v>0.64</v>
      </c>
      <c r="G219" s="521">
        <v>2</v>
      </c>
      <c r="H219" s="524">
        <v>1.3083000000000001E-3</v>
      </c>
      <c r="I219" s="523">
        <v>0</v>
      </c>
      <c r="J219" s="448">
        <v>0.01</v>
      </c>
      <c r="N219" s="590"/>
      <c r="O219" s="590"/>
      <c r="R219" s="440"/>
    </row>
    <row r="220" spans="1:18" s="559" customFormat="1" ht="15">
      <c r="A220" s="521" t="s">
        <v>318</v>
      </c>
      <c r="B220" s="522" t="s">
        <v>610</v>
      </c>
      <c r="C220" s="424" t="s">
        <v>330</v>
      </c>
      <c r="D220" s="521" t="s">
        <v>611</v>
      </c>
      <c r="E220" s="522">
        <v>201602</v>
      </c>
      <c r="F220" s="523">
        <v>0.05</v>
      </c>
      <c r="G220" s="521">
        <v>2</v>
      </c>
      <c r="H220" s="524">
        <v>1.3083000000000001E-3</v>
      </c>
      <c r="I220" s="523">
        <v>0</v>
      </c>
      <c r="J220" s="448">
        <v>0</v>
      </c>
      <c r="N220" s="590"/>
      <c r="O220" s="590"/>
      <c r="R220" s="440"/>
    </row>
    <row r="221" spans="1:18" s="559" customFormat="1" ht="15">
      <c r="A221" s="521" t="s">
        <v>318</v>
      </c>
      <c r="B221" s="522" t="s">
        <v>672</v>
      </c>
      <c r="C221" s="424" t="s">
        <v>330</v>
      </c>
      <c r="D221" s="521" t="s">
        <v>673</v>
      </c>
      <c r="E221" s="522">
        <v>201602</v>
      </c>
      <c r="F221" s="523">
        <v>2.0099999999999998</v>
      </c>
      <c r="G221" s="521">
        <v>2</v>
      </c>
      <c r="H221" s="524">
        <v>1.3083000000000001E-3</v>
      </c>
      <c r="I221" s="523">
        <v>0.01</v>
      </c>
      <c r="J221" s="448">
        <v>0.03</v>
      </c>
      <c r="N221" s="590"/>
      <c r="O221" s="590"/>
      <c r="R221" s="440"/>
    </row>
    <row r="222" spans="1:18" s="559" customFormat="1" ht="15">
      <c r="A222" s="521" t="s">
        <v>318</v>
      </c>
      <c r="B222" s="522" t="s">
        <v>672</v>
      </c>
      <c r="C222" s="424" t="s">
        <v>330</v>
      </c>
      <c r="D222" s="521" t="s">
        <v>673</v>
      </c>
      <c r="E222" s="522">
        <v>201602</v>
      </c>
      <c r="F222" s="523">
        <v>24.13</v>
      </c>
      <c r="G222" s="521">
        <v>2</v>
      </c>
      <c r="H222" s="524">
        <v>1.3083000000000001E-3</v>
      </c>
      <c r="I222" s="523">
        <v>0.06</v>
      </c>
      <c r="J222" s="448">
        <v>0.38</v>
      </c>
      <c r="N222" s="590"/>
      <c r="O222" s="590"/>
      <c r="R222" s="440"/>
    </row>
    <row r="223" spans="1:18" s="559" customFormat="1" ht="15">
      <c r="A223" s="521" t="s">
        <v>318</v>
      </c>
      <c r="B223" s="522" t="s">
        <v>637</v>
      </c>
      <c r="C223" s="424" t="s">
        <v>329</v>
      </c>
      <c r="D223" s="521" t="s">
        <v>638</v>
      </c>
      <c r="E223" s="522">
        <v>201602</v>
      </c>
      <c r="F223" s="523">
        <v>7.0000000000000007E-2</v>
      </c>
      <c r="G223" s="521">
        <v>2</v>
      </c>
      <c r="H223" s="524">
        <v>1.3083000000000001E-3</v>
      </c>
      <c r="I223" s="523">
        <v>0</v>
      </c>
      <c r="J223" s="448">
        <v>0</v>
      </c>
      <c r="N223" s="590"/>
      <c r="O223" s="590"/>
      <c r="R223" s="440"/>
    </row>
    <row r="224" spans="1:18" s="559" customFormat="1" ht="15">
      <c r="A224" s="521" t="s">
        <v>318</v>
      </c>
      <c r="B224" s="522" t="s">
        <v>637</v>
      </c>
      <c r="C224" s="424" t="s">
        <v>329</v>
      </c>
      <c r="D224" s="521" t="s">
        <v>638</v>
      </c>
      <c r="E224" s="522">
        <v>201602</v>
      </c>
      <c r="F224" s="523">
        <v>0.77</v>
      </c>
      <c r="G224" s="521">
        <v>2</v>
      </c>
      <c r="H224" s="524">
        <v>1.3083000000000001E-3</v>
      </c>
      <c r="I224" s="523">
        <v>0</v>
      </c>
      <c r="J224" s="448">
        <v>0.01</v>
      </c>
      <c r="N224" s="590"/>
      <c r="O224" s="590"/>
      <c r="R224" s="440"/>
    </row>
    <row r="225" spans="1:18" s="559" customFormat="1" ht="15">
      <c r="A225" s="521" t="s">
        <v>318</v>
      </c>
      <c r="B225" s="522" t="s">
        <v>814</v>
      </c>
      <c r="C225" s="424" t="s">
        <v>330</v>
      </c>
      <c r="D225" s="521" t="s">
        <v>815</v>
      </c>
      <c r="E225" s="522">
        <v>201602</v>
      </c>
      <c r="F225" s="523">
        <v>488980.26</v>
      </c>
      <c r="G225" s="521">
        <v>2</v>
      </c>
      <c r="H225" s="524">
        <v>1.3083000000000001E-3</v>
      </c>
      <c r="I225" s="523">
        <v>1279.47</v>
      </c>
      <c r="J225" s="448">
        <v>7676.79</v>
      </c>
      <c r="N225" s="590"/>
      <c r="O225" s="590"/>
      <c r="R225" s="440"/>
    </row>
    <row r="226" spans="1:18" s="559" customFormat="1" ht="15">
      <c r="A226" s="521" t="s">
        <v>318</v>
      </c>
      <c r="B226" s="522" t="s">
        <v>814</v>
      </c>
      <c r="C226" s="424" t="s">
        <v>330</v>
      </c>
      <c r="D226" s="521" t="s">
        <v>815</v>
      </c>
      <c r="E226" s="522">
        <v>201602</v>
      </c>
      <c r="F226" s="523">
        <v>20981.79</v>
      </c>
      <c r="G226" s="521">
        <v>2</v>
      </c>
      <c r="H226" s="524">
        <v>1.3083000000000001E-3</v>
      </c>
      <c r="I226" s="523">
        <v>54.9</v>
      </c>
      <c r="J226" s="448">
        <v>329.41</v>
      </c>
      <c r="N226" s="590"/>
      <c r="O226" s="590"/>
      <c r="R226" s="440"/>
    </row>
    <row r="227" spans="1:18" s="559" customFormat="1" ht="15">
      <c r="A227" s="521" t="s">
        <v>318</v>
      </c>
      <c r="B227" s="522" t="s">
        <v>674</v>
      </c>
      <c r="C227" s="424" t="s">
        <v>330</v>
      </c>
      <c r="D227" s="521" t="s">
        <v>675</v>
      </c>
      <c r="E227" s="522">
        <v>201602</v>
      </c>
      <c r="F227" s="523">
        <v>39424.92</v>
      </c>
      <c r="G227" s="521">
        <v>2</v>
      </c>
      <c r="H227" s="524">
        <v>1.3083000000000001E-3</v>
      </c>
      <c r="I227" s="523">
        <v>103.16</v>
      </c>
      <c r="J227" s="448">
        <v>618.96</v>
      </c>
      <c r="N227" s="590"/>
      <c r="O227" s="590"/>
      <c r="R227" s="440"/>
    </row>
    <row r="228" spans="1:18" s="559" customFormat="1" ht="15">
      <c r="A228" s="521" t="s">
        <v>318</v>
      </c>
      <c r="B228" s="522" t="s">
        <v>674</v>
      </c>
      <c r="C228" s="424" t="s">
        <v>330</v>
      </c>
      <c r="D228" s="521" t="s">
        <v>675</v>
      </c>
      <c r="E228" s="522">
        <v>201602</v>
      </c>
      <c r="F228" s="523">
        <v>1995.72</v>
      </c>
      <c r="G228" s="521">
        <v>2</v>
      </c>
      <c r="H228" s="524">
        <v>1.3083000000000001E-3</v>
      </c>
      <c r="I228" s="523">
        <v>5.22</v>
      </c>
      <c r="J228" s="448">
        <v>31.33</v>
      </c>
      <c r="N228" s="590"/>
      <c r="O228" s="590"/>
      <c r="R228" s="440"/>
    </row>
    <row r="229" spans="1:18" s="559" customFormat="1" ht="15">
      <c r="A229" s="521" t="s">
        <v>318</v>
      </c>
      <c r="B229" s="522" t="s">
        <v>790</v>
      </c>
      <c r="C229" s="424" t="s">
        <v>330</v>
      </c>
      <c r="D229" s="521" t="s">
        <v>791</v>
      </c>
      <c r="E229" s="522">
        <v>201602</v>
      </c>
      <c r="F229" s="523">
        <v>486.31</v>
      </c>
      <c r="G229" s="521">
        <v>2</v>
      </c>
      <c r="H229" s="524">
        <v>1.3083000000000001E-3</v>
      </c>
      <c r="I229" s="523">
        <v>1.27</v>
      </c>
      <c r="J229" s="448">
        <v>7.63</v>
      </c>
      <c r="N229" s="590"/>
      <c r="O229" s="590"/>
      <c r="R229" s="440"/>
    </row>
    <row r="230" spans="1:18" s="559" customFormat="1" ht="15">
      <c r="A230" s="521" t="s">
        <v>318</v>
      </c>
      <c r="B230" s="522" t="s">
        <v>790</v>
      </c>
      <c r="C230" s="424" t="s">
        <v>330</v>
      </c>
      <c r="D230" s="521" t="s">
        <v>791</v>
      </c>
      <c r="E230" s="522">
        <v>201602</v>
      </c>
      <c r="F230" s="523">
        <v>11452.8</v>
      </c>
      <c r="G230" s="521">
        <v>2</v>
      </c>
      <c r="H230" s="524">
        <v>1.3083000000000001E-3</v>
      </c>
      <c r="I230" s="523">
        <v>29.97</v>
      </c>
      <c r="J230" s="448">
        <v>179.8</v>
      </c>
      <c r="N230" s="590"/>
      <c r="O230" s="590"/>
      <c r="R230" s="440"/>
    </row>
    <row r="231" spans="1:18" s="559" customFormat="1" ht="15">
      <c r="A231" s="521" t="s">
        <v>318</v>
      </c>
      <c r="B231" s="522" t="s">
        <v>639</v>
      </c>
      <c r="C231" s="424" t="s">
        <v>329</v>
      </c>
      <c r="D231" s="521" t="s">
        <v>640</v>
      </c>
      <c r="E231" s="522">
        <v>201602</v>
      </c>
      <c r="F231" s="523">
        <v>-45.66</v>
      </c>
      <c r="G231" s="521">
        <v>2</v>
      </c>
      <c r="H231" s="524">
        <v>1.3083000000000001E-3</v>
      </c>
      <c r="I231" s="523">
        <v>-0.12</v>
      </c>
      <c r="J231" s="448">
        <v>-0.72</v>
      </c>
      <c r="N231" s="590"/>
      <c r="O231" s="590"/>
      <c r="R231" s="440"/>
    </row>
    <row r="232" spans="1:18" s="559" customFormat="1" ht="15">
      <c r="A232" s="521" t="s">
        <v>318</v>
      </c>
      <c r="B232" s="522" t="s">
        <v>639</v>
      </c>
      <c r="C232" s="424" t="s">
        <v>329</v>
      </c>
      <c r="D232" s="521" t="s">
        <v>640</v>
      </c>
      <c r="E232" s="522">
        <v>201602</v>
      </c>
      <c r="F232" s="523">
        <v>-33.880000000000003</v>
      </c>
      <c r="G232" s="521">
        <v>2</v>
      </c>
      <c r="H232" s="524">
        <v>1.3083000000000001E-3</v>
      </c>
      <c r="I232" s="523">
        <v>-0.09</v>
      </c>
      <c r="J232" s="448">
        <v>-0.53</v>
      </c>
      <c r="N232" s="590"/>
      <c r="O232" s="590"/>
      <c r="R232" s="440"/>
    </row>
    <row r="233" spans="1:18" s="559" customFormat="1" ht="15">
      <c r="A233" s="521" t="s">
        <v>318</v>
      </c>
      <c r="B233" s="522" t="s">
        <v>676</v>
      </c>
      <c r="C233" s="424" t="s">
        <v>329</v>
      </c>
      <c r="D233" s="521" t="s">
        <v>677</v>
      </c>
      <c r="E233" s="522">
        <v>201602</v>
      </c>
      <c r="F233" s="523">
        <v>-15.1</v>
      </c>
      <c r="G233" s="521">
        <v>2</v>
      </c>
      <c r="H233" s="524">
        <v>1.3083000000000001E-3</v>
      </c>
      <c r="I233" s="523">
        <v>-0.04</v>
      </c>
      <c r="J233" s="448">
        <v>-0.24</v>
      </c>
      <c r="N233" s="590"/>
      <c r="O233" s="590"/>
      <c r="R233" s="440"/>
    </row>
    <row r="234" spans="1:18" s="559" customFormat="1" ht="15">
      <c r="A234" s="521" t="s">
        <v>318</v>
      </c>
      <c r="B234" s="522" t="s">
        <v>676</v>
      </c>
      <c r="C234" s="424" t="s">
        <v>329</v>
      </c>
      <c r="D234" s="521" t="s">
        <v>677</v>
      </c>
      <c r="E234" s="522">
        <v>201602</v>
      </c>
      <c r="F234" s="523">
        <v>-97.34</v>
      </c>
      <c r="G234" s="521">
        <v>2</v>
      </c>
      <c r="H234" s="524">
        <v>1.3083000000000001E-3</v>
      </c>
      <c r="I234" s="523">
        <v>-0.25</v>
      </c>
      <c r="J234" s="448">
        <v>-1.53</v>
      </c>
      <c r="N234" s="590"/>
      <c r="O234" s="590"/>
      <c r="R234" s="440"/>
    </row>
    <row r="235" spans="1:18" s="559" customFormat="1" ht="15">
      <c r="A235" s="521" t="s">
        <v>318</v>
      </c>
      <c r="B235" s="522" t="s">
        <v>678</v>
      </c>
      <c r="C235" s="424" t="s">
        <v>330</v>
      </c>
      <c r="D235" s="521" t="s">
        <v>679</v>
      </c>
      <c r="E235" s="522">
        <v>201602</v>
      </c>
      <c r="F235" s="523">
        <v>111.93</v>
      </c>
      <c r="G235" s="521">
        <v>2</v>
      </c>
      <c r="H235" s="524">
        <v>1.3083000000000001E-3</v>
      </c>
      <c r="I235" s="523">
        <v>0.28999999999999998</v>
      </c>
      <c r="J235" s="448">
        <v>1.76</v>
      </c>
      <c r="N235" s="590"/>
      <c r="O235" s="590"/>
      <c r="R235" s="440"/>
    </row>
    <row r="236" spans="1:18" s="559" customFormat="1" ht="15">
      <c r="A236" s="521" t="s">
        <v>318</v>
      </c>
      <c r="B236" s="522" t="s">
        <v>678</v>
      </c>
      <c r="C236" s="424" t="s">
        <v>330</v>
      </c>
      <c r="D236" s="521" t="s">
        <v>679</v>
      </c>
      <c r="E236" s="522">
        <v>201602</v>
      </c>
      <c r="F236" s="523">
        <v>4517.7299999999996</v>
      </c>
      <c r="G236" s="521">
        <v>2</v>
      </c>
      <c r="H236" s="524">
        <v>1.3083000000000001E-3</v>
      </c>
      <c r="I236" s="523">
        <v>11.82</v>
      </c>
      <c r="J236" s="448">
        <v>70.930000000000007</v>
      </c>
      <c r="N236" s="590"/>
      <c r="O236" s="590"/>
      <c r="R236" s="440"/>
    </row>
    <row r="237" spans="1:18" s="559" customFormat="1" ht="15">
      <c r="A237" s="521" t="s">
        <v>318</v>
      </c>
      <c r="B237" s="522" t="s">
        <v>680</v>
      </c>
      <c r="C237" s="424" t="s">
        <v>330</v>
      </c>
      <c r="D237" s="521" t="s">
        <v>681</v>
      </c>
      <c r="E237" s="522">
        <v>201602</v>
      </c>
      <c r="F237" s="523">
        <v>97.72</v>
      </c>
      <c r="G237" s="521">
        <v>2</v>
      </c>
      <c r="H237" s="524">
        <v>1.3083000000000001E-3</v>
      </c>
      <c r="I237" s="523">
        <v>0.26</v>
      </c>
      <c r="J237" s="448">
        <v>1.53</v>
      </c>
      <c r="N237" s="590"/>
      <c r="O237" s="590"/>
      <c r="R237" s="440"/>
    </row>
    <row r="238" spans="1:18" s="559" customFormat="1" ht="15">
      <c r="A238" s="521" t="s">
        <v>318</v>
      </c>
      <c r="B238" s="522" t="s">
        <v>680</v>
      </c>
      <c r="C238" s="424" t="s">
        <v>330</v>
      </c>
      <c r="D238" s="521" t="s">
        <v>681</v>
      </c>
      <c r="E238" s="522">
        <v>201602</v>
      </c>
      <c r="F238" s="523">
        <v>2.42</v>
      </c>
      <c r="G238" s="521">
        <v>2</v>
      </c>
      <c r="H238" s="524">
        <v>1.3083000000000001E-3</v>
      </c>
      <c r="I238" s="523">
        <v>0.01</v>
      </c>
      <c r="J238" s="448">
        <v>0.04</v>
      </c>
      <c r="N238" s="590"/>
      <c r="O238" s="590"/>
      <c r="R238" s="440"/>
    </row>
    <row r="239" spans="1:18" s="559" customFormat="1" ht="15">
      <c r="A239" s="521" t="s">
        <v>318</v>
      </c>
      <c r="B239" s="522" t="s">
        <v>641</v>
      </c>
      <c r="C239" s="424" t="s">
        <v>330</v>
      </c>
      <c r="D239" s="521" t="s">
        <v>642</v>
      </c>
      <c r="E239" s="522">
        <v>201602</v>
      </c>
      <c r="F239" s="523">
        <v>0.01</v>
      </c>
      <c r="G239" s="521">
        <v>2</v>
      </c>
      <c r="H239" s="524">
        <v>1.3083000000000001E-3</v>
      </c>
      <c r="I239" s="523">
        <v>0</v>
      </c>
      <c r="J239" s="448">
        <v>0</v>
      </c>
      <c r="N239" s="590"/>
      <c r="O239" s="590"/>
      <c r="R239" s="440"/>
    </row>
    <row r="240" spans="1:18" s="559" customFormat="1" ht="15">
      <c r="A240" s="521" t="s">
        <v>318</v>
      </c>
      <c r="B240" s="522" t="s">
        <v>641</v>
      </c>
      <c r="C240" s="424" t="s">
        <v>330</v>
      </c>
      <c r="D240" s="521" t="s">
        <v>642</v>
      </c>
      <c r="E240" s="522">
        <v>201602</v>
      </c>
      <c r="F240" s="523">
        <v>0.1</v>
      </c>
      <c r="G240" s="521">
        <v>2</v>
      </c>
      <c r="H240" s="524">
        <v>1.3083000000000001E-3</v>
      </c>
      <c r="I240" s="523">
        <v>0</v>
      </c>
      <c r="J240" s="448">
        <v>0</v>
      </c>
      <c r="N240" s="590"/>
      <c r="O240" s="590"/>
      <c r="R240" s="440"/>
    </row>
    <row r="241" spans="1:18" s="559" customFormat="1" ht="15">
      <c r="A241" s="521" t="s">
        <v>318</v>
      </c>
      <c r="B241" s="522" t="s">
        <v>816</v>
      </c>
      <c r="C241" s="424" t="s">
        <v>329</v>
      </c>
      <c r="D241" s="521" t="s">
        <v>817</v>
      </c>
      <c r="E241" s="522">
        <v>201602</v>
      </c>
      <c r="F241" s="523">
        <v>291943.93</v>
      </c>
      <c r="G241" s="521">
        <v>2</v>
      </c>
      <c r="H241" s="524">
        <v>1.3083000000000001E-3</v>
      </c>
      <c r="I241" s="523">
        <v>763.9</v>
      </c>
      <c r="J241" s="448">
        <v>4583.3999999999996</v>
      </c>
      <c r="N241" s="590"/>
      <c r="O241" s="590"/>
      <c r="R241" s="440"/>
    </row>
    <row r="242" spans="1:18" s="559" customFormat="1" ht="15">
      <c r="A242" s="521" t="s">
        <v>318</v>
      </c>
      <c r="B242" s="522" t="s">
        <v>816</v>
      </c>
      <c r="C242" s="424" t="s">
        <v>329</v>
      </c>
      <c r="D242" s="521" t="s">
        <v>817</v>
      </c>
      <c r="E242" s="522">
        <v>201602</v>
      </c>
      <c r="F242" s="523">
        <v>26089.77</v>
      </c>
      <c r="G242" s="521">
        <v>2</v>
      </c>
      <c r="H242" s="524">
        <v>1.3083000000000001E-3</v>
      </c>
      <c r="I242" s="523">
        <v>68.27</v>
      </c>
      <c r="J242" s="448">
        <v>409.6</v>
      </c>
      <c r="N242" s="590"/>
      <c r="O242" s="590"/>
      <c r="R242" s="440"/>
    </row>
    <row r="243" spans="1:18" s="559" customFormat="1" ht="15">
      <c r="A243" s="521" t="s">
        <v>318</v>
      </c>
      <c r="B243" s="522" t="s">
        <v>612</v>
      </c>
      <c r="C243" s="424" t="s">
        <v>330</v>
      </c>
      <c r="D243" s="521" t="s">
        <v>613</v>
      </c>
      <c r="E243" s="522">
        <v>201602</v>
      </c>
      <c r="F243" s="523">
        <v>218.44</v>
      </c>
      <c r="G243" s="521">
        <v>2</v>
      </c>
      <c r="H243" s="524">
        <v>1.3083000000000001E-3</v>
      </c>
      <c r="I243" s="523">
        <v>0.56999999999999995</v>
      </c>
      <c r="J243" s="448">
        <v>3.43</v>
      </c>
      <c r="N243" s="590"/>
      <c r="O243" s="590"/>
      <c r="R243" s="440"/>
    </row>
    <row r="244" spans="1:18" s="559" customFormat="1" ht="15">
      <c r="A244" s="521" t="s">
        <v>318</v>
      </c>
      <c r="B244" s="522" t="s">
        <v>612</v>
      </c>
      <c r="C244" s="424" t="s">
        <v>330</v>
      </c>
      <c r="D244" s="521" t="s">
        <v>613</v>
      </c>
      <c r="E244" s="522">
        <v>201602</v>
      </c>
      <c r="F244" s="523">
        <v>-626.54999999999995</v>
      </c>
      <c r="G244" s="521">
        <v>2</v>
      </c>
      <c r="H244" s="524">
        <v>1.3083000000000001E-3</v>
      </c>
      <c r="I244" s="523">
        <v>-1.64</v>
      </c>
      <c r="J244" s="448">
        <v>-9.84</v>
      </c>
      <c r="N244" s="590"/>
      <c r="O244" s="590"/>
      <c r="R244" s="440"/>
    </row>
    <row r="245" spans="1:18" s="559" customFormat="1" ht="15">
      <c r="A245" s="521" t="s">
        <v>318</v>
      </c>
      <c r="B245" s="522" t="s">
        <v>684</v>
      </c>
      <c r="C245" s="424" t="s">
        <v>330</v>
      </c>
      <c r="D245" s="521" t="s">
        <v>685</v>
      </c>
      <c r="E245" s="522">
        <v>201602</v>
      </c>
      <c r="F245" s="523">
        <v>-0.1</v>
      </c>
      <c r="G245" s="521">
        <v>2</v>
      </c>
      <c r="H245" s="524">
        <v>1.3083000000000001E-3</v>
      </c>
      <c r="I245" s="523">
        <v>0</v>
      </c>
      <c r="J245" s="448">
        <v>0</v>
      </c>
      <c r="N245" s="590"/>
      <c r="O245" s="590"/>
      <c r="R245" s="440"/>
    </row>
    <row r="246" spans="1:18" s="559" customFormat="1" ht="15">
      <c r="A246" s="521" t="s">
        <v>318</v>
      </c>
      <c r="B246" s="522" t="s">
        <v>684</v>
      </c>
      <c r="C246" s="424" t="s">
        <v>330</v>
      </c>
      <c r="D246" s="521" t="s">
        <v>685</v>
      </c>
      <c r="E246" s="522">
        <v>201602</v>
      </c>
      <c r="F246" s="523">
        <v>-2.4900000000000002</v>
      </c>
      <c r="G246" s="521">
        <v>2</v>
      </c>
      <c r="H246" s="524">
        <v>1.3083000000000001E-3</v>
      </c>
      <c r="I246" s="523">
        <v>-0.01</v>
      </c>
      <c r="J246" s="448">
        <v>-0.04</v>
      </c>
      <c r="N246" s="590"/>
      <c r="O246" s="590"/>
      <c r="R246" s="440"/>
    </row>
    <row r="247" spans="1:18" s="559" customFormat="1" ht="15">
      <c r="A247" s="521" t="s">
        <v>318</v>
      </c>
      <c r="B247" s="522" t="s">
        <v>792</v>
      </c>
      <c r="C247" s="424" t="s">
        <v>329</v>
      </c>
      <c r="D247" s="521" t="s">
        <v>793</v>
      </c>
      <c r="E247" s="522">
        <v>201602</v>
      </c>
      <c r="F247" s="523">
        <v>2677.17</v>
      </c>
      <c r="G247" s="521">
        <v>2</v>
      </c>
      <c r="H247" s="524">
        <v>1.3083000000000001E-3</v>
      </c>
      <c r="I247" s="523">
        <v>7.01</v>
      </c>
      <c r="J247" s="448">
        <v>42.03</v>
      </c>
      <c r="N247" s="590"/>
      <c r="O247" s="590"/>
      <c r="R247" s="440"/>
    </row>
    <row r="248" spans="1:18" s="559" customFormat="1" ht="15">
      <c r="A248" s="521" t="s">
        <v>318</v>
      </c>
      <c r="B248" s="522" t="s">
        <v>792</v>
      </c>
      <c r="C248" s="424" t="s">
        <v>329</v>
      </c>
      <c r="D248" s="521" t="s">
        <v>793</v>
      </c>
      <c r="E248" s="522">
        <v>201602</v>
      </c>
      <c r="F248" s="523">
        <v>9897.84</v>
      </c>
      <c r="G248" s="521">
        <v>2</v>
      </c>
      <c r="H248" s="524">
        <v>1.3083000000000001E-3</v>
      </c>
      <c r="I248" s="523">
        <v>25.9</v>
      </c>
      <c r="J248" s="448">
        <v>155.38999999999999</v>
      </c>
      <c r="N248" s="590"/>
      <c r="O248" s="590"/>
      <c r="R248" s="440"/>
    </row>
    <row r="249" spans="1:18" s="559" customFormat="1" ht="15">
      <c r="A249" s="521" t="s">
        <v>318</v>
      </c>
      <c r="B249" s="522" t="s">
        <v>686</v>
      </c>
      <c r="C249" s="424" t="s">
        <v>329</v>
      </c>
      <c r="D249" s="521" t="s">
        <v>687</v>
      </c>
      <c r="E249" s="522">
        <v>201602</v>
      </c>
      <c r="F249" s="523">
        <v>348.97</v>
      </c>
      <c r="G249" s="521">
        <v>2</v>
      </c>
      <c r="H249" s="524">
        <v>1.3083000000000001E-3</v>
      </c>
      <c r="I249" s="523">
        <v>0.91</v>
      </c>
      <c r="J249" s="448">
        <v>5.48</v>
      </c>
      <c r="N249" s="590"/>
      <c r="O249" s="590"/>
      <c r="R249" s="440"/>
    </row>
    <row r="250" spans="1:18" s="559" customFormat="1" ht="15">
      <c r="A250" s="521" t="s">
        <v>318</v>
      </c>
      <c r="B250" s="522" t="s">
        <v>686</v>
      </c>
      <c r="C250" s="424" t="s">
        <v>329</v>
      </c>
      <c r="D250" s="521" t="s">
        <v>687</v>
      </c>
      <c r="E250" s="522">
        <v>201602</v>
      </c>
      <c r="F250" s="523">
        <v>4221.4399999999996</v>
      </c>
      <c r="G250" s="521">
        <v>2</v>
      </c>
      <c r="H250" s="524">
        <v>1.3083000000000001E-3</v>
      </c>
      <c r="I250" s="523">
        <v>11.05</v>
      </c>
      <c r="J250" s="448">
        <v>66.27</v>
      </c>
      <c r="N250" s="590"/>
      <c r="O250" s="590"/>
      <c r="R250" s="440"/>
    </row>
    <row r="251" spans="1:18" s="559" customFormat="1" ht="15">
      <c r="A251" s="521" t="s">
        <v>318</v>
      </c>
      <c r="B251" s="522" t="s">
        <v>818</v>
      </c>
      <c r="C251" s="424" t="s">
        <v>329</v>
      </c>
      <c r="D251" s="521" t="s">
        <v>819</v>
      </c>
      <c r="E251" s="522">
        <v>201602</v>
      </c>
      <c r="F251" s="523">
        <v>382665.26</v>
      </c>
      <c r="G251" s="521">
        <v>2</v>
      </c>
      <c r="H251" s="524">
        <v>1.3083000000000001E-3</v>
      </c>
      <c r="I251" s="523">
        <v>1001.28</v>
      </c>
      <c r="J251" s="448">
        <v>6007.69</v>
      </c>
      <c r="N251" s="590"/>
      <c r="O251" s="590"/>
      <c r="R251" s="440"/>
    </row>
    <row r="252" spans="1:18" s="559" customFormat="1" ht="15">
      <c r="A252" s="521" t="s">
        <v>318</v>
      </c>
      <c r="B252" s="522" t="s">
        <v>818</v>
      </c>
      <c r="C252" s="424" t="s">
        <v>329</v>
      </c>
      <c r="D252" s="521" t="s">
        <v>819</v>
      </c>
      <c r="E252" s="522">
        <v>201602</v>
      </c>
      <c r="F252" s="523">
        <v>52900.33</v>
      </c>
      <c r="G252" s="521">
        <v>2</v>
      </c>
      <c r="H252" s="524">
        <v>1.3083000000000001E-3</v>
      </c>
      <c r="I252" s="523">
        <v>138.41999999999999</v>
      </c>
      <c r="J252" s="448">
        <v>830.51</v>
      </c>
      <c r="N252" s="590"/>
      <c r="O252" s="590"/>
      <c r="R252" s="440"/>
    </row>
    <row r="253" spans="1:18" s="559" customFormat="1" ht="15">
      <c r="A253" s="521" t="s">
        <v>318</v>
      </c>
      <c r="B253" s="522" t="s">
        <v>820</v>
      </c>
      <c r="C253" s="424" t="s">
        <v>329</v>
      </c>
      <c r="D253" s="521" t="s">
        <v>821</v>
      </c>
      <c r="E253" s="522">
        <v>201602</v>
      </c>
      <c r="F253" s="523">
        <v>673414.36</v>
      </c>
      <c r="G253" s="521">
        <v>2</v>
      </c>
      <c r="H253" s="524">
        <v>1.3083000000000001E-3</v>
      </c>
      <c r="I253" s="523">
        <v>1762.06</v>
      </c>
      <c r="J253" s="448">
        <v>10572.34</v>
      </c>
      <c r="N253" s="590"/>
      <c r="O253" s="590"/>
      <c r="R253" s="440"/>
    </row>
    <row r="254" spans="1:18" s="559" customFormat="1" ht="15">
      <c r="A254" s="521" t="s">
        <v>318</v>
      </c>
      <c r="B254" s="522" t="s">
        <v>820</v>
      </c>
      <c r="C254" s="424" t="s">
        <v>329</v>
      </c>
      <c r="D254" s="521" t="s">
        <v>821</v>
      </c>
      <c r="E254" s="522">
        <v>201602</v>
      </c>
      <c r="F254" s="523">
        <v>52475.17</v>
      </c>
      <c r="G254" s="521">
        <v>2</v>
      </c>
      <c r="H254" s="524">
        <v>1.3083000000000001E-3</v>
      </c>
      <c r="I254" s="523">
        <v>137.31</v>
      </c>
      <c r="J254" s="448">
        <v>823.84</v>
      </c>
      <c r="N254" s="590"/>
      <c r="O254" s="590"/>
      <c r="R254" s="440"/>
    </row>
    <row r="255" spans="1:18" s="559" customFormat="1" ht="15">
      <c r="A255" s="521" t="s">
        <v>322</v>
      </c>
      <c r="B255" s="522" t="s">
        <v>688</v>
      </c>
      <c r="C255" s="424" t="s">
        <v>329</v>
      </c>
      <c r="D255" s="521" t="s">
        <v>689</v>
      </c>
      <c r="E255" s="522">
        <v>201602</v>
      </c>
      <c r="F255" s="523">
        <v>-1.29</v>
      </c>
      <c r="G255" s="521">
        <v>2</v>
      </c>
      <c r="H255" s="524">
        <v>1.1999999999999999E-3</v>
      </c>
      <c r="I255" s="523">
        <v>0</v>
      </c>
      <c r="J255" s="448">
        <v>-0.02</v>
      </c>
      <c r="N255" s="590"/>
      <c r="O255" s="590"/>
      <c r="R255" s="440"/>
    </row>
    <row r="256" spans="1:18" s="559" customFormat="1" ht="15">
      <c r="A256" s="521" t="s">
        <v>318</v>
      </c>
      <c r="B256" s="522" t="s">
        <v>688</v>
      </c>
      <c r="C256" s="424" t="s">
        <v>329</v>
      </c>
      <c r="D256" s="521" t="s">
        <v>689</v>
      </c>
      <c r="E256" s="522">
        <v>201602</v>
      </c>
      <c r="F256" s="523">
        <v>-13.47</v>
      </c>
      <c r="G256" s="521">
        <v>2</v>
      </c>
      <c r="H256" s="524">
        <v>1.3083000000000001E-3</v>
      </c>
      <c r="I256" s="523">
        <v>-0.04</v>
      </c>
      <c r="J256" s="448">
        <v>-0.21</v>
      </c>
      <c r="N256" s="590"/>
      <c r="O256" s="590"/>
      <c r="R256" s="440"/>
    </row>
    <row r="257" spans="1:18" s="559" customFormat="1" ht="15">
      <c r="A257" s="521" t="s">
        <v>318</v>
      </c>
      <c r="B257" s="522" t="s">
        <v>688</v>
      </c>
      <c r="C257" s="424" t="s">
        <v>329</v>
      </c>
      <c r="D257" s="521" t="s">
        <v>689</v>
      </c>
      <c r="E257" s="522">
        <v>201602</v>
      </c>
      <c r="F257" s="523">
        <v>-75.28</v>
      </c>
      <c r="G257" s="521">
        <v>2</v>
      </c>
      <c r="H257" s="524">
        <v>1.3083000000000001E-3</v>
      </c>
      <c r="I257" s="523">
        <v>-0.2</v>
      </c>
      <c r="J257" s="448">
        <v>-1.18</v>
      </c>
      <c r="N257" s="590"/>
      <c r="O257" s="590"/>
      <c r="R257" s="440"/>
    </row>
    <row r="258" spans="1:18" s="559" customFormat="1" ht="15">
      <c r="A258" s="521" t="s">
        <v>318</v>
      </c>
      <c r="B258" s="522" t="s">
        <v>822</v>
      </c>
      <c r="C258" s="424" t="s">
        <v>330</v>
      </c>
      <c r="D258" s="521" t="s">
        <v>823</v>
      </c>
      <c r="E258" s="522">
        <v>201602</v>
      </c>
      <c r="F258" s="523">
        <v>355971.19</v>
      </c>
      <c r="G258" s="521">
        <v>2</v>
      </c>
      <c r="H258" s="524">
        <v>1.3083000000000001E-3</v>
      </c>
      <c r="I258" s="523">
        <v>931.43</v>
      </c>
      <c r="J258" s="448">
        <v>5588.61</v>
      </c>
      <c r="N258" s="590"/>
      <c r="O258" s="590"/>
      <c r="R258" s="440"/>
    </row>
    <row r="259" spans="1:18" s="559" customFormat="1" ht="15">
      <c r="A259" s="521" t="s">
        <v>318</v>
      </c>
      <c r="B259" s="522" t="s">
        <v>822</v>
      </c>
      <c r="C259" s="424" t="s">
        <v>330</v>
      </c>
      <c r="D259" s="521" t="s">
        <v>823</v>
      </c>
      <c r="E259" s="522">
        <v>201602</v>
      </c>
      <c r="F259" s="523">
        <v>25459.17</v>
      </c>
      <c r="G259" s="521">
        <v>2</v>
      </c>
      <c r="H259" s="524">
        <v>1.3083000000000001E-3</v>
      </c>
      <c r="I259" s="523">
        <v>66.62</v>
      </c>
      <c r="J259" s="448">
        <v>399.7</v>
      </c>
      <c r="N259" s="590"/>
      <c r="O259" s="590"/>
      <c r="R259" s="440"/>
    </row>
    <row r="260" spans="1:18" s="559" customFormat="1" ht="15">
      <c r="A260" s="521" t="s">
        <v>318</v>
      </c>
      <c r="B260" s="522" t="s">
        <v>690</v>
      </c>
      <c r="C260" s="424" t="s">
        <v>330</v>
      </c>
      <c r="D260" s="521" t="s">
        <v>691</v>
      </c>
      <c r="E260" s="522">
        <v>201602</v>
      </c>
      <c r="F260" s="523">
        <v>1138.8800000000001</v>
      </c>
      <c r="G260" s="521">
        <v>2</v>
      </c>
      <c r="H260" s="524">
        <v>1.3083000000000001E-3</v>
      </c>
      <c r="I260" s="523">
        <v>2.98</v>
      </c>
      <c r="J260" s="448">
        <v>17.88</v>
      </c>
      <c r="N260" s="590"/>
      <c r="O260" s="590"/>
      <c r="R260" s="440"/>
    </row>
    <row r="261" spans="1:18" s="559" customFormat="1" ht="15">
      <c r="A261" s="521" t="s">
        <v>318</v>
      </c>
      <c r="B261" s="522" t="s">
        <v>690</v>
      </c>
      <c r="C261" s="424" t="s">
        <v>330</v>
      </c>
      <c r="D261" s="521" t="s">
        <v>691</v>
      </c>
      <c r="E261" s="522">
        <v>201602</v>
      </c>
      <c r="F261" s="523">
        <v>29840.57</v>
      </c>
      <c r="G261" s="521">
        <v>2</v>
      </c>
      <c r="H261" s="524">
        <v>1.3083000000000001E-3</v>
      </c>
      <c r="I261" s="523">
        <v>78.08</v>
      </c>
      <c r="J261" s="448">
        <v>468.49</v>
      </c>
      <c r="N261" s="590"/>
      <c r="O261" s="590"/>
      <c r="R261" s="440"/>
    </row>
    <row r="262" spans="1:18" s="559" customFormat="1" ht="15">
      <c r="A262" s="521" t="s">
        <v>318</v>
      </c>
      <c r="B262" s="522" t="s">
        <v>824</v>
      </c>
      <c r="C262" s="424" t="s">
        <v>329</v>
      </c>
      <c r="D262" s="521" t="s">
        <v>825</v>
      </c>
      <c r="E262" s="522">
        <v>201602</v>
      </c>
      <c r="F262" s="523">
        <v>317613.75</v>
      </c>
      <c r="G262" s="521">
        <v>2</v>
      </c>
      <c r="H262" s="524">
        <v>1.3083000000000001E-3</v>
      </c>
      <c r="I262" s="523">
        <v>831.07</v>
      </c>
      <c r="J262" s="448">
        <v>4986.41</v>
      </c>
      <c r="N262" s="590"/>
      <c r="O262" s="590"/>
      <c r="R262" s="440"/>
    </row>
    <row r="263" spans="1:18" s="559" customFormat="1" ht="15">
      <c r="A263" s="521" t="s">
        <v>318</v>
      </c>
      <c r="B263" s="522" t="s">
        <v>824</v>
      </c>
      <c r="C263" s="424" t="s">
        <v>329</v>
      </c>
      <c r="D263" s="521" t="s">
        <v>825</v>
      </c>
      <c r="E263" s="522">
        <v>201602</v>
      </c>
      <c r="F263" s="523">
        <v>94994.77</v>
      </c>
      <c r="G263" s="521">
        <v>2</v>
      </c>
      <c r="H263" s="524">
        <v>1.3083000000000001E-3</v>
      </c>
      <c r="I263" s="523">
        <v>248.56</v>
      </c>
      <c r="J263" s="448">
        <v>1491.38</v>
      </c>
      <c r="N263" s="590"/>
      <c r="O263" s="590"/>
      <c r="R263" s="440"/>
    </row>
    <row r="264" spans="1:18" s="559" customFormat="1" ht="15">
      <c r="A264" s="521" t="s">
        <v>318</v>
      </c>
      <c r="B264" s="522" t="s">
        <v>692</v>
      </c>
      <c r="C264" s="424" t="s">
        <v>330</v>
      </c>
      <c r="D264" s="521" t="s">
        <v>693</v>
      </c>
      <c r="E264" s="522">
        <v>201602</v>
      </c>
      <c r="F264" s="523">
        <v>42.21</v>
      </c>
      <c r="G264" s="521">
        <v>2</v>
      </c>
      <c r="H264" s="524">
        <v>1.3083000000000001E-3</v>
      </c>
      <c r="I264" s="523">
        <v>0.11</v>
      </c>
      <c r="J264" s="448">
        <v>0.66</v>
      </c>
      <c r="N264" s="590"/>
      <c r="O264" s="590"/>
      <c r="R264" s="440"/>
    </row>
    <row r="265" spans="1:18" s="559" customFormat="1" ht="15">
      <c r="A265" s="521" t="s">
        <v>318</v>
      </c>
      <c r="B265" s="522" t="s">
        <v>692</v>
      </c>
      <c r="C265" s="424" t="s">
        <v>330</v>
      </c>
      <c r="D265" s="521" t="s">
        <v>693</v>
      </c>
      <c r="E265" s="522">
        <v>201602</v>
      </c>
      <c r="F265" s="523">
        <v>1.98</v>
      </c>
      <c r="G265" s="521">
        <v>2</v>
      </c>
      <c r="H265" s="524">
        <v>1.3083000000000001E-3</v>
      </c>
      <c r="I265" s="523">
        <v>0.01</v>
      </c>
      <c r="J265" s="448">
        <v>0.03</v>
      </c>
      <c r="N265" s="590"/>
      <c r="O265" s="590"/>
      <c r="R265" s="440"/>
    </row>
    <row r="266" spans="1:18" s="559" customFormat="1" ht="15">
      <c r="A266" s="521" t="s">
        <v>318</v>
      </c>
      <c r="B266" s="522" t="s">
        <v>694</v>
      </c>
      <c r="C266" s="424" t="s">
        <v>330</v>
      </c>
      <c r="D266" s="521" t="s">
        <v>695</v>
      </c>
      <c r="E266" s="522">
        <v>201602</v>
      </c>
      <c r="F266" s="523">
        <v>0.05</v>
      </c>
      <c r="G266" s="521">
        <v>2</v>
      </c>
      <c r="H266" s="524">
        <v>1.3083000000000001E-3</v>
      </c>
      <c r="I266" s="523">
        <v>0</v>
      </c>
      <c r="J266" s="448">
        <v>0</v>
      </c>
      <c r="N266" s="590"/>
      <c r="O266" s="590"/>
      <c r="R266" s="440"/>
    </row>
    <row r="267" spans="1:18" s="559" customFormat="1" ht="15">
      <c r="A267" s="521" t="s">
        <v>318</v>
      </c>
      <c r="B267" s="522" t="s">
        <v>694</v>
      </c>
      <c r="C267" s="424" t="s">
        <v>330</v>
      </c>
      <c r="D267" s="521" t="s">
        <v>695</v>
      </c>
      <c r="E267" s="522">
        <v>201602</v>
      </c>
      <c r="F267" s="523">
        <v>1.31</v>
      </c>
      <c r="G267" s="521">
        <v>2</v>
      </c>
      <c r="H267" s="524">
        <v>1.3083000000000001E-3</v>
      </c>
      <c r="I267" s="523">
        <v>0</v>
      </c>
      <c r="J267" s="448">
        <v>0.02</v>
      </c>
      <c r="N267" s="590"/>
      <c r="O267" s="590"/>
      <c r="R267" s="440"/>
    </row>
    <row r="268" spans="1:18" s="559" customFormat="1" ht="15">
      <c r="A268" s="521" t="s">
        <v>318</v>
      </c>
      <c r="B268" s="522" t="s">
        <v>696</v>
      </c>
      <c r="C268" s="424" t="s">
        <v>330</v>
      </c>
      <c r="D268" s="521" t="s">
        <v>697</v>
      </c>
      <c r="E268" s="522">
        <v>201602</v>
      </c>
      <c r="F268" s="523">
        <v>-12.82</v>
      </c>
      <c r="G268" s="521">
        <v>2</v>
      </c>
      <c r="H268" s="524">
        <v>1.3083000000000001E-3</v>
      </c>
      <c r="I268" s="523">
        <v>-0.03</v>
      </c>
      <c r="J268" s="448">
        <v>-0.2</v>
      </c>
      <c r="N268" s="590"/>
      <c r="O268" s="590"/>
      <c r="R268" s="440"/>
    </row>
    <row r="269" spans="1:18" s="559" customFormat="1" ht="15">
      <c r="A269" s="521" t="s">
        <v>318</v>
      </c>
      <c r="B269" s="522" t="s">
        <v>696</v>
      </c>
      <c r="C269" s="424" t="s">
        <v>330</v>
      </c>
      <c r="D269" s="521" t="s">
        <v>697</v>
      </c>
      <c r="E269" s="522">
        <v>201602</v>
      </c>
      <c r="F269" s="523">
        <v>-1.1000000000000001</v>
      </c>
      <c r="G269" s="521">
        <v>2</v>
      </c>
      <c r="H269" s="524">
        <v>1.3083000000000001E-3</v>
      </c>
      <c r="I269" s="523">
        <v>0</v>
      </c>
      <c r="J269" s="448">
        <v>-0.02</v>
      </c>
      <c r="N269" s="590"/>
      <c r="O269" s="590"/>
      <c r="R269" s="440"/>
    </row>
    <row r="270" spans="1:18" s="559" customFormat="1" ht="15">
      <c r="A270" s="521" t="s">
        <v>318</v>
      </c>
      <c r="B270" s="522" t="s">
        <v>698</v>
      </c>
      <c r="C270" s="424" t="s">
        <v>330</v>
      </c>
      <c r="D270" s="521" t="s">
        <v>699</v>
      </c>
      <c r="E270" s="522">
        <v>201602</v>
      </c>
      <c r="F270" s="523">
        <v>11.13</v>
      </c>
      <c r="G270" s="521">
        <v>2</v>
      </c>
      <c r="H270" s="524">
        <v>1.3083000000000001E-3</v>
      </c>
      <c r="I270" s="523">
        <v>0.03</v>
      </c>
      <c r="J270" s="448">
        <v>0.17</v>
      </c>
      <c r="N270" s="590"/>
      <c r="O270" s="590"/>
      <c r="R270" s="440"/>
    </row>
    <row r="271" spans="1:18" s="559" customFormat="1" ht="15">
      <c r="A271" s="521" t="s">
        <v>318</v>
      </c>
      <c r="B271" s="522" t="s">
        <v>698</v>
      </c>
      <c r="C271" s="424" t="s">
        <v>330</v>
      </c>
      <c r="D271" s="521" t="s">
        <v>699</v>
      </c>
      <c r="E271" s="522">
        <v>201602</v>
      </c>
      <c r="F271" s="523">
        <v>529.59</v>
      </c>
      <c r="G271" s="521">
        <v>2</v>
      </c>
      <c r="H271" s="524">
        <v>1.3083000000000001E-3</v>
      </c>
      <c r="I271" s="523">
        <v>1.39</v>
      </c>
      <c r="J271" s="448">
        <v>8.31</v>
      </c>
      <c r="N271" s="590"/>
      <c r="O271" s="590"/>
      <c r="R271" s="440"/>
    </row>
    <row r="272" spans="1:18" s="559" customFormat="1" ht="15">
      <c r="A272" s="521" t="s">
        <v>318</v>
      </c>
      <c r="B272" s="522" t="s">
        <v>700</v>
      </c>
      <c r="C272" s="424" t="s">
        <v>330</v>
      </c>
      <c r="D272" s="521" t="s">
        <v>701</v>
      </c>
      <c r="E272" s="522">
        <v>201602</v>
      </c>
      <c r="F272" s="523">
        <v>-1126.9100000000001</v>
      </c>
      <c r="G272" s="521">
        <v>2</v>
      </c>
      <c r="H272" s="524">
        <v>1.3083000000000001E-3</v>
      </c>
      <c r="I272" s="523">
        <v>-2.95</v>
      </c>
      <c r="J272" s="448">
        <v>-17.690000000000001</v>
      </c>
      <c r="N272" s="590"/>
      <c r="O272" s="590"/>
      <c r="R272" s="440"/>
    </row>
    <row r="273" spans="1:18" s="559" customFormat="1" ht="15">
      <c r="A273" s="521" t="s">
        <v>318</v>
      </c>
      <c r="B273" s="522" t="s">
        <v>700</v>
      </c>
      <c r="C273" s="424" t="s">
        <v>330</v>
      </c>
      <c r="D273" s="521" t="s">
        <v>701</v>
      </c>
      <c r="E273" s="522">
        <v>201602</v>
      </c>
      <c r="F273" s="523">
        <v>-48.76</v>
      </c>
      <c r="G273" s="521">
        <v>2</v>
      </c>
      <c r="H273" s="524">
        <v>1.3083000000000001E-3</v>
      </c>
      <c r="I273" s="523">
        <v>-0.13</v>
      </c>
      <c r="J273" s="448">
        <v>-0.77</v>
      </c>
      <c r="N273" s="590"/>
      <c r="O273" s="590"/>
      <c r="R273" s="440"/>
    </row>
    <row r="274" spans="1:18" s="559" customFormat="1" ht="15">
      <c r="A274" s="521" t="s">
        <v>318</v>
      </c>
      <c r="B274" s="522" t="s">
        <v>702</v>
      </c>
      <c r="C274" s="424" t="s">
        <v>330</v>
      </c>
      <c r="D274" s="521" t="s">
        <v>703</v>
      </c>
      <c r="E274" s="522">
        <v>201602</v>
      </c>
      <c r="F274" s="523">
        <v>0.99</v>
      </c>
      <c r="G274" s="521">
        <v>2</v>
      </c>
      <c r="H274" s="524">
        <v>1.3083000000000001E-3</v>
      </c>
      <c r="I274" s="523">
        <v>0</v>
      </c>
      <c r="J274" s="448">
        <v>0.02</v>
      </c>
      <c r="N274" s="590"/>
      <c r="O274" s="590"/>
      <c r="R274" s="440"/>
    </row>
    <row r="275" spans="1:18" s="559" customFormat="1" ht="15">
      <c r="A275" s="521" t="s">
        <v>318</v>
      </c>
      <c r="B275" s="522" t="s">
        <v>826</v>
      </c>
      <c r="C275" s="424" t="s">
        <v>330</v>
      </c>
      <c r="D275" s="521" t="s">
        <v>827</v>
      </c>
      <c r="E275" s="522">
        <v>201602</v>
      </c>
      <c r="F275" s="523">
        <v>124201.34</v>
      </c>
      <c r="G275" s="521">
        <v>2</v>
      </c>
      <c r="H275" s="524">
        <v>1.3083000000000001E-3</v>
      </c>
      <c r="I275" s="523">
        <v>324.99</v>
      </c>
      <c r="J275" s="448">
        <v>1949.91</v>
      </c>
      <c r="N275" s="590"/>
      <c r="O275" s="590"/>
      <c r="R275" s="440"/>
    </row>
    <row r="276" spans="1:18" s="559" customFormat="1" ht="15">
      <c r="A276" s="521" t="s">
        <v>318</v>
      </c>
      <c r="B276" s="522" t="s">
        <v>826</v>
      </c>
      <c r="C276" s="424" t="s">
        <v>330</v>
      </c>
      <c r="D276" s="521" t="s">
        <v>827</v>
      </c>
      <c r="E276" s="522">
        <v>201602</v>
      </c>
      <c r="F276" s="523">
        <v>4327.16</v>
      </c>
      <c r="G276" s="521">
        <v>2</v>
      </c>
      <c r="H276" s="524">
        <v>1.3083000000000001E-3</v>
      </c>
      <c r="I276" s="523">
        <v>11.32</v>
      </c>
      <c r="J276" s="448">
        <v>67.930000000000007</v>
      </c>
      <c r="N276" s="590"/>
      <c r="O276" s="590"/>
      <c r="R276" s="440"/>
    </row>
    <row r="277" spans="1:18" ht="15">
      <c r="A277" s="332" t="s">
        <v>318</v>
      </c>
      <c r="B277" s="333" t="s">
        <v>627</v>
      </c>
      <c r="C277" s="424" t="s">
        <v>330</v>
      </c>
      <c r="D277" s="332" t="s">
        <v>628</v>
      </c>
      <c r="E277" s="333">
        <v>201603</v>
      </c>
      <c r="F277" s="334">
        <v>-166.85</v>
      </c>
      <c r="G277" s="332">
        <v>13.5</v>
      </c>
      <c r="H277" s="336">
        <v>1.3083000000000001E-3</v>
      </c>
      <c r="I277" s="334">
        <v>-2.95</v>
      </c>
      <c r="J277" s="393">
        <v>-2.62</v>
      </c>
      <c r="N277" s="126"/>
      <c r="O277" s="126"/>
      <c r="R277" s="121"/>
    </row>
    <row r="278" spans="1:18" ht="15">
      <c r="A278" s="332" t="s">
        <v>318</v>
      </c>
      <c r="B278" s="333" t="s">
        <v>320</v>
      </c>
      <c r="C278" s="424" t="s">
        <v>319</v>
      </c>
      <c r="D278" s="332" t="s">
        <v>321</v>
      </c>
      <c r="E278" s="333">
        <v>201603</v>
      </c>
      <c r="F278" s="334">
        <v>-190.2</v>
      </c>
      <c r="G278" s="332">
        <v>13.5</v>
      </c>
      <c r="H278" s="336">
        <v>1.3083000000000001E-3</v>
      </c>
      <c r="I278" s="334">
        <v>-3.36</v>
      </c>
      <c r="J278" s="393">
        <v>-2.99</v>
      </c>
      <c r="N278" s="126"/>
      <c r="O278" s="126"/>
      <c r="R278" s="121"/>
    </row>
    <row r="279" spans="1:18" ht="15">
      <c r="A279" s="332" t="s">
        <v>318</v>
      </c>
      <c r="B279" s="333" t="s">
        <v>323</v>
      </c>
      <c r="C279" s="424" t="s">
        <v>319</v>
      </c>
      <c r="D279" s="332" t="s">
        <v>324</v>
      </c>
      <c r="E279" s="333">
        <v>201603</v>
      </c>
      <c r="F279" s="334">
        <v>-5514.04</v>
      </c>
      <c r="G279" s="332">
        <v>13.5</v>
      </c>
      <c r="H279" s="336">
        <v>1.3083000000000001E-3</v>
      </c>
      <c r="I279" s="334">
        <v>-97.39</v>
      </c>
      <c r="J279" s="393">
        <v>-86.57</v>
      </c>
      <c r="N279" s="126"/>
      <c r="O279" s="126"/>
      <c r="R279" s="121"/>
    </row>
    <row r="280" spans="1:18">
      <c r="A280" s="332" t="s">
        <v>322</v>
      </c>
      <c r="B280" s="333" t="s">
        <v>325</v>
      </c>
      <c r="C280" s="423" t="s">
        <v>319</v>
      </c>
      <c r="D280" s="332" t="s">
        <v>326</v>
      </c>
      <c r="E280" s="333">
        <v>201603</v>
      </c>
      <c r="F280" s="334">
        <v>-2860.85</v>
      </c>
      <c r="G280" s="332">
        <v>13.5</v>
      </c>
      <c r="H280" s="336">
        <v>1.1999999999999999E-3</v>
      </c>
      <c r="I280" s="334">
        <v>-46.35</v>
      </c>
      <c r="J280" s="393">
        <v>-41.2</v>
      </c>
      <c r="N280" s="126"/>
      <c r="O280" s="126"/>
      <c r="R280" s="121"/>
    </row>
    <row r="281" spans="1:18">
      <c r="A281" s="332" t="s">
        <v>318</v>
      </c>
      <c r="B281" s="333" t="s">
        <v>327</v>
      </c>
      <c r="C281" s="423" t="s">
        <v>319</v>
      </c>
      <c r="D281" s="332" t="s">
        <v>328</v>
      </c>
      <c r="E281" s="333">
        <v>201603</v>
      </c>
      <c r="F281" s="334">
        <v>27886.66</v>
      </c>
      <c r="G281" s="332">
        <v>13.5</v>
      </c>
      <c r="H281" s="336">
        <v>1.3083000000000001E-3</v>
      </c>
      <c r="I281" s="334">
        <v>492.54</v>
      </c>
      <c r="J281" s="393">
        <v>437.81</v>
      </c>
      <c r="N281" s="126"/>
      <c r="O281" s="126"/>
      <c r="R281" s="121"/>
    </row>
    <row r="282" spans="1:18">
      <c r="A282" s="332" t="s">
        <v>318</v>
      </c>
      <c r="B282" s="333" t="s">
        <v>546</v>
      </c>
      <c r="C282" s="423" t="s">
        <v>330</v>
      </c>
      <c r="D282" s="332" t="s">
        <v>547</v>
      </c>
      <c r="E282" s="333">
        <v>201603</v>
      </c>
      <c r="F282" s="334">
        <v>0.7</v>
      </c>
      <c r="G282" s="332">
        <v>13.5</v>
      </c>
      <c r="H282" s="336">
        <v>1.3083000000000001E-3</v>
      </c>
      <c r="I282" s="395">
        <v>0.01</v>
      </c>
      <c r="J282" s="397">
        <v>0.01</v>
      </c>
      <c r="N282" s="126"/>
      <c r="O282" s="126"/>
      <c r="R282" s="121"/>
    </row>
    <row r="283" spans="1:18">
      <c r="A283" s="332" t="s">
        <v>318</v>
      </c>
      <c r="B283" s="333" t="s">
        <v>546</v>
      </c>
      <c r="C283" s="423" t="s">
        <v>330</v>
      </c>
      <c r="D283" s="332" t="s">
        <v>547</v>
      </c>
      <c r="E283" s="333">
        <v>201603</v>
      </c>
      <c r="F283" s="334">
        <v>0.02</v>
      </c>
      <c r="G283" s="332">
        <v>13.5</v>
      </c>
      <c r="H283" s="336">
        <v>1.3083000000000001E-3</v>
      </c>
      <c r="I283" s="334">
        <v>0</v>
      </c>
      <c r="J283" s="393">
        <v>0</v>
      </c>
      <c r="N283" s="126"/>
      <c r="O283" s="126"/>
      <c r="R283" s="121"/>
    </row>
    <row r="284" spans="1:18">
      <c r="A284" s="332" t="s">
        <v>318</v>
      </c>
      <c r="B284" s="333" t="s">
        <v>589</v>
      </c>
      <c r="C284" s="423" t="s">
        <v>330</v>
      </c>
      <c r="D284" s="332" t="s">
        <v>590</v>
      </c>
      <c r="E284" s="333">
        <v>201603</v>
      </c>
      <c r="F284" s="334">
        <v>-7.51</v>
      </c>
      <c r="G284" s="332">
        <v>13.5</v>
      </c>
      <c r="H284" s="336">
        <v>1.3083000000000001E-3</v>
      </c>
      <c r="I284" s="334">
        <v>-0.13</v>
      </c>
      <c r="J284" s="393">
        <v>-0.12</v>
      </c>
      <c r="N284" s="126"/>
      <c r="O284" s="126"/>
      <c r="R284" s="121"/>
    </row>
    <row r="285" spans="1:18" ht="15">
      <c r="A285" s="332" t="s">
        <v>318</v>
      </c>
      <c r="B285" s="333" t="s">
        <v>589</v>
      </c>
      <c r="C285" s="424" t="s">
        <v>330</v>
      </c>
      <c r="D285" s="332" t="s">
        <v>590</v>
      </c>
      <c r="E285" s="333">
        <v>201603</v>
      </c>
      <c r="F285" s="334">
        <v>-0.25</v>
      </c>
      <c r="G285" s="332">
        <v>13.5</v>
      </c>
      <c r="H285" s="336">
        <v>1.3083000000000001E-3</v>
      </c>
      <c r="I285" s="334">
        <v>0</v>
      </c>
      <c r="J285" s="393">
        <v>0</v>
      </c>
      <c r="N285" s="126"/>
      <c r="O285" s="126"/>
      <c r="R285" s="121"/>
    </row>
    <row r="286" spans="1:18" ht="15">
      <c r="A286" s="332" t="s">
        <v>322</v>
      </c>
      <c r="B286" s="333" t="s">
        <v>643</v>
      </c>
      <c r="C286" s="424" t="s">
        <v>330</v>
      </c>
      <c r="D286" s="332" t="s">
        <v>644</v>
      </c>
      <c r="E286" s="333">
        <v>201603</v>
      </c>
      <c r="F286" s="334">
        <v>62.88</v>
      </c>
      <c r="G286" s="332">
        <v>13.5</v>
      </c>
      <c r="H286" s="336">
        <v>1.1999999999999999E-3</v>
      </c>
      <c r="I286" s="334">
        <v>1.02</v>
      </c>
      <c r="J286" s="393">
        <v>0.91</v>
      </c>
      <c r="N286" s="126"/>
      <c r="O286" s="126"/>
      <c r="R286" s="121"/>
    </row>
    <row r="287" spans="1:18">
      <c r="A287" s="332" t="s">
        <v>318</v>
      </c>
      <c r="B287" s="333" t="s">
        <v>643</v>
      </c>
      <c r="C287" s="423" t="s">
        <v>330</v>
      </c>
      <c r="D287" s="332" t="s">
        <v>644</v>
      </c>
      <c r="E287" s="333">
        <v>201603</v>
      </c>
      <c r="F287" s="334">
        <v>4320.16</v>
      </c>
      <c r="G287" s="332">
        <v>13.5</v>
      </c>
      <c r="H287" s="336">
        <v>1.3083000000000001E-3</v>
      </c>
      <c r="I287" s="334">
        <v>76.3</v>
      </c>
      <c r="J287" s="393">
        <v>67.819999999999993</v>
      </c>
      <c r="N287" s="126"/>
      <c r="O287" s="126"/>
      <c r="R287" s="121"/>
    </row>
    <row r="288" spans="1:18">
      <c r="A288" s="332" t="s">
        <v>318</v>
      </c>
      <c r="B288" s="333" t="s">
        <v>643</v>
      </c>
      <c r="C288" s="423" t="s">
        <v>330</v>
      </c>
      <c r="D288" s="332" t="s">
        <v>644</v>
      </c>
      <c r="E288" s="333">
        <v>201603</v>
      </c>
      <c r="F288" s="334">
        <v>302.24</v>
      </c>
      <c r="G288" s="332">
        <v>13.5</v>
      </c>
      <c r="H288" s="336">
        <v>1.3083000000000001E-3</v>
      </c>
      <c r="I288" s="334">
        <v>5.34</v>
      </c>
      <c r="J288" s="393">
        <v>4.75</v>
      </c>
      <c r="N288" s="126"/>
      <c r="O288" s="126"/>
      <c r="R288" s="121"/>
    </row>
    <row r="289" spans="1:18">
      <c r="A289" s="332" t="s">
        <v>318</v>
      </c>
      <c r="B289" s="333" t="s">
        <v>800</v>
      </c>
      <c r="C289" s="423" t="s">
        <v>330</v>
      </c>
      <c r="D289" s="332" t="s">
        <v>830</v>
      </c>
      <c r="E289" s="333">
        <v>201603</v>
      </c>
      <c r="F289" s="334">
        <v>-9240.34</v>
      </c>
      <c r="G289" s="332">
        <v>13.5</v>
      </c>
      <c r="H289" s="336">
        <v>1.3083000000000001E-3</v>
      </c>
      <c r="I289" s="334">
        <v>-163.19999999999999</v>
      </c>
      <c r="J289" s="393">
        <v>-145.07</v>
      </c>
      <c r="N289" s="126"/>
      <c r="O289" s="126"/>
      <c r="R289" s="121"/>
    </row>
    <row r="290" spans="1:18">
      <c r="A290" s="332" t="s">
        <v>318</v>
      </c>
      <c r="B290" s="333" t="s">
        <v>800</v>
      </c>
      <c r="C290" s="423" t="s">
        <v>330</v>
      </c>
      <c r="D290" s="332" t="s">
        <v>830</v>
      </c>
      <c r="E290" s="333">
        <v>201603</v>
      </c>
      <c r="F290" s="334">
        <v>-517.91</v>
      </c>
      <c r="G290" s="332">
        <v>13.5</v>
      </c>
      <c r="H290" s="336">
        <v>1.3083000000000001E-3</v>
      </c>
      <c r="I290" s="334">
        <v>-9.15</v>
      </c>
      <c r="J290" s="393">
        <v>-8.1300000000000008</v>
      </c>
      <c r="N290" s="126"/>
      <c r="O290" s="126"/>
      <c r="R290" s="121"/>
    </row>
    <row r="291" spans="1:18">
      <c r="A291" s="332" t="s">
        <v>318</v>
      </c>
      <c r="B291" s="333" t="s">
        <v>451</v>
      </c>
      <c r="C291" s="423" t="s">
        <v>330</v>
      </c>
      <c r="D291" s="332" t="s">
        <v>452</v>
      </c>
      <c r="E291" s="333">
        <v>201603</v>
      </c>
      <c r="F291" s="334">
        <v>0.55000000000000004</v>
      </c>
      <c r="G291" s="332">
        <v>13.5</v>
      </c>
      <c r="H291" s="336">
        <v>1.3083000000000001E-3</v>
      </c>
      <c r="I291" s="334">
        <v>0.01</v>
      </c>
      <c r="J291" s="393">
        <v>0.01</v>
      </c>
      <c r="N291" s="126"/>
      <c r="O291" s="126"/>
      <c r="R291" s="121"/>
    </row>
    <row r="292" spans="1:18">
      <c r="A292" s="332" t="s">
        <v>318</v>
      </c>
      <c r="B292" s="333" t="s">
        <v>451</v>
      </c>
      <c r="C292" s="423" t="s">
        <v>330</v>
      </c>
      <c r="D292" s="332" t="s">
        <v>452</v>
      </c>
      <c r="E292" s="333">
        <v>201603</v>
      </c>
      <c r="F292" s="334">
        <v>0.01</v>
      </c>
      <c r="G292" s="332">
        <v>13.5</v>
      </c>
      <c r="H292" s="336">
        <v>1.3083000000000001E-3</v>
      </c>
      <c r="I292" s="334">
        <v>0</v>
      </c>
      <c r="J292" s="393">
        <v>0</v>
      </c>
      <c r="N292" s="126"/>
      <c r="O292" s="126"/>
      <c r="R292" s="121"/>
    </row>
    <row r="293" spans="1:18">
      <c r="A293" s="332" t="s">
        <v>318</v>
      </c>
      <c r="B293" s="333" t="s">
        <v>645</v>
      </c>
      <c r="C293" s="423" t="s">
        <v>330</v>
      </c>
      <c r="D293" s="332" t="s">
        <v>646</v>
      </c>
      <c r="E293" s="333">
        <v>201603</v>
      </c>
      <c r="F293" s="334">
        <v>149.38999999999999</v>
      </c>
      <c r="G293" s="332">
        <v>13.5</v>
      </c>
      <c r="H293" s="336">
        <v>1.3083000000000001E-3</v>
      </c>
      <c r="I293" s="334">
        <v>2.64</v>
      </c>
      <c r="J293" s="393">
        <v>2.35</v>
      </c>
      <c r="N293" s="126"/>
      <c r="O293" s="126"/>
      <c r="R293" s="121"/>
    </row>
    <row r="294" spans="1:18">
      <c r="A294" s="332" t="s">
        <v>318</v>
      </c>
      <c r="B294" s="333" t="s">
        <v>645</v>
      </c>
      <c r="C294" s="423" t="s">
        <v>330</v>
      </c>
      <c r="D294" s="332" t="s">
        <v>646</v>
      </c>
      <c r="E294" s="333">
        <v>201603</v>
      </c>
      <c r="F294" s="334">
        <v>9.4700000000000006</v>
      </c>
      <c r="G294" s="332">
        <v>13.5</v>
      </c>
      <c r="H294" s="336">
        <v>1.3083000000000001E-3</v>
      </c>
      <c r="I294" s="334">
        <v>0.17</v>
      </c>
      <c r="J294" s="393">
        <v>0.15</v>
      </c>
      <c r="N294" s="126"/>
      <c r="O294" s="126"/>
      <c r="R294" s="121"/>
    </row>
    <row r="295" spans="1:18">
      <c r="A295" s="332" t="s">
        <v>318</v>
      </c>
      <c r="B295" s="333" t="s">
        <v>647</v>
      </c>
      <c r="C295" s="423" t="s">
        <v>330</v>
      </c>
      <c r="D295" s="332" t="s">
        <v>648</v>
      </c>
      <c r="E295" s="333">
        <v>201603</v>
      </c>
      <c r="F295" s="334">
        <v>-64.22</v>
      </c>
      <c r="G295" s="332">
        <v>13.5</v>
      </c>
      <c r="H295" s="336">
        <v>1.3083000000000001E-3</v>
      </c>
      <c r="I295" s="334">
        <v>-1.1299999999999999</v>
      </c>
      <c r="J295" s="393">
        <v>-1.01</v>
      </c>
      <c r="N295" s="126"/>
      <c r="O295" s="126"/>
      <c r="R295" s="121"/>
    </row>
    <row r="296" spans="1:18">
      <c r="A296" s="332" t="s">
        <v>318</v>
      </c>
      <c r="B296" s="333" t="s">
        <v>647</v>
      </c>
      <c r="C296" s="423" t="s">
        <v>330</v>
      </c>
      <c r="D296" s="332" t="s">
        <v>648</v>
      </c>
      <c r="E296" s="333">
        <v>201603</v>
      </c>
      <c r="F296" s="334">
        <v>-4.07</v>
      </c>
      <c r="G296" s="332">
        <v>13.5</v>
      </c>
      <c r="H296" s="336">
        <v>1.3083000000000001E-3</v>
      </c>
      <c r="I296" s="334">
        <v>-7.0000000000000007E-2</v>
      </c>
      <c r="J296" s="393">
        <v>-0.06</v>
      </c>
      <c r="N296" s="126"/>
      <c r="O296" s="126"/>
      <c r="R296" s="121"/>
    </row>
    <row r="297" spans="1:18">
      <c r="A297" s="332" t="s">
        <v>318</v>
      </c>
      <c r="B297" s="333" t="s">
        <v>784</v>
      </c>
      <c r="C297" s="423" t="s">
        <v>330</v>
      </c>
      <c r="D297" s="332" t="s">
        <v>785</v>
      </c>
      <c r="E297" s="333">
        <v>201603</v>
      </c>
      <c r="F297" s="334">
        <v>-4999.55</v>
      </c>
      <c r="G297" s="332">
        <v>13.5</v>
      </c>
      <c r="H297" s="336">
        <v>1.3083000000000001E-3</v>
      </c>
      <c r="I297" s="334">
        <v>-88.3</v>
      </c>
      <c r="J297" s="393">
        <v>-78.489999999999995</v>
      </c>
      <c r="N297" s="126"/>
      <c r="O297" s="126"/>
      <c r="R297" s="121"/>
    </row>
    <row r="298" spans="1:18">
      <c r="A298" s="332" t="s">
        <v>318</v>
      </c>
      <c r="B298" s="333" t="s">
        <v>784</v>
      </c>
      <c r="C298" s="423" t="s">
        <v>330</v>
      </c>
      <c r="D298" s="332" t="s">
        <v>785</v>
      </c>
      <c r="E298" s="333">
        <v>201603</v>
      </c>
      <c r="F298" s="334">
        <v>-31.46</v>
      </c>
      <c r="G298" s="332">
        <v>13.5</v>
      </c>
      <c r="H298" s="336">
        <v>1.3083000000000001E-3</v>
      </c>
      <c r="I298" s="334">
        <v>-0.56000000000000005</v>
      </c>
      <c r="J298" s="393">
        <v>-0.49</v>
      </c>
      <c r="N298" s="126"/>
      <c r="O298" s="126"/>
      <c r="R298" s="121"/>
    </row>
    <row r="299" spans="1:18">
      <c r="A299" s="332" t="s">
        <v>318</v>
      </c>
      <c r="B299" s="333" t="s">
        <v>592</v>
      </c>
      <c r="C299" s="423" t="s">
        <v>329</v>
      </c>
      <c r="D299" s="332" t="s">
        <v>593</v>
      </c>
      <c r="E299" s="333">
        <v>201603</v>
      </c>
      <c r="F299" s="334">
        <v>0.21</v>
      </c>
      <c r="G299" s="332">
        <v>13.5</v>
      </c>
      <c r="H299" s="336">
        <v>1.3083000000000001E-3</v>
      </c>
      <c r="I299" s="334">
        <v>0</v>
      </c>
      <c r="J299" s="393">
        <v>0</v>
      </c>
      <c r="N299" s="126"/>
      <c r="O299" s="126"/>
      <c r="R299" s="121"/>
    </row>
    <row r="300" spans="1:18">
      <c r="A300" s="332" t="s">
        <v>318</v>
      </c>
      <c r="B300" s="333" t="s">
        <v>592</v>
      </c>
      <c r="C300" s="423" t="s">
        <v>329</v>
      </c>
      <c r="D300" s="332" t="s">
        <v>593</v>
      </c>
      <c r="E300" s="333">
        <v>201603</v>
      </c>
      <c r="F300" s="334">
        <v>0.01</v>
      </c>
      <c r="G300" s="332">
        <v>13.5</v>
      </c>
      <c r="H300" s="336">
        <v>1.3083000000000001E-3</v>
      </c>
      <c r="I300" s="334">
        <v>0</v>
      </c>
      <c r="J300" s="393">
        <v>0</v>
      </c>
      <c r="N300" s="126"/>
      <c r="O300" s="126"/>
      <c r="R300" s="121"/>
    </row>
    <row r="301" spans="1:18" ht="15">
      <c r="A301" s="332" t="s">
        <v>318</v>
      </c>
      <c r="B301" s="333" t="s">
        <v>631</v>
      </c>
      <c r="C301" s="424" t="s">
        <v>330</v>
      </c>
      <c r="D301" s="332" t="s">
        <v>632</v>
      </c>
      <c r="E301" s="333">
        <v>201603</v>
      </c>
      <c r="F301" s="334">
        <v>-76.069999999999993</v>
      </c>
      <c r="G301" s="332">
        <v>13.5</v>
      </c>
      <c r="H301" s="336">
        <v>1.3083000000000001E-3</v>
      </c>
      <c r="I301" s="334">
        <v>-1.34</v>
      </c>
      <c r="J301" s="393">
        <v>-1.19</v>
      </c>
      <c r="N301" s="126"/>
      <c r="O301" s="126"/>
      <c r="R301" s="121"/>
    </row>
    <row r="302" spans="1:18" ht="15">
      <c r="A302" s="332" t="s">
        <v>318</v>
      </c>
      <c r="B302" s="333" t="s">
        <v>631</v>
      </c>
      <c r="C302" s="424" t="s">
        <v>330</v>
      </c>
      <c r="D302" s="332" t="s">
        <v>632</v>
      </c>
      <c r="E302" s="333">
        <v>201603</v>
      </c>
      <c r="F302" s="334">
        <v>-1.38</v>
      </c>
      <c r="G302" s="332">
        <v>13.5</v>
      </c>
      <c r="H302" s="336">
        <v>1.3083000000000001E-3</v>
      </c>
      <c r="I302" s="334">
        <v>-0.02</v>
      </c>
      <c r="J302" s="393">
        <v>-0.02</v>
      </c>
      <c r="N302" s="126"/>
      <c r="O302" s="126"/>
      <c r="R302" s="121"/>
    </row>
    <row r="303" spans="1:18" ht="15">
      <c r="A303" s="332" t="s">
        <v>318</v>
      </c>
      <c r="B303" s="333" t="s">
        <v>649</v>
      </c>
      <c r="C303" s="424" t="s">
        <v>330</v>
      </c>
      <c r="D303" s="332" t="s">
        <v>650</v>
      </c>
      <c r="E303" s="333">
        <v>201603</v>
      </c>
      <c r="F303" s="334">
        <v>-9009.27</v>
      </c>
      <c r="G303" s="332">
        <v>13.5</v>
      </c>
      <c r="H303" s="336">
        <v>1.3083000000000001E-3</v>
      </c>
      <c r="I303" s="334">
        <v>-159.12</v>
      </c>
      <c r="J303" s="393">
        <v>-141.44</v>
      </c>
      <c r="N303" s="126"/>
      <c r="O303" s="126"/>
      <c r="R303" s="121"/>
    </row>
    <row r="304" spans="1:18" ht="15">
      <c r="A304" s="332" t="s">
        <v>318</v>
      </c>
      <c r="B304" s="333" t="s">
        <v>649</v>
      </c>
      <c r="C304" s="424" t="s">
        <v>330</v>
      </c>
      <c r="D304" s="332" t="s">
        <v>650</v>
      </c>
      <c r="E304" s="333">
        <v>201603</v>
      </c>
      <c r="F304" s="334">
        <v>-94.45</v>
      </c>
      <c r="G304" s="332">
        <v>13.5</v>
      </c>
      <c r="H304" s="336">
        <v>1.3083000000000001E-3</v>
      </c>
      <c r="I304" s="334">
        <v>-1.67</v>
      </c>
      <c r="J304" s="393">
        <v>-1.48</v>
      </c>
      <c r="N304" s="126"/>
      <c r="O304" s="126"/>
      <c r="R304" s="121"/>
    </row>
    <row r="305" spans="1:18" ht="15">
      <c r="A305" s="332" t="s">
        <v>318</v>
      </c>
      <c r="B305" s="333" t="s">
        <v>651</v>
      </c>
      <c r="C305" s="424" t="s">
        <v>330</v>
      </c>
      <c r="D305" s="332" t="s">
        <v>652</v>
      </c>
      <c r="E305" s="333">
        <v>201603</v>
      </c>
      <c r="F305" s="334">
        <v>-6945.67</v>
      </c>
      <c r="G305" s="332">
        <v>13.5</v>
      </c>
      <c r="H305" s="336">
        <v>1.3083000000000001E-3</v>
      </c>
      <c r="I305" s="334">
        <v>-122.67</v>
      </c>
      <c r="J305" s="393">
        <v>-109.04</v>
      </c>
      <c r="N305" s="126"/>
      <c r="O305" s="126"/>
      <c r="R305" s="121"/>
    </row>
    <row r="306" spans="1:18" ht="15">
      <c r="A306" s="332" t="s">
        <v>318</v>
      </c>
      <c r="B306" s="333" t="s">
        <v>651</v>
      </c>
      <c r="C306" s="424" t="s">
        <v>330</v>
      </c>
      <c r="D306" s="332" t="s">
        <v>652</v>
      </c>
      <c r="E306" s="333">
        <v>201603</v>
      </c>
      <c r="F306" s="334">
        <v>-517.32000000000005</v>
      </c>
      <c r="G306" s="332">
        <v>13.5</v>
      </c>
      <c r="H306" s="336">
        <v>1.3083000000000001E-3</v>
      </c>
      <c r="I306" s="334">
        <v>-9.14</v>
      </c>
      <c r="J306" s="393">
        <v>-8.1199999999999992</v>
      </c>
      <c r="N306" s="126"/>
      <c r="O306" s="126"/>
      <c r="R306" s="121"/>
    </row>
    <row r="307" spans="1:18">
      <c r="A307" s="332" t="s">
        <v>318</v>
      </c>
      <c r="B307" s="333" t="s">
        <v>786</v>
      </c>
      <c r="C307" s="423" t="s">
        <v>330</v>
      </c>
      <c r="D307" s="332" t="s">
        <v>787</v>
      </c>
      <c r="E307" s="333">
        <v>201603</v>
      </c>
      <c r="F307" s="334">
        <v>-10908.72</v>
      </c>
      <c r="G307" s="332">
        <v>13.5</v>
      </c>
      <c r="H307" s="336">
        <v>1.3083000000000001E-3</v>
      </c>
      <c r="I307" s="334">
        <v>-192.67</v>
      </c>
      <c r="J307" s="393">
        <v>-171.26</v>
      </c>
      <c r="N307" s="126"/>
      <c r="O307" s="126"/>
      <c r="R307" s="121"/>
    </row>
    <row r="308" spans="1:18">
      <c r="A308" s="332" t="s">
        <v>318</v>
      </c>
      <c r="B308" s="333" t="s">
        <v>786</v>
      </c>
      <c r="C308" s="423" t="s">
        <v>330</v>
      </c>
      <c r="D308" s="332" t="s">
        <v>787</v>
      </c>
      <c r="E308" s="333">
        <v>201603</v>
      </c>
      <c r="F308" s="334">
        <v>-738.33</v>
      </c>
      <c r="G308" s="332">
        <v>13.5</v>
      </c>
      <c r="H308" s="336">
        <v>1.3083000000000001E-3</v>
      </c>
      <c r="I308" s="334">
        <v>-13.04</v>
      </c>
      <c r="J308" s="393">
        <v>-11.59</v>
      </c>
      <c r="N308" s="126"/>
      <c r="O308" s="126"/>
      <c r="R308" s="121"/>
    </row>
    <row r="309" spans="1:18">
      <c r="A309" s="332" t="s">
        <v>318</v>
      </c>
      <c r="B309" s="333" t="s">
        <v>653</v>
      </c>
      <c r="C309" s="423" t="s">
        <v>330</v>
      </c>
      <c r="D309" s="332" t="s">
        <v>654</v>
      </c>
      <c r="E309" s="333">
        <v>201603</v>
      </c>
      <c r="F309" s="334">
        <v>-7239.96</v>
      </c>
      <c r="G309" s="332">
        <v>13.5</v>
      </c>
      <c r="H309" s="336">
        <v>1.3083000000000001E-3</v>
      </c>
      <c r="I309" s="334">
        <v>-127.87</v>
      </c>
      <c r="J309" s="393">
        <v>-113.66</v>
      </c>
      <c r="N309" s="126"/>
      <c r="O309" s="126"/>
      <c r="R309" s="121"/>
    </row>
    <row r="310" spans="1:18">
      <c r="A310" s="332" t="s">
        <v>318</v>
      </c>
      <c r="B310" s="333" t="s">
        <v>653</v>
      </c>
      <c r="C310" s="423" t="s">
        <v>330</v>
      </c>
      <c r="D310" s="332" t="s">
        <v>654</v>
      </c>
      <c r="E310" s="333">
        <v>201603</v>
      </c>
      <c r="F310" s="334">
        <v>-181.38</v>
      </c>
      <c r="G310" s="332">
        <v>13.5</v>
      </c>
      <c r="H310" s="336">
        <v>1.3083000000000001E-3</v>
      </c>
      <c r="I310" s="334">
        <v>-3.2</v>
      </c>
      <c r="J310" s="393">
        <v>-2.85</v>
      </c>
      <c r="N310" s="126"/>
      <c r="O310" s="126"/>
      <c r="R310" s="121"/>
    </row>
    <row r="311" spans="1:18">
      <c r="A311" s="332" t="s">
        <v>318</v>
      </c>
      <c r="B311" s="333" t="s">
        <v>655</v>
      </c>
      <c r="C311" s="423" t="s">
        <v>330</v>
      </c>
      <c r="D311" s="332" t="s">
        <v>656</v>
      </c>
      <c r="E311" s="333">
        <v>201603</v>
      </c>
      <c r="F311" s="334">
        <v>-3.84</v>
      </c>
      <c r="G311" s="332">
        <v>13.5</v>
      </c>
      <c r="H311" s="336">
        <v>1.3083000000000001E-3</v>
      </c>
      <c r="I311" s="334">
        <v>-7.0000000000000007E-2</v>
      </c>
      <c r="J311" s="393">
        <v>-0.06</v>
      </c>
      <c r="N311" s="126"/>
      <c r="O311" s="126"/>
      <c r="R311" s="121"/>
    </row>
    <row r="312" spans="1:18">
      <c r="A312" s="332" t="s">
        <v>318</v>
      </c>
      <c r="B312" s="333" t="s">
        <v>655</v>
      </c>
      <c r="C312" s="423" t="s">
        <v>330</v>
      </c>
      <c r="D312" s="332" t="s">
        <v>656</v>
      </c>
      <c r="E312" s="333">
        <v>201603</v>
      </c>
      <c r="F312" s="334">
        <v>-0.03</v>
      </c>
      <c r="G312" s="332">
        <v>13.5</v>
      </c>
      <c r="H312" s="336">
        <v>1.3083000000000001E-3</v>
      </c>
      <c r="I312" s="334">
        <v>0</v>
      </c>
      <c r="J312" s="393">
        <v>0</v>
      </c>
      <c r="N312" s="126"/>
      <c r="O312" s="126"/>
      <c r="R312" s="121"/>
    </row>
    <row r="313" spans="1:18">
      <c r="A313" s="332" t="s">
        <v>318</v>
      </c>
      <c r="B313" s="333" t="s">
        <v>594</v>
      </c>
      <c r="C313" s="423" t="s">
        <v>330</v>
      </c>
      <c r="D313" s="332" t="s">
        <v>595</v>
      </c>
      <c r="E313" s="333">
        <v>201603</v>
      </c>
      <c r="F313" s="334">
        <v>-0.22</v>
      </c>
      <c r="G313" s="332">
        <v>13.5</v>
      </c>
      <c r="H313" s="336">
        <v>1.3083000000000001E-3</v>
      </c>
      <c r="I313" s="334">
        <v>0</v>
      </c>
      <c r="J313" s="393">
        <v>0</v>
      </c>
      <c r="N313" s="126"/>
      <c r="O313" s="126"/>
      <c r="R313" s="121"/>
    </row>
    <row r="314" spans="1:18" ht="15">
      <c r="A314" s="332" t="s">
        <v>318</v>
      </c>
      <c r="B314" s="333" t="s">
        <v>596</v>
      </c>
      <c r="C314" s="424" t="s">
        <v>330</v>
      </c>
      <c r="D314" s="332" t="s">
        <v>597</v>
      </c>
      <c r="E314" s="333">
        <v>201603</v>
      </c>
      <c r="F314" s="334">
        <v>-0.34</v>
      </c>
      <c r="G314" s="332">
        <v>13.5</v>
      </c>
      <c r="H314" s="336">
        <v>1.3083000000000001E-3</v>
      </c>
      <c r="I314" s="334">
        <v>-0.01</v>
      </c>
      <c r="J314" s="393">
        <v>-0.01</v>
      </c>
      <c r="N314" s="126"/>
      <c r="O314" s="126"/>
      <c r="R314" s="121"/>
    </row>
    <row r="315" spans="1:18" ht="15">
      <c r="A315" s="332" t="s">
        <v>318</v>
      </c>
      <c r="B315" s="333" t="s">
        <v>657</v>
      </c>
      <c r="C315" s="424" t="s">
        <v>330</v>
      </c>
      <c r="D315" s="332" t="s">
        <v>658</v>
      </c>
      <c r="E315" s="333">
        <v>201603</v>
      </c>
      <c r="F315" s="334">
        <v>-486.52</v>
      </c>
      <c r="G315" s="332">
        <v>13.5</v>
      </c>
      <c r="H315" s="336">
        <v>1.3083000000000001E-3</v>
      </c>
      <c r="I315" s="334">
        <v>-8.59</v>
      </c>
      <c r="J315" s="393">
        <v>-7.64</v>
      </c>
      <c r="N315" s="126"/>
      <c r="O315" s="126"/>
      <c r="R315" s="121"/>
    </row>
    <row r="316" spans="1:18">
      <c r="A316" s="332" t="s">
        <v>318</v>
      </c>
      <c r="B316" s="333" t="s">
        <v>657</v>
      </c>
      <c r="C316" s="423" t="s">
        <v>330</v>
      </c>
      <c r="D316" s="332" t="s">
        <v>658</v>
      </c>
      <c r="E316" s="333">
        <v>201603</v>
      </c>
      <c r="F316" s="334">
        <v>-26.05</v>
      </c>
      <c r="G316" s="332">
        <v>13.5</v>
      </c>
      <c r="H316" s="336">
        <v>1.3083000000000001E-3</v>
      </c>
      <c r="I316" s="334">
        <v>-0.46</v>
      </c>
      <c r="J316" s="393">
        <v>-0.41</v>
      </c>
      <c r="N316" s="126"/>
      <c r="O316" s="126"/>
      <c r="R316" s="121"/>
    </row>
    <row r="317" spans="1:18">
      <c r="A317" s="332" t="s">
        <v>318</v>
      </c>
      <c r="B317" s="333" t="s">
        <v>659</v>
      </c>
      <c r="C317" s="423" t="s">
        <v>330</v>
      </c>
      <c r="D317" s="332" t="s">
        <v>660</v>
      </c>
      <c r="E317" s="333">
        <v>201603</v>
      </c>
      <c r="F317" s="334">
        <v>655.03</v>
      </c>
      <c r="G317" s="332">
        <v>13.5</v>
      </c>
      <c r="H317" s="336">
        <v>1.3083000000000001E-3</v>
      </c>
      <c r="I317" s="334">
        <v>11.57</v>
      </c>
      <c r="J317" s="393">
        <v>10.28</v>
      </c>
      <c r="N317" s="126"/>
      <c r="O317" s="126"/>
      <c r="R317" s="121"/>
    </row>
    <row r="318" spans="1:18" ht="15">
      <c r="A318" s="332" t="s">
        <v>318</v>
      </c>
      <c r="B318" s="333" t="s">
        <v>659</v>
      </c>
      <c r="C318" s="424" t="s">
        <v>330</v>
      </c>
      <c r="D318" s="332" t="s">
        <v>660</v>
      </c>
      <c r="E318" s="333">
        <v>201603</v>
      </c>
      <c r="F318" s="334">
        <v>7.47</v>
      </c>
      <c r="G318" s="332">
        <v>13.5</v>
      </c>
      <c r="H318" s="336">
        <v>1.3083000000000001E-3</v>
      </c>
      <c r="I318" s="334">
        <v>0.13</v>
      </c>
      <c r="J318" s="393">
        <v>0.12</v>
      </c>
      <c r="N318" s="126"/>
      <c r="O318" s="126"/>
      <c r="R318" s="121"/>
    </row>
    <row r="319" spans="1:18" ht="15">
      <c r="A319" s="332" t="s">
        <v>318</v>
      </c>
      <c r="B319" s="333" t="s">
        <v>661</v>
      </c>
      <c r="C319" s="424" t="s">
        <v>330</v>
      </c>
      <c r="D319" s="332" t="s">
        <v>662</v>
      </c>
      <c r="E319" s="333">
        <v>201603</v>
      </c>
      <c r="F319" s="334">
        <v>40433.39</v>
      </c>
      <c r="G319" s="332">
        <v>13.5</v>
      </c>
      <c r="H319" s="336">
        <v>1.3083000000000001E-3</v>
      </c>
      <c r="I319" s="334">
        <v>714.14</v>
      </c>
      <c r="J319" s="393">
        <v>634.79</v>
      </c>
      <c r="N319" s="126"/>
      <c r="O319" s="126"/>
      <c r="R319" s="121"/>
    </row>
    <row r="320" spans="1:18">
      <c r="A320" s="332" t="s">
        <v>318</v>
      </c>
      <c r="B320" s="333" t="s">
        <v>661</v>
      </c>
      <c r="C320" s="423" t="s">
        <v>330</v>
      </c>
      <c r="D320" s="332" t="s">
        <v>662</v>
      </c>
      <c r="E320" s="333">
        <v>201603</v>
      </c>
      <c r="F320" s="334">
        <v>2676.57</v>
      </c>
      <c r="G320" s="332">
        <v>13.5</v>
      </c>
      <c r="H320" s="336">
        <v>1.3083000000000001E-3</v>
      </c>
      <c r="I320" s="334">
        <v>47.27</v>
      </c>
      <c r="J320" s="393">
        <v>42.02</v>
      </c>
      <c r="N320" s="126"/>
      <c r="O320" s="126"/>
      <c r="R320" s="121"/>
    </row>
    <row r="321" spans="1:18">
      <c r="A321" s="332" t="s">
        <v>318</v>
      </c>
      <c r="B321" s="333" t="s">
        <v>663</v>
      </c>
      <c r="C321" s="423" t="s">
        <v>330</v>
      </c>
      <c r="D321" s="332" t="s">
        <v>664</v>
      </c>
      <c r="E321" s="333">
        <v>201603</v>
      </c>
      <c r="F321" s="334">
        <v>-5923.06</v>
      </c>
      <c r="G321" s="332">
        <v>13.5</v>
      </c>
      <c r="H321" s="336">
        <v>1.3083000000000001E-3</v>
      </c>
      <c r="I321" s="334">
        <v>-104.61</v>
      </c>
      <c r="J321" s="393">
        <v>-92.99</v>
      </c>
      <c r="N321" s="126"/>
      <c r="O321" s="126"/>
      <c r="R321" s="121"/>
    </row>
    <row r="322" spans="1:18" ht="15">
      <c r="A322" s="332" t="s">
        <v>318</v>
      </c>
      <c r="B322" s="333" t="s">
        <v>663</v>
      </c>
      <c r="C322" s="424" t="s">
        <v>330</v>
      </c>
      <c r="D322" s="332" t="s">
        <v>664</v>
      </c>
      <c r="E322" s="333">
        <v>201603</v>
      </c>
      <c r="F322" s="334">
        <v>-430.84</v>
      </c>
      <c r="G322" s="332">
        <v>13.5</v>
      </c>
      <c r="H322" s="336">
        <v>1.3083000000000001E-3</v>
      </c>
      <c r="I322" s="334">
        <v>-7.61</v>
      </c>
      <c r="J322" s="393">
        <v>-6.76</v>
      </c>
      <c r="N322" s="126"/>
      <c r="O322" s="126"/>
      <c r="R322" s="121"/>
    </row>
    <row r="323" spans="1:18" ht="15">
      <c r="A323" s="332" t="s">
        <v>318</v>
      </c>
      <c r="B323" s="333" t="s">
        <v>665</v>
      </c>
      <c r="C323" s="424" t="s">
        <v>330</v>
      </c>
      <c r="D323" s="332" t="s">
        <v>666</v>
      </c>
      <c r="E323" s="333">
        <v>201603</v>
      </c>
      <c r="F323" s="334">
        <v>-95.39</v>
      </c>
      <c r="G323" s="332">
        <v>13.5</v>
      </c>
      <c r="H323" s="336">
        <v>1.3083000000000001E-3</v>
      </c>
      <c r="I323" s="334">
        <v>-1.68</v>
      </c>
      <c r="J323" s="393">
        <v>-1.5</v>
      </c>
      <c r="N323" s="126"/>
      <c r="O323" s="126"/>
      <c r="R323" s="121"/>
    </row>
    <row r="324" spans="1:18" ht="15">
      <c r="A324" s="332" t="s">
        <v>318</v>
      </c>
      <c r="B324" s="333" t="s">
        <v>665</v>
      </c>
      <c r="C324" s="424" t="s">
        <v>330</v>
      </c>
      <c r="D324" s="332" t="s">
        <v>666</v>
      </c>
      <c r="E324" s="333">
        <v>201603</v>
      </c>
      <c r="F324" s="334">
        <v>25.37</v>
      </c>
      <c r="G324" s="332">
        <v>13.5</v>
      </c>
      <c r="H324" s="336">
        <v>1.3083000000000001E-3</v>
      </c>
      <c r="I324" s="334">
        <v>0.45</v>
      </c>
      <c r="J324" s="393">
        <v>0.4</v>
      </c>
      <c r="N324" s="126"/>
      <c r="O324" s="126"/>
      <c r="R324" s="121"/>
    </row>
    <row r="325" spans="1:18" ht="15">
      <c r="A325" s="332" t="s">
        <v>318</v>
      </c>
      <c r="B325" s="333" t="s">
        <v>801</v>
      </c>
      <c r="C325" s="424" t="s">
        <v>330</v>
      </c>
      <c r="D325" s="332" t="s">
        <v>802</v>
      </c>
      <c r="E325" s="333">
        <v>201603</v>
      </c>
      <c r="F325" s="334">
        <v>681.94</v>
      </c>
      <c r="G325" s="332">
        <v>13.5</v>
      </c>
      <c r="H325" s="336">
        <v>1.3083000000000001E-3</v>
      </c>
      <c r="I325" s="334">
        <v>12.04</v>
      </c>
      <c r="J325" s="393">
        <v>10.71</v>
      </c>
      <c r="N325" s="126"/>
      <c r="O325" s="126"/>
      <c r="R325" s="121"/>
    </row>
    <row r="326" spans="1:18" ht="15">
      <c r="A326" s="332" t="s">
        <v>318</v>
      </c>
      <c r="B326" s="333" t="s">
        <v>801</v>
      </c>
      <c r="C326" s="424" t="s">
        <v>330</v>
      </c>
      <c r="D326" s="332" t="s">
        <v>802</v>
      </c>
      <c r="E326" s="333">
        <v>201603</v>
      </c>
      <c r="F326" s="334">
        <v>51</v>
      </c>
      <c r="G326" s="332">
        <v>13.5</v>
      </c>
      <c r="H326" s="336">
        <v>1.3083000000000001E-3</v>
      </c>
      <c r="I326" s="334">
        <v>0.9</v>
      </c>
      <c r="J326" s="393">
        <v>0.8</v>
      </c>
      <c r="N326" s="126"/>
      <c r="O326" s="126"/>
      <c r="R326" s="121"/>
    </row>
    <row r="327" spans="1:18" ht="15">
      <c r="A327" s="332" t="s">
        <v>318</v>
      </c>
      <c r="B327" s="333" t="s">
        <v>803</v>
      </c>
      <c r="C327" s="424" t="s">
        <v>330</v>
      </c>
      <c r="D327" s="332" t="s">
        <v>804</v>
      </c>
      <c r="E327" s="333">
        <v>201603</v>
      </c>
      <c r="F327" s="334">
        <v>26241.43</v>
      </c>
      <c r="G327" s="332">
        <v>13.5</v>
      </c>
      <c r="H327" s="336">
        <v>1.3083000000000001E-3</v>
      </c>
      <c r="I327" s="334">
        <v>463.48</v>
      </c>
      <c r="J327" s="393">
        <v>411.98</v>
      </c>
      <c r="N327" s="126"/>
      <c r="O327" s="126"/>
      <c r="R327" s="121"/>
    </row>
    <row r="328" spans="1:18" ht="15">
      <c r="A328" s="332" t="s">
        <v>318</v>
      </c>
      <c r="B328" s="333" t="s">
        <v>803</v>
      </c>
      <c r="C328" s="424" t="s">
        <v>330</v>
      </c>
      <c r="D328" s="332" t="s">
        <v>804</v>
      </c>
      <c r="E328" s="333">
        <v>201603</v>
      </c>
      <c r="F328" s="334">
        <v>1936.9</v>
      </c>
      <c r="G328" s="332">
        <v>13.5</v>
      </c>
      <c r="H328" s="336">
        <v>1.3083000000000001E-3</v>
      </c>
      <c r="I328" s="334">
        <v>34.21</v>
      </c>
      <c r="J328" s="393">
        <v>30.41</v>
      </c>
      <c r="N328" s="126"/>
      <c r="O328" s="126"/>
      <c r="R328" s="121"/>
    </row>
    <row r="329" spans="1:18" ht="15">
      <c r="A329" s="332" t="s">
        <v>318</v>
      </c>
      <c r="B329" s="333" t="s">
        <v>805</v>
      </c>
      <c r="C329" s="424" t="s">
        <v>330</v>
      </c>
      <c r="D329" s="332" t="s">
        <v>806</v>
      </c>
      <c r="E329" s="333">
        <v>201603</v>
      </c>
      <c r="F329" s="334">
        <v>9620.02</v>
      </c>
      <c r="G329" s="332">
        <v>13.5</v>
      </c>
      <c r="H329" s="336">
        <v>1.3083000000000001E-3</v>
      </c>
      <c r="I329" s="334">
        <v>169.91</v>
      </c>
      <c r="J329" s="393">
        <v>151.03</v>
      </c>
      <c r="N329" s="126"/>
      <c r="O329" s="126"/>
      <c r="R329" s="121"/>
    </row>
    <row r="330" spans="1:18" ht="15">
      <c r="A330" s="332" t="s">
        <v>318</v>
      </c>
      <c r="B330" s="333" t="s">
        <v>805</v>
      </c>
      <c r="C330" s="424" t="s">
        <v>330</v>
      </c>
      <c r="D330" s="332" t="s">
        <v>806</v>
      </c>
      <c r="E330" s="333">
        <v>201603</v>
      </c>
      <c r="F330" s="334">
        <v>366.54</v>
      </c>
      <c r="G330" s="332">
        <v>13.5</v>
      </c>
      <c r="H330" s="336">
        <v>1.3083000000000001E-3</v>
      </c>
      <c r="I330" s="334">
        <v>6.47</v>
      </c>
      <c r="J330" s="393">
        <v>5.75</v>
      </c>
      <c r="N330" s="126"/>
      <c r="O330" s="126"/>
      <c r="R330" s="121"/>
    </row>
    <row r="331" spans="1:18" ht="15">
      <c r="A331" s="332" t="s">
        <v>318</v>
      </c>
      <c r="B331" s="333" t="s">
        <v>633</v>
      </c>
      <c r="C331" s="424" t="s">
        <v>329</v>
      </c>
      <c r="D331" s="332" t="s">
        <v>807</v>
      </c>
      <c r="E331" s="333">
        <v>201603</v>
      </c>
      <c r="F331" s="334">
        <v>-6713.52</v>
      </c>
      <c r="G331" s="332">
        <v>13.5</v>
      </c>
      <c r="H331" s="336">
        <v>1.3083000000000001E-3</v>
      </c>
      <c r="I331" s="334">
        <v>-118.57</v>
      </c>
      <c r="J331" s="393">
        <v>-105.4</v>
      </c>
      <c r="N331" s="126"/>
      <c r="O331" s="126"/>
      <c r="R331" s="121"/>
    </row>
    <row r="332" spans="1:18">
      <c r="A332" s="332" t="s">
        <v>318</v>
      </c>
      <c r="B332" s="333" t="s">
        <v>633</v>
      </c>
      <c r="C332" s="423" t="s">
        <v>329</v>
      </c>
      <c r="D332" s="332" t="s">
        <v>807</v>
      </c>
      <c r="E332" s="333">
        <v>201603</v>
      </c>
      <c r="F332" s="334">
        <v>-398.87</v>
      </c>
      <c r="G332" s="332">
        <v>13.5</v>
      </c>
      <c r="H332" s="336">
        <v>1.3083000000000001E-3</v>
      </c>
      <c r="I332" s="334">
        <v>-7.04</v>
      </c>
      <c r="J332" s="393">
        <v>-6.26</v>
      </c>
      <c r="N332" s="126"/>
      <c r="O332" s="126"/>
      <c r="R332" s="121"/>
    </row>
    <row r="333" spans="1:18">
      <c r="A333" s="332" t="s">
        <v>318</v>
      </c>
      <c r="B333" s="333" t="s">
        <v>808</v>
      </c>
      <c r="C333" s="423" t="s">
        <v>329</v>
      </c>
      <c r="D333" s="332" t="s">
        <v>809</v>
      </c>
      <c r="E333" s="333">
        <v>201603</v>
      </c>
      <c r="F333" s="334">
        <v>-27630.44</v>
      </c>
      <c r="G333" s="332">
        <v>13.5</v>
      </c>
      <c r="H333" s="336">
        <v>1.3083000000000001E-3</v>
      </c>
      <c r="I333" s="334">
        <v>-488.01</v>
      </c>
      <c r="J333" s="393">
        <v>-433.79</v>
      </c>
      <c r="N333" s="126"/>
      <c r="O333" s="126"/>
      <c r="R333" s="121"/>
    </row>
    <row r="334" spans="1:18" ht="15">
      <c r="A334" s="332" t="s">
        <v>318</v>
      </c>
      <c r="B334" s="333" t="s">
        <v>808</v>
      </c>
      <c r="C334" s="424" t="s">
        <v>329</v>
      </c>
      <c r="D334" s="332" t="s">
        <v>809</v>
      </c>
      <c r="E334" s="333">
        <v>201603</v>
      </c>
      <c r="F334" s="334">
        <v>-6900.5</v>
      </c>
      <c r="G334" s="332">
        <v>13.5</v>
      </c>
      <c r="H334" s="336">
        <v>1.3083000000000001E-3</v>
      </c>
      <c r="I334" s="334">
        <v>-121.88</v>
      </c>
      <c r="J334" s="393">
        <v>-108.34</v>
      </c>
      <c r="N334" s="126"/>
      <c r="O334" s="126"/>
      <c r="R334" s="121"/>
    </row>
    <row r="335" spans="1:18" ht="15">
      <c r="A335" s="332" t="s">
        <v>318</v>
      </c>
      <c r="B335" s="333" t="s">
        <v>667</v>
      </c>
      <c r="C335" s="424" t="s">
        <v>329</v>
      </c>
      <c r="D335" s="332" t="s">
        <v>668</v>
      </c>
      <c r="E335" s="333">
        <v>201603</v>
      </c>
      <c r="F335" s="334">
        <v>-2043.82</v>
      </c>
      <c r="G335" s="332">
        <v>13.5</v>
      </c>
      <c r="H335" s="336">
        <v>1.3083000000000001E-3</v>
      </c>
      <c r="I335" s="334">
        <v>-36.1</v>
      </c>
      <c r="J335" s="393">
        <v>-32.090000000000003</v>
      </c>
      <c r="N335" s="126"/>
      <c r="O335" s="126"/>
      <c r="R335" s="121"/>
    </row>
    <row r="336" spans="1:18">
      <c r="A336" s="332" t="s">
        <v>322</v>
      </c>
      <c r="B336" s="333" t="s">
        <v>667</v>
      </c>
      <c r="C336" s="423" t="s">
        <v>329</v>
      </c>
      <c r="D336" s="332" t="s">
        <v>668</v>
      </c>
      <c r="E336" s="333">
        <v>201603</v>
      </c>
      <c r="F336" s="334">
        <v>-239.07</v>
      </c>
      <c r="G336" s="332">
        <v>13.5</v>
      </c>
      <c r="H336" s="336">
        <v>1.1999999999999999E-3</v>
      </c>
      <c r="I336" s="334">
        <v>-3.87</v>
      </c>
      <c r="J336" s="393">
        <v>-3.44</v>
      </c>
      <c r="N336" s="126"/>
      <c r="O336" s="126"/>
      <c r="R336" s="121"/>
    </row>
    <row r="337" spans="1:18">
      <c r="A337" s="332" t="s">
        <v>318</v>
      </c>
      <c r="B337" s="333" t="s">
        <v>667</v>
      </c>
      <c r="C337" s="423" t="s">
        <v>329</v>
      </c>
      <c r="D337" s="332" t="s">
        <v>668</v>
      </c>
      <c r="E337" s="333">
        <v>201603</v>
      </c>
      <c r="F337" s="334">
        <v>-140.69999999999999</v>
      </c>
      <c r="G337" s="332">
        <v>13.5</v>
      </c>
      <c r="H337" s="336">
        <v>1.3083000000000001E-3</v>
      </c>
      <c r="I337" s="334">
        <v>-2.4900000000000002</v>
      </c>
      <c r="J337" s="393">
        <v>-2.21</v>
      </c>
      <c r="N337" s="126"/>
      <c r="O337" s="126"/>
      <c r="R337" s="121"/>
    </row>
    <row r="338" spans="1:18">
      <c r="A338" s="332" t="s">
        <v>318</v>
      </c>
      <c r="B338" s="333" t="s">
        <v>598</v>
      </c>
      <c r="C338" s="423" t="s">
        <v>330</v>
      </c>
      <c r="D338" s="332" t="s">
        <v>599</v>
      </c>
      <c r="E338" s="333">
        <v>201603</v>
      </c>
      <c r="F338" s="334">
        <v>0.05</v>
      </c>
      <c r="G338" s="332">
        <v>13.5</v>
      </c>
      <c r="H338" s="336">
        <v>1.3083000000000001E-3</v>
      </c>
      <c r="I338" s="334">
        <v>0</v>
      </c>
      <c r="J338" s="393">
        <v>0</v>
      </c>
      <c r="N338" s="126"/>
      <c r="O338" s="126"/>
      <c r="R338" s="121"/>
    </row>
    <row r="339" spans="1:18">
      <c r="A339" s="332" t="s">
        <v>318</v>
      </c>
      <c r="B339" s="333" t="s">
        <v>600</v>
      </c>
      <c r="C339" s="423" t="s">
        <v>330</v>
      </c>
      <c r="D339" s="332" t="s">
        <v>601</v>
      </c>
      <c r="E339" s="333">
        <v>201603</v>
      </c>
      <c r="F339" s="334">
        <v>-0.32</v>
      </c>
      <c r="G339" s="332">
        <v>13.5</v>
      </c>
      <c r="H339" s="336">
        <v>1.3083000000000001E-3</v>
      </c>
      <c r="I339" s="334">
        <v>-0.01</v>
      </c>
      <c r="J339" s="393">
        <v>-0.01</v>
      </c>
      <c r="N339" s="126"/>
      <c r="O339" s="126"/>
      <c r="R339" s="121"/>
    </row>
    <row r="340" spans="1:18">
      <c r="A340" s="332" t="s">
        <v>318</v>
      </c>
      <c r="B340" s="333" t="s">
        <v>554</v>
      </c>
      <c r="C340" s="423" t="s">
        <v>330</v>
      </c>
      <c r="D340" s="332" t="s">
        <v>555</v>
      </c>
      <c r="E340" s="333">
        <v>201603</v>
      </c>
      <c r="F340" s="334">
        <v>-0.28000000000000003</v>
      </c>
      <c r="G340" s="332">
        <v>13.5</v>
      </c>
      <c r="H340" s="336">
        <v>1.3083000000000001E-3</v>
      </c>
      <c r="I340" s="334">
        <v>0</v>
      </c>
      <c r="J340" s="393">
        <v>0</v>
      </c>
      <c r="N340" s="126"/>
      <c r="O340" s="126"/>
      <c r="R340" s="121"/>
    </row>
    <row r="341" spans="1:18">
      <c r="A341" s="332" t="s">
        <v>318</v>
      </c>
      <c r="B341" s="333" t="s">
        <v>554</v>
      </c>
      <c r="C341" s="423" t="s">
        <v>330</v>
      </c>
      <c r="D341" s="332" t="s">
        <v>555</v>
      </c>
      <c r="E341" s="333">
        <v>201603</v>
      </c>
      <c r="F341" s="334">
        <v>-0.01</v>
      </c>
      <c r="G341" s="332">
        <v>13.5</v>
      </c>
      <c r="H341" s="336">
        <v>1.3083000000000001E-3</v>
      </c>
      <c r="I341" s="334">
        <v>0</v>
      </c>
      <c r="J341" s="393">
        <v>0</v>
      </c>
      <c r="N341" s="126"/>
      <c r="O341" s="126"/>
      <c r="R341" s="121"/>
    </row>
    <row r="342" spans="1:18">
      <c r="A342" s="332" t="s">
        <v>318</v>
      </c>
      <c r="B342" s="333" t="s">
        <v>556</v>
      </c>
      <c r="C342" s="423" t="s">
        <v>330</v>
      </c>
      <c r="D342" s="332" t="s">
        <v>557</v>
      </c>
      <c r="E342" s="333">
        <v>201603</v>
      </c>
      <c r="F342" s="334">
        <v>-0.87</v>
      </c>
      <c r="G342" s="332">
        <v>13.5</v>
      </c>
      <c r="H342" s="336">
        <v>1.3083000000000001E-3</v>
      </c>
      <c r="I342" s="334">
        <v>-0.02</v>
      </c>
      <c r="J342" s="393">
        <v>-0.01</v>
      </c>
      <c r="N342" s="126"/>
      <c r="O342" s="126"/>
      <c r="R342" s="121"/>
    </row>
    <row r="343" spans="1:18">
      <c r="A343" s="332" t="s">
        <v>318</v>
      </c>
      <c r="B343" s="333" t="s">
        <v>560</v>
      </c>
      <c r="C343" s="423" t="s">
        <v>330</v>
      </c>
      <c r="D343" s="332" t="s">
        <v>561</v>
      </c>
      <c r="E343" s="333">
        <v>201603</v>
      </c>
      <c r="F343" s="334">
        <v>1.03</v>
      </c>
      <c r="G343" s="332">
        <v>13.5</v>
      </c>
      <c r="H343" s="336">
        <v>1.3083000000000001E-3</v>
      </c>
      <c r="I343" s="334">
        <v>0.02</v>
      </c>
      <c r="J343" s="393">
        <v>0.02</v>
      </c>
      <c r="N343" s="126"/>
      <c r="O343" s="126"/>
      <c r="R343" s="121"/>
    </row>
    <row r="344" spans="1:18">
      <c r="A344" s="332" t="s">
        <v>318</v>
      </c>
      <c r="B344" s="333" t="s">
        <v>560</v>
      </c>
      <c r="C344" s="423" t="s">
        <v>330</v>
      </c>
      <c r="D344" s="332" t="s">
        <v>561</v>
      </c>
      <c r="E344" s="333">
        <v>201603</v>
      </c>
      <c r="F344" s="334">
        <v>0.04</v>
      </c>
      <c r="G344" s="332">
        <v>13.5</v>
      </c>
      <c r="H344" s="336">
        <v>1.3083000000000001E-3</v>
      </c>
      <c r="I344" s="334">
        <v>0</v>
      </c>
      <c r="J344" s="393">
        <v>0</v>
      </c>
      <c r="N344" s="126"/>
      <c r="O344" s="126"/>
      <c r="R344" s="121"/>
    </row>
    <row r="345" spans="1:18">
      <c r="A345" s="332" t="s">
        <v>318</v>
      </c>
      <c r="B345" s="333" t="s">
        <v>562</v>
      </c>
      <c r="C345" s="423" t="s">
        <v>330</v>
      </c>
      <c r="D345" s="332" t="s">
        <v>563</v>
      </c>
      <c r="E345" s="333">
        <v>201603</v>
      </c>
      <c r="F345" s="334">
        <v>-23.41</v>
      </c>
      <c r="G345" s="332">
        <v>13.5</v>
      </c>
      <c r="H345" s="336">
        <v>1.3083000000000001E-3</v>
      </c>
      <c r="I345" s="334">
        <v>-0.41</v>
      </c>
      <c r="J345" s="393">
        <v>-0.37</v>
      </c>
      <c r="N345" s="126"/>
      <c r="O345" s="126"/>
      <c r="R345" s="121"/>
    </row>
    <row r="346" spans="1:18">
      <c r="A346" s="332" t="s">
        <v>318</v>
      </c>
      <c r="B346" s="333" t="s">
        <v>562</v>
      </c>
      <c r="C346" s="423" t="s">
        <v>330</v>
      </c>
      <c r="D346" s="332" t="s">
        <v>563</v>
      </c>
      <c r="E346" s="333">
        <v>201603</v>
      </c>
      <c r="F346" s="334">
        <v>-0.8</v>
      </c>
      <c r="G346" s="332">
        <v>13.5</v>
      </c>
      <c r="H346" s="336">
        <v>1.3083000000000001E-3</v>
      </c>
      <c r="I346" s="334">
        <v>-0.01</v>
      </c>
      <c r="J346" s="393">
        <v>-0.01</v>
      </c>
      <c r="N346" s="126"/>
      <c r="O346" s="126"/>
      <c r="R346" s="121"/>
    </row>
    <row r="347" spans="1:18">
      <c r="A347" s="332" t="s">
        <v>318</v>
      </c>
      <c r="B347" s="333" t="s">
        <v>602</v>
      </c>
      <c r="C347" s="423" t="s">
        <v>330</v>
      </c>
      <c r="D347" s="332" t="s">
        <v>603</v>
      </c>
      <c r="E347" s="333">
        <v>201603</v>
      </c>
      <c r="F347" s="334">
        <v>-0.59</v>
      </c>
      <c r="G347" s="332">
        <v>13.5</v>
      </c>
      <c r="H347" s="336">
        <v>1.3083000000000001E-3</v>
      </c>
      <c r="I347" s="334">
        <v>-0.01</v>
      </c>
      <c r="J347" s="393">
        <v>-0.01</v>
      </c>
      <c r="N347" s="126"/>
      <c r="O347" s="126"/>
      <c r="R347" s="121"/>
    </row>
    <row r="348" spans="1:18">
      <c r="A348" s="332" t="s">
        <v>318</v>
      </c>
      <c r="B348" s="333" t="s">
        <v>602</v>
      </c>
      <c r="C348" s="423" t="s">
        <v>330</v>
      </c>
      <c r="D348" s="332" t="s">
        <v>603</v>
      </c>
      <c r="E348" s="333">
        <v>201603</v>
      </c>
      <c r="F348" s="334">
        <v>-0.02</v>
      </c>
      <c r="G348" s="332">
        <v>13.5</v>
      </c>
      <c r="H348" s="336">
        <v>1.3083000000000001E-3</v>
      </c>
      <c r="I348" s="334">
        <v>0</v>
      </c>
      <c r="J348" s="393">
        <v>0</v>
      </c>
      <c r="N348" s="126"/>
      <c r="O348" s="126"/>
      <c r="R348" s="121"/>
    </row>
    <row r="349" spans="1:18">
      <c r="A349" s="332" t="s">
        <v>318</v>
      </c>
      <c r="B349" s="333" t="s">
        <v>810</v>
      </c>
      <c r="C349" s="423" t="s">
        <v>330</v>
      </c>
      <c r="D349" s="332" t="s">
        <v>811</v>
      </c>
      <c r="E349" s="333">
        <v>201603</v>
      </c>
      <c r="F349" s="334">
        <v>-7540.12</v>
      </c>
      <c r="G349" s="332">
        <v>13.5</v>
      </c>
      <c r="H349" s="336">
        <v>1.3083000000000001E-3</v>
      </c>
      <c r="I349" s="334">
        <v>-133.16999999999999</v>
      </c>
      <c r="J349" s="393">
        <v>-118.38</v>
      </c>
      <c r="N349" s="126"/>
      <c r="O349" s="126"/>
      <c r="R349" s="121"/>
    </row>
    <row r="350" spans="1:18">
      <c r="A350" s="332" t="s">
        <v>318</v>
      </c>
      <c r="B350" s="333" t="s">
        <v>810</v>
      </c>
      <c r="C350" s="423" t="s">
        <v>330</v>
      </c>
      <c r="D350" s="332" t="s">
        <v>811</v>
      </c>
      <c r="E350" s="333">
        <v>201603</v>
      </c>
      <c r="F350" s="334">
        <v>-370.84</v>
      </c>
      <c r="G350" s="332">
        <v>13.5</v>
      </c>
      <c r="H350" s="336">
        <v>1.3083000000000001E-3</v>
      </c>
      <c r="I350" s="334">
        <v>-6.55</v>
      </c>
      <c r="J350" s="393">
        <v>-5.82</v>
      </c>
      <c r="N350" s="126"/>
      <c r="O350" s="126"/>
      <c r="R350" s="121"/>
    </row>
    <row r="351" spans="1:18">
      <c r="A351" s="332" t="s">
        <v>318</v>
      </c>
      <c r="B351" s="333" t="s">
        <v>635</v>
      </c>
      <c r="C351" s="423" t="s">
        <v>329</v>
      </c>
      <c r="D351" s="332" t="s">
        <v>636</v>
      </c>
      <c r="E351" s="333">
        <v>201603</v>
      </c>
      <c r="F351" s="334">
        <v>-2.2000000000000002</v>
      </c>
      <c r="G351" s="332">
        <v>13.5</v>
      </c>
      <c r="H351" s="336">
        <v>1.3083000000000001E-3</v>
      </c>
      <c r="I351" s="334">
        <v>-0.04</v>
      </c>
      <c r="J351" s="393">
        <v>-0.03</v>
      </c>
      <c r="N351" s="126"/>
      <c r="O351" s="126"/>
      <c r="R351" s="121"/>
    </row>
    <row r="352" spans="1:18" ht="15">
      <c r="A352" s="332" t="s">
        <v>318</v>
      </c>
      <c r="B352" s="333" t="s">
        <v>635</v>
      </c>
      <c r="C352" s="424" t="s">
        <v>329</v>
      </c>
      <c r="D352" s="332" t="s">
        <v>636</v>
      </c>
      <c r="E352" s="333">
        <v>201603</v>
      </c>
      <c r="F352" s="334">
        <v>-0.04</v>
      </c>
      <c r="G352" s="332">
        <v>13.5</v>
      </c>
      <c r="H352" s="336">
        <v>1.3083000000000001E-3</v>
      </c>
      <c r="I352" s="334">
        <v>0</v>
      </c>
      <c r="J352" s="393">
        <v>0</v>
      </c>
      <c r="N352" s="126"/>
      <c r="O352" s="126"/>
      <c r="R352" s="121"/>
    </row>
    <row r="353" spans="1:18">
      <c r="A353" s="332" t="s">
        <v>318</v>
      </c>
      <c r="B353" s="333" t="s">
        <v>812</v>
      </c>
      <c r="C353" s="423" t="s">
        <v>330</v>
      </c>
      <c r="D353" s="332" t="s">
        <v>813</v>
      </c>
      <c r="E353" s="333">
        <v>201603</v>
      </c>
      <c r="F353" s="334">
        <v>-2983.26</v>
      </c>
      <c r="G353" s="332">
        <v>13.5</v>
      </c>
      <c r="H353" s="336">
        <v>1.3083000000000001E-3</v>
      </c>
      <c r="I353" s="334">
        <v>-52.69</v>
      </c>
      <c r="J353" s="393">
        <v>-46.84</v>
      </c>
      <c r="N353" s="126"/>
      <c r="O353" s="126"/>
      <c r="R353" s="121"/>
    </row>
    <row r="354" spans="1:18">
      <c r="A354" s="332" t="s">
        <v>318</v>
      </c>
      <c r="B354" s="333" t="s">
        <v>812</v>
      </c>
      <c r="C354" s="423" t="s">
        <v>330</v>
      </c>
      <c r="D354" s="332" t="s">
        <v>813</v>
      </c>
      <c r="E354" s="333">
        <v>201603</v>
      </c>
      <c r="F354" s="334">
        <v>-165.95</v>
      </c>
      <c r="G354" s="332">
        <v>13.5</v>
      </c>
      <c r="H354" s="336">
        <v>1.3083000000000001E-3</v>
      </c>
      <c r="I354" s="334">
        <v>-2.93</v>
      </c>
      <c r="J354" s="393">
        <v>-2.61</v>
      </c>
      <c r="N354" s="126"/>
      <c r="O354" s="126"/>
      <c r="R354" s="121"/>
    </row>
    <row r="355" spans="1:18">
      <c r="A355" s="332" t="s">
        <v>318</v>
      </c>
      <c r="B355" s="333" t="s">
        <v>788</v>
      </c>
      <c r="C355" s="423" t="s">
        <v>330</v>
      </c>
      <c r="D355" s="332" t="s">
        <v>789</v>
      </c>
      <c r="E355" s="333">
        <v>201603</v>
      </c>
      <c r="F355" s="334">
        <v>-3996.97</v>
      </c>
      <c r="G355" s="332">
        <v>13.5</v>
      </c>
      <c r="H355" s="336">
        <v>1.3083000000000001E-3</v>
      </c>
      <c r="I355" s="334">
        <v>-70.59</v>
      </c>
      <c r="J355" s="393">
        <v>-62.75</v>
      </c>
      <c r="N355" s="126"/>
      <c r="O355" s="126"/>
      <c r="R355" s="121"/>
    </row>
    <row r="356" spans="1:18">
      <c r="A356" s="332" t="s">
        <v>318</v>
      </c>
      <c r="B356" s="333" t="s">
        <v>788</v>
      </c>
      <c r="C356" s="423" t="s">
        <v>330</v>
      </c>
      <c r="D356" s="332" t="s">
        <v>789</v>
      </c>
      <c r="E356" s="333">
        <v>201603</v>
      </c>
      <c r="F356" s="334">
        <v>-27.33</v>
      </c>
      <c r="G356" s="332">
        <v>13.5</v>
      </c>
      <c r="H356" s="336">
        <v>1.3083000000000001E-3</v>
      </c>
      <c r="I356" s="334">
        <v>-0.48</v>
      </c>
      <c r="J356" s="393">
        <v>-0.43</v>
      </c>
      <c r="N356" s="126"/>
      <c r="O356" s="126"/>
      <c r="R356" s="121"/>
    </row>
    <row r="357" spans="1:18">
      <c r="A357" s="332" t="s">
        <v>318</v>
      </c>
      <c r="B357" s="333" t="s">
        <v>564</v>
      </c>
      <c r="C357" s="423" t="s">
        <v>330</v>
      </c>
      <c r="D357" s="332" t="s">
        <v>669</v>
      </c>
      <c r="E357" s="333">
        <v>201603</v>
      </c>
      <c r="F357" s="334">
        <v>0.56999999999999995</v>
      </c>
      <c r="G357" s="332">
        <v>13.5</v>
      </c>
      <c r="H357" s="336">
        <v>1.3083000000000001E-3</v>
      </c>
      <c r="I357" s="334">
        <v>0.01</v>
      </c>
      <c r="J357" s="393">
        <v>0.01</v>
      </c>
      <c r="N357" s="126"/>
      <c r="O357" s="126"/>
      <c r="R357" s="121"/>
    </row>
    <row r="358" spans="1:18">
      <c r="A358" s="332" t="s">
        <v>318</v>
      </c>
      <c r="B358" s="333" t="s">
        <v>564</v>
      </c>
      <c r="C358" s="423" t="s">
        <v>330</v>
      </c>
      <c r="D358" s="332" t="s">
        <v>669</v>
      </c>
      <c r="E358" s="333">
        <v>201603</v>
      </c>
      <c r="F358" s="334">
        <v>0.03</v>
      </c>
      <c r="G358" s="332">
        <v>13.5</v>
      </c>
      <c r="H358" s="336">
        <v>1.3083000000000001E-3</v>
      </c>
      <c r="I358" s="334">
        <v>0</v>
      </c>
      <c r="J358" s="393">
        <v>0</v>
      </c>
      <c r="N358" s="126"/>
      <c r="O358" s="126"/>
      <c r="R358" s="121"/>
    </row>
    <row r="359" spans="1:18">
      <c r="A359" s="332" t="s">
        <v>318</v>
      </c>
      <c r="B359" s="333" t="s">
        <v>829</v>
      </c>
      <c r="C359" s="423" t="s">
        <v>330</v>
      </c>
      <c r="D359" s="332" t="s">
        <v>831</v>
      </c>
      <c r="E359" s="333">
        <v>201603</v>
      </c>
      <c r="F359" s="334">
        <v>-1229.19</v>
      </c>
      <c r="G359" s="332">
        <v>13.5</v>
      </c>
      <c r="H359" s="336">
        <v>1.3083000000000001E-3</v>
      </c>
      <c r="I359" s="334">
        <v>-21.71</v>
      </c>
      <c r="J359" s="393">
        <v>-19.3</v>
      </c>
      <c r="N359" s="126"/>
      <c r="O359" s="126"/>
      <c r="R359" s="121"/>
    </row>
    <row r="360" spans="1:18">
      <c r="A360" s="332" t="s">
        <v>318</v>
      </c>
      <c r="B360" s="333" t="s">
        <v>829</v>
      </c>
      <c r="C360" s="423" t="s">
        <v>330</v>
      </c>
      <c r="D360" s="332" t="s">
        <v>831</v>
      </c>
      <c r="E360" s="333">
        <v>201603</v>
      </c>
      <c r="F360" s="334">
        <v>-91.77</v>
      </c>
      <c r="G360" s="332">
        <v>13.5</v>
      </c>
      <c r="H360" s="336">
        <v>1.3083000000000001E-3</v>
      </c>
      <c r="I360" s="334">
        <v>-1.62</v>
      </c>
      <c r="J360" s="393">
        <v>-1.44</v>
      </c>
      <c r="N360" s="126"/>
      <c r="O360" s="126"/>
      <c r="R360" s="121"/>
    </row>
    <row r="361" spans="1:18">
      <c r="A361" s="332" t="s">
        <v>318</v>
      </c>
      <c r="B361" s="333" t="s">
        <v>832</v>
      </c>
      <c r="C361" s="423" t="s">
        <v>330</v>
      </c>
      <c r="D361" s="332" t="s">
        <v>833</v>
      </c>
      <c r="E361" s="333">
        <v>201603</v>
      </c>
      <c r="F361" s="334">
        <v>239170.63</v>
      </c>
      <c r="G361" s="332">
        <v>13.5</v>
      </c>
      <c r="H361" s="336">
        <v>1.3083000000000001E-3</v>
      </c>
      <c r="I361" s="334">
        <v>4224.24</v>
      </c>
      <c r="J361" s="393">
        <v>3754.88</v>
      </c>
      <c r="N361" s="126"/>
      <c r="O361" s="126"/>
      <c r="R361" s="121"/>
    </row>
    <row r="362" spans="1:18">
      <c r="A362" s="332" t="s">
        <v>318</v>
      </c>
      <c r="B362" s="333" t="s">
        <v>832</v>
      </c>
      <c r="C362" s="423" t="s">
        <v>330</v>
      </c>
      <c r="D362" s="332" t="s">
        <v>833</v>
      </c>
      <c r="E362" s="333">
        <v>201603</v>
      </c>
      <c r="F362" s="334">
        <v>5000.5</v>
      </c>
      <c r="G362" s="332">
        <v>13.5</v>
      </c>
      <c r="H362" s="336">
        <v>1.3083000000000001E-3</v>
      </c>
      <c r="I362" s="334">
        <v>88.32</v>
      </c>
      <c r="J362" s="393">
        <v>78.510000000000005</v>
      </c>
      <c r="N362" s="126"/>
      <c r="O362" s="126"/>
      <c r="R362" s="121"/>
    </row>
    <row r="363" spans="1:18">
      <c r="A363" s="332" t="s">
        <v>318</v>
      </c>
      <c r="B363" s="333" t="s">
        <v>670</v>
      </c>
      <c r="C363" s="423" t="s">
        <v>330</v>
      </c>
      <c r="D363" s="332" t="s">
        <v>671</v>
      </c>
      <c r="E363" s="333">
        <v>201603</v>
      </c>
      <c r="F363" s="334">
        <v>-7509.9</v>
      </c>
      <c r="G363" s="332">
        <v>13.5</v>
      </c>
      <c r="H363" s="336">
        <v>1.3083000000000001E-3</v>
      </c>
      <c r="I363" s="334">
        <v>-132.63999999999999</v>
      </c>
      <c r="J363" s="393">
        <v>-117.9</v>
      </c>
      <c r="N363" s="126"/>
      <c r="O363" s="126"/>
      <c r="R363" s="121"/>
    </row>
    <row r="364" spans="1:18">
      <c r="A364" s="332" t="s">
        <v>318</v>
      </c>
      <c r="B364" s="333" t="s">
        <v>670</v>
      </c>
      <c r="C364" s="423" t="s">
        <v>330</v>
      </c>
      <c r="D364" s="332" t="s">
        <v>671</v>
      </c>
      <c r="E364" s="333">
        <v>201603</v>
      </c>
      <c r="F364" s="334">
        <v>-120.68</v>
      </c>
      <c r="G364" s="332">
        <v>13.5</v>
      </c>
      <c r="H364" s="336">
        <v>1.3083000000000001E-3</v>
      </c>
      <c r="I364" s="334">
        <v>-2.13</v>
      </c>
      <c r="J364" s="393">
        <v>-1.89</v>
      </c>
      <c r="N364" s="126"/>
      <c r="O364" s="126"/>
      <c r="R364" s="121"/>
    </row>
    <row r="365" spans="1:18">
      <c r="A365" s="332" t="s">
        <v>318</v>
      </c>
      <c r="B365" s="333" t="s">
        <v>606</v>
      </c>
      <c r="C365" s="423" t="s">
        <v>330</v>
      </c>
      <c r="D365" s="332" t="s">
        <v>607</v>
      </c>
      <c r="E365" s="333">
        <v>201603</v>
      </c>
      <c r="F365" s="334">
        <v>-2.77</v>
      </c>
      <c r="G365" s="332">
        <v>13.5</v>
      </c>
      <c r="H365" s="336">
        <v>1.3083000000000001E-3</v>
      </c>
      <c r="I365" s="334">
        <v>-0.05</v>
      </c>
      <c r="J365" s="393">
        <v>-0.04</v>
      </c>
      <c r="N365" s="126"/>
      <c r="O365" s="126"/>
      <c r="R365" s="121"/>
    </row>
    <row r="366" spans="1:18">
      <c r="A366" s="332" t="s">
        <v>318</v>
      </c>
      <c r="B366" s="333" t="s">
        <v>606</v>
      </c>
      <c r="C366" s="423" t="s">
        <v>330</v>
      </c>
      <c r="D366" s="332" t="s">
        <v>607</v>
      </c>
      <c r="E366" s="333">
        <v>201603</v>
      </c>
      <c r="F366" s="334">
        <v>-0.03</v>
      </c>
      <c r="G366" s="332">
        <v>13.5</v>
      </c>
      <c r="H366" s="336">
        <v>1.3083000000000001E-3</v>
      </c>
      <c r="I366" s="334">
        <v>0</v>
      </c>
      <c r="J366" s="393">
        <v>0</v>
      </c>
      <c r="N366" s="126"/>
      <c r="O366" s="126"/>
      <c r="R366" s="121"/>
    </row>
    <row r="367" spans="1:18">
      <c r="A367" s="332" t="s">
        <v>318</v>
      </c>
      <c r="B367" s="333" t="s">
        <v>834</v>
      </c>
      <c r="C367" s="423" t="s">
        <v>330</v>
      </c>
      <c r="D367" s="332" t="s">
        <v>835</v>
      </c>
      <c r="E367" s="333">
        <v>201603</v>
      </c>
      <c r="F367" s="334">
        <v>654622.15</v>
      </c>
      <c r="G367" s="332">
        <v>13.5</v>
      </c>
      <c r="H367" s="336">
        <v>1.3083000000000001E-3</v>
      </c>
      <c r="I367" s="334">
        <v>11561.97</v>
      </c>
      <c r="J367" s="393">
        <v>10277.31</v>
      </c>
      <c r="N367" s="126"/>
      <c r="O367" s="126"/>
      <c r="R367" s="121"/>
    </row>
    <row r="368" spans="1:18">
      <c r="A368" s="332" t="s">
        <v>318</v>
      </c>
      <c r="B368" s="333" t="s">
        <v>834</v>
      </c>
      <c r="C368" s="423" t="s">
        <v>330</v>
      </c>
      <c r="D368" s="332" t="s">
        <v>835</v>
      </c>
      <c r="E368" s="333">
        <v>201603</v>
      </c>
      <c r="F368" s="334">
        <v>57883.68</v>
      </c>
      <c r="G368" s="332">
        <v>13.5</v>
      </c>
      <c r="H368" s="336">
        <v>1.3083000000000001E-3</v>
      </c>
      <c r="I368" s="334">
        <v>1022.34</v>
      </c>
      <c r="J368" s="393">
        <v>908.75</v>
      </c>
      <c r="N368" s="126"/>
      <c r="O368" s="126"/>
      <c r="R368" s="121"/>
    </row>
    <row r="369" spans="1:18">
      <c r="A369" s="332" t="s">
        <v>318</v>
      </c>
      <c r="B369" s="333" t="s">
        <v>608</v>
      </c>
      <c r="C369" s="423" t="s">
        <v>330</v>
      </c>
      <c r="D369" s="332" t="s">
        <v>609</v>
      </c>
      <c r="E369" s="333">
        <v>201603</v>
      </c>
      <c r="F369" s="334">
        <v>-0.84</v>
      </c>
      <c r="G369" s="332">
        <v>13.5</v>
      </c>
      <c r="H369" s="336">
        <v>1.3083000000000001E-3</v>
      </c>
      <c r="I369" s="334">
        <v>-0.01</v>
      </c>
      <c r="J369" s="393">
        <v>-0.01</v>
      </c>
      <c r="N369" s="126"/>
      <c r="O369" s="126"/>
      <c r="R369" s="121"/>
    </row>
    <row r="370" spans="1:18">
      <c r="A370" s="332" t="s">
        <v>318</v>
      </c>
      <c r="B370" s="333" t="s">
        <v>608</v>
      </c>
      <c r="C370" s="423" t="s">
        <v>330</v>
      </c>
      <c r="D370" s="332" t="s">
        <v>609</v>
      </c>
      <c r="E370" s="333">
        <v>201603</v>
      </c>
      <c r="F370" s="334">
        <v>-0.01</v>
      </c>
      <c r="G370" s="332">
        <v>13.5</v>
      </c>
      <c r="H370" s="336">
        <v>1.3083000000000001E-3</v>
      </c>
      <c r="I370" s="334">
        <v>0</v>
      </c>
      <c r="J370" s="393">
        <v>0</v>
      </c>
      <c r="N370" s="126"/>
      <c r="O370" s="126"/>
      <c r="R370" s="121"/>
    </row>
    <row r="371" spans="1:18">
      <c r="A371" s="332" t="s">
        <v>318</v>
      </c>
      <c r="B371" s="333" t="s">
        <v>610</v>
      </c>
      <c r="C371" s="423" t="s">
        <v>330</v>
      </c>
      <c r="D371" s="332" t="s">
        <v>611</v>
      </c>
      <c r="E371" s="333">
        <v>201603</v>
      </c>
      <c r="F371" s="334">
        <v>-0.93</v>
      </c>
      <c r="G371" s="332">
        <v>13.5</v>
      </c>
      <c r="H371" s="336">
        <v>1.3083000000000001E-3</v>
      </c>
      <c r="I371" s="334">
        <v>-0.02</v>
      </c>
      <c r="J371" s="393">
        <v>-0.01</v>
      </c>
      <c r="N371" s="126"/>
      <c r="O371" s="126"/>
      <c r="R371" s="121"/>
    </row>
    <row r="372" spans="1:18">
      <c r="A372" s="332" t="s">
        <v>318</v>
      </c>
      <c r="B372" s="333" t="s">
        <v>610</v>
      </c>
      <c r="C372" s="423" t="s">
        <v>330</v>
      </c>
      <c r="D372" s="332" t="s">
        <v>611</v>
      </c>
      <c r="E372" s="333">
        <v>201603</v>
      </c>
      <c r="F372" s="334">
        <v>-0.03</v>
      </c>
      <c r="G372" s="332">
        <v>13.5</v>
      </c>
      <c r="H372" s="336">
        <v>1.3083000000000001E-3</v>
      </c>
      <c r="I372" s="334">
        <v>0</v>
      </c>
      <c r="J372" s="393">
        <v>0</v>
      </c>
      <c r="N372" s="126"/>
      <c r="O372" s="126"/>
      <c r="R372" s="121"/>
    </row>
    <row r="373" spans="1:18">
      <c r="A373" s="332" t="s">
        <v>318</v>
      </c>
      <c r="B373" s="333" t="s">
        <v>672</v>
      </c>
      <c r="C373" s="423" t="s">
        <v>330</v>
      </c>
      <c r="D373" s="332" t="s">
        <v>673</v>
      </c>
      <c r="E373" s="333">
        <v>201603</v>
      </c>
      <c r="F373" s="334">
        <v>-6.85</v>
      </c>
      <c r="G373" s="332">
        <v>13.5</v>
      </c>
      <c r="H373" s="336">
        <v>1.3083000000000001E-3</v>
      </c>
      <c r="I373" s="334">
        <v>-0.12</v>
      </c>
      <c r="J373" s="393">
        <v>-0.11</v>
      </c>
      <c r="N373" s="126"/>
      <c r="O373" s="126"/>
      <c r="R373" s="121"/>
    </row>
    <row r="374" spans="1:18">
      <c r="A374" s="332" t="s">
        <v>318</v>
      </c>
      <c r="B374" s="333" t="s">
        <v>672</v>
      </c>
      <c r="C374" s="423" t="s">
        <v>330</v>
      </c>
      <c r="D374" s="332" t="s">
        <v>673</v>
      </c>
      <c r="E374" s="333">
        <v>201603</v>
      </c>
      <c r="F374" s="334">
        <v>-0.57999999999999996</v>
      </c>
      <c r="G374" s="332">
        <v>13.5</v>
      </c>
      <c r="H374" s="336">
        <v>1.3083000000000001E-3</v>
      </c>
      <c r="I374" s="334">
        <v>-0.01</v>
      </c>
      <c r="J374" s="393">
        <v>-0.01</v>
      </c>
      <c r="N374" s="126"/>
      <c r="O374" s="126"/>
      <c r="R374" s="121"/>
    </row>
    <row r="375" spans="1:18">
      <c r="A375" s="332" t="s">
        <v>318</v>
      </c>
      <c r="B375" s="333" t="s">
        <v>637</v>
      </c>
      <c r="C375" s="423" t="s">
        <v>329</v>
      </c>
      <c r="D375" s="332" t="s">
        <v>638</v>
      </c>
      <c r="E375" s="333">
        <v>201603</v>
      </c>
      <c r="F375" s="334">
        <v>-1.1100000000000001</v>
      </c>
      <c r="G375" s="332">
        <v>13.5</v>
      </c>
      <c r="H375" s="336">
        <v>1.3083000000000001E-3</v>
      </c>
      <c r="I375" s="334">
        <v>-0.02</v>
      </c>
      <c r="J375" s="393">
        <v>-0.02</v>
      </c>
      <c r="N375" s="126"/>
      <c r="O375" s="126"/>
      <c r="R375" s="121"/>
    </row>
    <row r="376" spans="1:18">
      <c r="A376" s="332" t="s">
        <v>318</v>
      </c>
      <c r="B376" s="333" t="s">
        <v>637</v>
      </c>
      <c r="C376" s="423" t="s">
        <v>329</v>
      </c>
      <c r="D376" s="332" t="s">
        <v>638</v>
      </c>
      <c r="E376" s="333">
        <v>201603</v>
      </c>
      <c r="F376" s="334">
        <v>-0.03</v>
      </c>
      <c r="G376" s="332">
        <v>13.5</v>
      </c>
      <c r="H376" s="336">
        <v>1.3083000000000001E-3</v>
      </c>
      <c r="I376" s="334">
        <v>0</v>
      </c>
      <c r="J376" s="393">
        <v>0</v>
      </c>
      <c r="N376" s="126"/>
      <c r="O376" s="126"/>
      <c r="R376" s="121"/>
    </row>
    <row r="377" spans="1:18">
      <c r="A377" s="332" t="s">
        <v>318</v>
      </c>
      <c r="B377" s="333" t="s">
        <v>814</v>
      </c>
      <c r="C377" s="423" t="s">
        <v>330</v>
      </c>
      <c r="D377" s="332" t="s">
        <v>815</v>
      </c>
      <c r="E377" s="333">
        <v>201603</v>
      </c>
      <c r="F377" s="334">
        <v>-11682.8</v>
      </c>
      <c r="G377" s="332">
        <v>13.5</v>
      </c>
      <c r="H377" s="336">
        <v>1.3083000000000001E-3</v>
      </c>
      <c r="I377" s="334">
        <v>-206.34</v>
      </c>
      <c r="J377" s="393">
        <v>-183.42</v>
      </c>
      <c r="N377" s="126"/>
      <c r="O377" s="126"/>
      <c r="R377" s="121"/>
    </row>
    <row r="378" spans="1:18">
      <c r="A378" s="332" t="s">
        <v>318</v>
      </c>
      <c r="B378" s="333" t="s">
        <v>814</v>
      </c>
      <c r="C378" s="423" t="s">
        <v>330</v>
      </c>
      <c r="D378" s="332" t="s">
        <v>815</v>
      </c>
      <c r="E378" s="333">
        <v>201603</v>
      </c>
      <c r="F378" s="334">
        <v>-501.29</v>
      </c>
      <c r="G378" s="332">
        <v>13.5</v>
      </c>
      <c r="H378" s="336">
        <v>1.3083000000000001E-3</v>
      </c>
      <c r="I378" s="334">
        <v>-8.85</v>
      </c>
      <c r="J378" s="393">
        <v>-7.87</v>
      </c>
      <c r="N378" s="126"/>
      <c r="O378" s="126"/>
      <c r="R378" s="121"/>
    </row>
    <row r="379" spans="1:18">
      <c r="A379" s="332" t="s">
        <v>318</v>
      </c>
      <c r="B379" s="333" t="s">
        <v>674</v>
      </c>
      <c r="C379" s="423" t="s">
        <v>330</v>
      </c>
      <c r="D379" s="332" t="s">
        <v>675</v>
      </c>
      <c r="E379" s="333">
        <v>201603</v>
      </c>
      <c r="F379" s="334">
        <v>-990.1</v>
      </c>
      <c r="G379" s="332">
        <v>13.5</v>
      </c>
      <c r="H379" s="336">
        <v>1.3083000000000001E-3</v>
      </c>
      <c r="I379" s="334">
        <v>-17.489999999999998</v>
      </c>
      <c r="J379" s="393">
        <v>-15.54</v>
      </c>
      <c r="N379" s="126"/>
      <c r="O379" s="126"/>
      <c r="R379" s="121"/>
    </row>
    <row r="380" spans="1:18">
      <c r="A380" s="332" t="s">
        <v>318</v>
      </c>
      <c r="B380" s="333" t="s">
        <v>674</v>
      </c>
      <c r="C380" s="423" t="s">
        <v>330</v>
      </c>
      <c r="D380" s="332" t="s">
        <v>675</v>
      </c>
      <c r="E380" s="333">
        <v>201603</v>
      </c>
      <c r="F380" s="334">
        <v>-50.13</v>
      </c>
      <c r="G380" s="332">
        <v>13.5</v>
      </c>
      <c r="H380" s="336">
        <v>1.3083000000000001E-3</v>
      </c>
      <c r="I380" s="334">
        <v>-0.89</v>
      </c>
      <c r="J380" s="393">
        <v>-0.79</v>
      </c>
      <c r="N380" s="126"/>
      <c r="O380" s="126"/>
      <c r="R380" s="121"/>
    </row>
    <row r="381" spans="1:18">
      <c r="A381" s="332" t="s">
        <v>318</v>
      </c>
      <c r="B381" s="333" t="s">
        <v>790</v>
      </c>
      <c r="C381" s="423" t="s">
        <v>330</v>
      </c>
      <c r="D381" s="332" t="s">
        <v>791</v>
      </c>
      <c r="E381" s="333">
        <v>201603</v>
      </c>
      <c r="F381" s="334">
        <v>-3038.48</v>
      </c>
      <c r="G381" s="332">
        <v>13.5</v>
      </c>
      <c r="H381" s="336">
        <v>1.3083000000000001E-3</v>
      </c>
      <c r="I381" s="334">
        <v>-53.67</v>
      </c>
      <c r="J381" s="393">
        <v>-47.7</v>
      </c>
      <c r="N381" s="126"/>
      <c r="O381" s="126"/>
      <c r="R381" s="121"/>
    </row>
    <row r="382" spans="1:18">
      <c r="A382" s="332" t="s">
        <v>318</v>
      </c>
      <c r="B382" s="333" t="s">
        <v>790</v>
      </c>
      <c r="C382" s="423" t="s">
        <v>330</v>
      </c>
      <c r="D382" s="332" t="s">
        <v>791</v>
      </c>
      <c r="E382" s="333">
        <v>201603</v>
      </c>
      <c r="F382" s="334">
        <v>-129.01</v>
      </c>
      <c r="G382" s="332">
        <v>13.5</v>
      </c>
      <c r="H382" s="336">
        <v>1.3083000000000001E-3</v>
      </c>
      <c r="I382" s="334">
        <v>-2.2799999999999998</v>
      </c>
      <c r="J382" s="393">
        <v>-2.0299999999999998</v>
      </c>
      <c r="N382" s="126"/>
      <c r="O382" s="126"/>
      <c r="R382" s="121"/>
    </row>
    <row r="383" spans="1:18">
      <c r="A383" s="332" t="s">
        <v>318</v>
      </c>
      <c r="B383" s="333" t="s">
        <v>639</v>
      </c>
      <c r="C383" s="423" t="s">
        <v>329</v>
      </c>
      <c r="D383" s="332" t="s">
        <v>640</v>
      </c>
      <c r="E383" s="333">
        <v>201603</v>
      </c>
      <c r="F383" s="334">
        <v>-1.22</v>
      </c>
      <c r="G383" s="332">
        <v>13.5</v>
      </c>
      <c r="H383" s="336">
        <v>1.3083000000000001E-3</v>
      </c>
      <c r="I383" s="334">
        <v>-0.02</v>
      </c>
      <c r="J383" s="393">
        <v>-0.02</v>
      </c>
      <c r="N383" s="126"/>
      <c r="O383" s="126"/>
      <c r="R383" s="121"/>
    </row>
    <row r="384" spans="1:18">
      <c r="A384" s="332" t="s">
        <v>318</v>
      </c>
      <c r="B384" s="333" t="s">
        <v>639</v>
      </c>
      <c r="C384" s="423" t="s">
        <v>329</v>
      </c>
      <c r="D384" s="332" t="s">
        <v>640</v>
      </c>
      <c r="E384" s="333">
        <v>201603</v>
      </c>
      <c r="F384" s="334">
        <v>-0.19</v>
      </c>
      <c r="G384" s="332">
        <v>13.5</v>
      </c>
      <c r="H384" s="336">
        <v>1.3083000000000001E-3</v>
      </c>
      <c r="I384" s="334">
        <v>0</v>
      </c>
      <c r="J384" s="393">
        <v>0</v>
      </c>
      <c r="N384" s="126"/>
      <c r="O384" s="126"/>
      <c r="R384" s="121"/>
    </row>
    <row r="385" spans="1:18">
      <c r="A385" s="332" t="s">
        <v>318</v>
      </c>
      <c r="B385" s="333" t="s">
        <v>676</v>
      </c>
      <c r="C385" s="423" t="s">
        <v>329</v>
      </c>
      <c r="D385" s="332" t="s">
        <v>677</v>
      </c>
      <c r="E385" s="333">
        <v>201603</v>
      </c>
      <c r="F385" s="334">
        <v>-0.92</v>
      </c>
      <c r="G385" s="332">
        <v>13.5</v>
      </c>
      <c r="H385" s="336">
        <v>1.3083000000000001E-3</v>
      </c>
      <c r="I385" s="334">
        <v>-0.02</v>
      </c>
      <c r="J385" s="393">
        <v>-0.01</v>
      </c>
      <c r="N385" s="126"/>
      <c r="O385" s="126"/>
      <c r="R385" s="121"/>
    </row>
    <row r="386" spans="1:18">
      <c r="A386" s="332" t="s">
        <v>318</v>
      </c>
      <c r="B386" s="333" t="s">
        <v>676</v>
      </c>
      <c r="C386" s="423" t="s">
        <v>329</v>
      </c>
      <c r="D386" s="332" t="s">
        <v>677</v>
      </c>
      <c r="E386" s="333">
        <v>201603</v>
      </c>
      <c r="F386" s="334">
        <v>-0.57999999999999996</v>
      </c>
      <c r="G386" s="332">
        <v>13.5</v>
      </c>
      <c r="H386" s="336">
        <v>1.3083000000000001E-3</v>
      </c>
      <c r="I386" s="334">
        <v>-0.01</v>
      </c>
      <c r="J386" s="393">
        <v>-0.01</v>
      </c>
      <c r="N386" s="126"/>
      <c r="O386" s="126"/>
      <c r="R386" s="121"/>
    </row>
    <row r="387" spans="1:18">
      <c r="A387" s="332" t="s">
        <v>318</v>
      </c>
      <c r="B387" s="333" t="s">
        <v>678</v>
      </c>
      <c r="C387" s="423" t="s">
        <v>330</v>
      </c>
      <c r="D387" s="332" t="s">
        <v>679</v>
      </c>
      <c r="E387" s="333">
        <v>201603</v>
      </c>
      <c r="F387" s="334">
        <v>-4042.5</v>
      </c>
      <c r="G387" s="332">
        <v>13.5</v>
      </c>
      <c r="H387" s="336">
        <v>1.3083000000000001E-3</v>
      </c>
      <c r="I387" s="334">
        <v>-71.400000000000006</v>
      </c>
      <c r="J387" s="393">
        <v>-63.47</v>
      </c>
      <c r="N387" s="126"/>
      <c r="O387" s="126"/>
      <c r="R387" s="121"/>
    </row>
    <row r="388" spans="1:18">
      <c r="A388" s="332" t="s">
        <v>318</v>
      </c>
      <c r="B388" s="333" t="s">
        <v>678</v>
      </c>
      <c r="C388" s="423" t="s">
        <v>330</v>
      </c>
      <c r="D388" s="332" t="s">
        <v>679</v>
      </c>
      <c r="E388" s="333">
        <v>201603</v>
      </c>
      <c r="F388" s="334">
        <v>-100.17</v>
      </c>
      <c r="G388" s="332">
        <v>13.5</v>
      </c>
      <c r="H388" s="336">
        <v>1.3083000000000001E-3</v>
      </c>
      <c r="I388" s="334">
        <v>-1.77</v>
      </c>
      <c r="J388" s="393">
        <v>-1.57</v>
      </c>
      <c r="N388" s="126"/>
      <c r="O388" s="126"/>
      <c r="R388" s="121"/>
    </row>
    <row r="389" spans="1:18">
      <c r="A389" s="332" t="s">
        <v>318</v>
      </c>
      <c r="B389" s="333" t="s">
        <v>680</v>
      </c>
      <c r="C389" s="423" t="s">
        <v>330</v>
      </c>
      <c r="D389" s="332" t="s">
        <v>681</v>
      </c>
      <c r="E389" s="333">
        <v>201603</v>
      </c>
      <c r="F389" s="334">
        <v>-39.18</v>
      </c>
      <c r="G389" s="332">
        <v>13.5</v>
      </c>
      <c r="H389" s="336">
        <v>1.3083000000000001E-3</v>
      </c>
      <c r="I389" s="334">
        <v>-0.69</v>
      </c>
      <c r="J389" s="393">
        <v>-0.62</v>
      </c>
      <c r="N389" s="126"/>
      <c r="O389" s="126"/>
      <c r="R389" s="121"/>
    </row>
    <row r="390" spans="1:18">
      <c r="A390" s="332" t="s">
        <v>318</v>
      </c>
      <c r="B390" s="333" t="s">
        <v>680</v>
      </c>
      <c r="C390" s="423" t="s">
        <v>330</v>
      </c>
      <c r="D390" s="332" t="s">
        <v>681</v>
      </c>
      <c r="E390" s="333">
        <v>201603</v>
      </c>
      <c r="F390" s="334">
        <v>-0.97</v>
      </c>
      <c r="G390" s="332">
        <v>13.5</v>
      </c>
      <c r="H390" s="336">
        <v>1.3083000000000001E-3</v>
      </c>
      <c r="I390" s="334">
        <v>-0.02</v>
      </c>
      <c r="J390" s="393">
        <v>-0.02</v>
      </c>
      <c r="N390" s="126"/>
      <c r="O390" s="126"/>
      <c r="R390" s="121"/>
    </row>
    <row r="391" spans="1:18">
      <c r="A391" s="332" t="s">
        <v>318</v>
      </c>
      <c r="B391" s="333" t="s">
        <v>641</v>
      </c>
      <c r="C391" s="423" t="s">
        <v>330</v>
      </c>
      <c r="D391" s="332" t="s">
        <v>642</v>
      </c>
      <c r="E391" s="333">
        <v>201603</v>
      </c>
      <c r="F391" s="334">
        <v>-0.11</v>
      </c>
      <c r="G391" s="332">
        <v>13.5</v>
      </c>
      <c r="H391" s="336">
        <v>1.3083000000000001E-3</v>
      </c>
      <c r="I391" s="334">
        <v>0</v>
      </c>
      <c r="J391" s="393">
        <v>0</v>
      </c>
      <c r="N391" s="126"/>
      <c r="O391" s="126"/>
      <c r="R391" s="121"/>
    </row>
    <row r="392" spans="1:18">
      <c r="A392" s="332" t="s">
        <v>318</v>
      </c>
      <c r="B392" s="333" t="s">
        <v>816</v>
      </c>
      <c r="C392" s="423" t="s">
        <v>329</v>
      </c>
      <c r="D392" s="332" t="s">
        <v>817</v>
      </c>
      <c r="E392" s="333">
        <v>201603</v>
      </c>
      <c r="F392" s="334">
        <v>-26823.38</v>
      </c>
      <c r="G392" s="332">
        <v>13.5</v>
      </c>
      <c r="H392" s="336">
        <v>1.3083000000000001E-3</v>
      </c>
      <c r="I392" s="334">
        <v>-473.76</v>
      </c>
      <c r="J392" s="393">
        <v>-421.12</v>
      </c>
      <c r="N392" s="126"/>
      <c r="O392" s="126"/>
      <c r="R392" s="121"/>
    </row>
    <row r="393" spans="1:18">
      <c r="A393" s="332" t="s">
        <v>318</v>
      </c>
      <c r="B393" s="333" t="s">
        <v>816</v>
      </c>
      <c r="C393" s="423" t="s">
        <v>329</v>
      </c>
      <c r="D393" s="332" t="s">
        <v>817</v>
      </c>
      <c r="E393" s="333">
        <v>201603</v>
      </c>
      <c r="F393" s="334">
        <v>-2397.09</v>
      </c>
      <c r="G393" s="332">
        <v>13.5</v>
      </c>
      <c r="H393" s="336">
        <v>1.3083000000000001E-3</v>
      </c>
      <c r="I393" s="334">
        <v>-42.34</v>
      </c>
      <c r="J393" s="393">
        <v>-37.630000000000003</v>
      </c>
      <c r="N393" s="126"/>
      <c r="O393" s="126"/>
      <c r="R393" s="121"/>
    </row>
    <row r="394" spans="1:18">
      <c r="A394" s="332" t="s">
        <v>318</v>
      </c>
      <c r="B394" s="333" t="s">
        <v>684</v>
      </c>
      <c r="C394" s="423" t="s">
        <v>330</v>
      </c>
      <c r="D394" s="332" t="s">
        <v>685</v>
      </c>
      <c r="E394" s="333">
        <v>201603</v>
      </c>
      <c r="F394" s="334">
        <v>-11.9</v>
      </c>
      <c r="G394" s="332">
        <v>13.5</v>
      </c>
      <c r="H394" s="336">
        <v>1.3083000000000001E-3</v>
      </c>
      <c r="I394" s="334">
        <v>-0.21</v>
      </c>
      <c r="J394" s="393">
        <v>-0.19</v>
      </c>
      <c r="N394" s="126"/>
      <c r="O394" s="126"/>
      <c r="R394" s="121"/>
    </row>
    <row r="395" spans="1:18" ht="15">
      <c r="A395" s="332" t="s">
        <v>318</v>
      </c>
      <c r="B395" s="333" t="s">
        <v>684</v>
      </c>
      <c r="C395" s="424" t="s">
        <v>330</v>
      </c>
      <c r="D395" s="332" t="s">
        <v>685</v>
      </c>
      <c r="E395" s="333">
        <v>201603</v>
      </c>
      <c r="F395" s="334">
        <v>-0.56000000000000005</v>
      </c>
      <c r="G395" s="332">
        <v>13.5</v>
      </c>
      <c r="H395" s="336">
        <v>1.3083000000000001E-3</v>
      </c>
      <c r="I395" s="334">
        <v>-0.01</v>
      </c>
      <c r="J395" s="393">
        <v>-0.01</v>
      </c>
      <c r="N395" s="126"/>
      <c r="O395" s="126"/>
      <c r="R395" s="121"/>
    </row>
    <row r="396" spans="1:18" ht="15">
      <c r="A396" s="332" t="s">
        <v>318</v>
      </c>
      <c r="B396" s="333" t="s">
        <v>792</v>
      </c>
      <c r="C396" s="424" t="s">
        <v>329</v>
      </c>
      <c r="D396" s="332" t="s">
        <v>793</v>
      </c>
      <c r="E396" s="333">
        <v>201603</v>
      </c>
      <c r="F396" s="334">
        <v>-13269.34</v>
      </c>
      <c r="G396" s="332">
        <v>13.5</v>
      </c>
      <c r="H396" s="336">
        <v>1.3083000000000001E-3</v>
      </c>
      <c r="I396" s="334">
        <v>-234.36</v>
      </c>
      <c r="J396" s="393">
        <v>-208.32</v>
      </c>
      <c r="N396" s="126"/>
      <c r="O396" s="126"/>
      <c r="R396" s="121"/>
    </row>
    <row r="397" spans="1:18">
      <c r="A397" s="332" t="s">
        <v>318</v>
      </c>
      <c r="B397" s="333" t="s">
        <v>792</v>
      </c>
      <c r="C397" s="423" t="s">
        <v>329</v>
      </c>
      <c r="D397" s="332" t="s">
        <v>793</v>
      </c>
      <c r="E397" s="333">
        <v>201603</v>
      </c>
      <c r="F397" s="334">
        <v>-3589.09</v>
      </c>
      <c r="G397" s="332">
        <v>13.5</v>
      </c>
      <c r="H397" s="336">
        <v>1.3083000000000001E-3</v>
      </c>
      <c r="I397" s="334">
        <v>-63.39</v>
      </c>
      <c r="J397" s="393">
        <v>-56.35</v>
      </c>
      <c r="N397" s="126"/>
      <c r="O397" s="126"/>
      <c r="R397" s="121"/>
    </row>
    <row r="398" spans="1:18">
      <c r="A398" s="332" t="s">
        <v>318</v>
      </c>
      <c r="B398" s="333" t="s">
        <v>686</v>
      </c>
      <c r="C398" s="423" t="s">
        <v>329</v>
      </c>
      <c r="D398" s="332" t="s">
        <v>687</v>
      </c>
      <c r="E398" s="333">
        <v>201603</v>
      </c>
      <c r="F398" s="334">
        <v>-12184.08</v>
      </c>
      <c r="G398" s="332">
        <v>13.5</v>
      </c>
      <c r="H398" s="336">
        <v>1.3083000000000001E-3</v>
      </c>
      <c r="I398" s="334">
        <v>-215.2</v>
      </c>
      <c r="J398" s="393">
        <v>-191.29</v>
      </c>
      <c r="N398" s="126"/>
      <c r="O398" s="126"/>
      <c r="R398" s="121"/>
    </row>
    <row r="399" spans="1:18">
      <c r="A399" s="332" t="s">
        <v>318</v>
      </c>
      <c r="B399" s="333" t="s">
        <v>686</v>
      </c>
      <c r="C399" s="423" t="s">
        <v>329</v>
      </c>
      <c r="D399" s="332" t="s">
        <v>687</v>
      </c>
      <c r="E399" s="333">
        <v>201603</v>
      </c>
      <c r="F399" s="334">
        <v>-1007.22</v>
      </c>
      <c r="G399" s="332">
        <v>13.5</v>
      </c>
      <c r="H399" s="336">
        <v>1.3083000000000001E-3</v>
      </c>
      <c r="I399" s="334">
        <v>-17.79</v>
      </c>
      <c r="J399" s="393">
        <v>-15.81</v>
      </c>
      <c r="N399" s="126"/>
      <c r="O399" s="126"/>
      <c r="R399" s="121"/>
    </row>
    <row r="400" spans="1:18">
      <c r="A400" s="332" t="s">
        <v>318</v>
      </c>
      <c r="B400" s="333" t="s">
        <v>818</v>
      </c>
      <c r="C400" s="423" t="s">
        <v>329</v>
      </c>
      <c r="D400" s="332" t="s">
        <v>819</v>
      </c>
      <c r="E400" s="333">
        <v>201603</v>
      </c>
      <c r="F400" s="334">
        <v>17292.84</v>
      </c>
      <c r="G400" s="332">
        <v>13.5</v>
      </c>
      <c r="H400" s="336">
        <v>1.3083000000000001E-3</v>
      </c>
      <c r="I400" s="334">
        <v>305.43</v>
      </c>
      <c r="J400" s="393">
        <v>271.49</v>
      </c>
      <c r="N400" s="126"/>
      <c r="O400" s="126"/>
      <c r="R400" s="121"/>
    </row>
    <row r="401" spans="1:18">
      <c r="A401" s="332" t="s">
        <v>318</v>
      </c>
      <c r="B401" s="333" t="s">
        <v>818</v>
      </c>
      <c r="C401" s="423" t="s">
        <v>329</v>
      </c>
      <c r="D401" s="332" t="s">
        <v>819</v>
      </c>
      <c r="E401" s="333">
        <v>201603</v>
      </c>
      <c r="F401" s="334">
        <v>2390.59</v>
      </c>
      <c r="G401" s="332">
        <v>13.5</v>
      </c>
      <c r="H401" s="336">
        <v>1.3083000000000001E-3</v>
      </c>
      <c r="I401" s="334">
        <v>42.22</v>
      </c>
      <c r="J401" s="393">
        <v>37.53</v>
      </c>
      <c r="N401" s="126"/>
      <c r="O401" s="126"/>
      <c r="R401" s="121"/>
    </row>
    <row r="402" spans="1:18">
      <c r="A402" s="332" t="s">
        <v>318</v>
      </c>
      <c r="B402" s="333" t="s">
        <v>820</v>
      </c>
      <c r="C402" s="423" t="s">
        <v>329</v>
      </c>
      <c r="D402" s="332" t="s">
        <v>821</v>
      </c>
      <c r="E402" s="333">
        <v>201603</v>
      </c>
      <c r="F402" s="334">
        <v>-18990.7</v>
      </c>
      <c r="G402" s="332">
        <v>13.5</v>
      </c>
      <c r="H402" s="336">
        <v>1.3083000000000001E-3</v>
      </c>
      <c r="I402" s="334">
        <v>-335.41</v>
      </c>
      <c r="J402" s="393">
        <v>-298.14999999999998</v>
      </c>
      <c r="N402" s="126"/>
      <c r="O402" s="126"/>
      <c r="R402" s="121"/>
    </row>
    <row r="403" spans="1:18">
      <c r="A403" s="332" t="s">
        <v>318</v>
      </c>
      <c r="B403" s="333" t="s">
        <v>820</v>
      </c>
      <c r="C403" s="423" t="s">
        <v>329</v>
      </c>
      <c r="D403" s="332" t="s">
        <v>821</v>
      </c>
      <c r="E403" s="333">
        <v>201603</v>
      </c>
      <c r="F403" s="334">
        <v>-1479.83</v>
      </c>
      <c r="G403" s="332">
        <v>13.5</v>
      </c>
      <c r="H403" s="336">
        <v>1.3083000000000001E-3</v>
      </c>
      <c r="I403" s="334">
        <v>-26.14</v>
      </c>
      <c r="J403" s="393">
        <v>-23.23</v>
      </c>
      <c r="N403" s="126"/>
      <c r="O403" s="126"/>
      <c r="R403" s="121"/>
    </row>
    <row r="404" spans="1:18">
      <c r="A404" s="332" t="s">
        <v>322</v>
      </c>
      <c r="B404" s="333" t="s">
        <v>688</v>
      </c>
      <c r="C404" s="423" t="s">
        <v>329</v>
      </c>
      <c r="D404" s="332" t="s">
        <v>689</v>
      </c>
      <c r="E404" s="333">
        <v>201603</v>
      </c>
      <c r="F404" s="334">
        <v>0.73</v>
      </c>
      <c r="G404" s="332">
        <v>13.5</v>
      </c>
      <c r="H404" s="336">
        <v>1.1999999999999999E-3</v>
      </c>
      <c r="I404" s="334">
        <v>0.01</v>
      </c>
      <c r="J404" s="393">
        <v>0.01</v>
      </c>
      <c r="N404" s="126"/>
      <c r="O404" s="126"/>
      <c r="R404" s="121"/>
    </row>
    <row r="405" spans="1:18">
      <c r="A405" s="332" t="s">
        <v>318</v>
      </c>
      <c r="B405" s="333" t="s">
        <v>688</v>
      </c>
      <c r="C405" s="423" t="s">
        <v>329</v>
      </c>
      <c r="D405" s="332" t="s">
        <v>689</v>
      </c>
      <c r="E405" s="333">
        <v>201603</v>
      </c>
      <c r="F405" s="334">
        <v>51.2</v>
      </c>
      <c r="G405" s="332">
        <v>13.5</v>
      </c>
      <c r="H405" s="336">
        <v>1.3083000000000001E-3</v>
      </c>
      <c r="I405" s="334">
        <v>0.9</v>
      </c>
      <c r="J405" s="393">
        <v>0.8</v>
      </c>
      <c r="N405" s="126"/>
      <c r="O405" s="126"/>
      <c r="R405" s="121"/>
    </row>
    <row r="406" spans="1:18">
      <c r="A406" s="332" t="s">
        <v>318</v>
      </c>
      <c r="B406" s="333" t="s">
        <v>688</v>
      </c>
      <c r="C406" s="423" t="s">
        <v>329</v>
      </c>
      <c r="D406" s="332" t="s">
        <v>689</v>
      </c>
      <c r="E406" s="333">
        <v>201603</v>
      </c>
      <c r="F406" s="334">
        <v>7.22</v>
      </c>
      <c r="G406" s="332">
        <v>13.5</v>
      </c>
      <c r="H406" s="336">
        <v>1.3083000000000001E-3</v>
      </c>
      <c r="I406" s="334">
        <v>0.13</v>
      </c>
      <c r="J406" s="393">
        <v>0.11</v>
      </c>
      <c r="N406" s="126"/>
      <c r="O406" s="126"/>
      <c r="R406" s="121"/>
    </row>
    <row r="407" spans="1:18">
      <c r="A407" s="332" t="s">
        <v>318</v>
      </c>
      <c r="B407" s="333" t="s">
        <v>822</v>
      </c>
      <c r="C407" s="423" t="s">
        <v>330</v>
      </c>
      <c r="D407" s="332" t="s">
        <v>823</v>
      </c>
      <c r="E407" s="333">
        <v>201603</v>
      </c>
      <c r="F407" s="334">
        <v>-17987.189999999999</v>
      </c>
      <c r="G407" s="332">
        <v>13.5</v>
      </c>
      <c r="H407" s="336">
        <v>1.3083000000000001E-3</v>
      </c>
      <c r="I407" s="334">
        <v>-317.69</v>
      </c>
      <c r="J407" s="393">
        <v>-282.39</v>
      </c>
      <c r="N407" s="126"/>
      <c r="O407" s="126"/>
      <c r="R407" s="121"/>
    </row>
    <row r="408" spans="1:18">
      <c r="A408" s="332" t="s">
        <v>318</v>
      </c>
      <c r="B408" s="333" t="s">
        <v>822</v>
      </c>
      <c r="C408" s="423" t="s">
        <v>330</v>
      </c>
      <c r="D408" s="332" t="s">
        <v>823</v>
      </c>
      <c r="E408" s="333">
        <v>201603</v>
      </c>
      <c r="F408" s="334">
        <v>-1286.45</v>
      </c>
      <c r="G408" s="332">
        <v>13.5</v>
      </c>
      <c r="H408" s="336">
        <v>1.3083000000000001E-3</v>
      </c>
      <c r="I408" s="334">
        <v>-22.72</v>
      </c>
      <c r="J408" s="393">
        <v>-20.2</v>
      </c>
      <c r="N408" s="126"/>
      <c r="O408" s="126"/>
      <c r="R408" s="121"/>
    </row>
    <row r="409" spans="1:18">
      <c r="A409" s="332" t="s">
        <v>318</v>
      </c>
      <c r="B409" s="333" t="s">
        <v>690</v>
      </c>
      <c r="C409" s="423" t="s">
        <v>330</v>
      </c>
      <c r="D409" s="332" t="s">
        <v>691</v>
      </c>
      <c r="E409" s="333">
        <v>201603</v>
      </c>
      <c r="F409" s="334">
        <v>-6611.61</v>
      </c>
      <c r="G409" s="332">
        <v>13.5</v>
      </c>
      <c r="H409" s="336">
        <v>1.3083000000000001E-3</v>
      </c>
      <c r="I409" s="334">
        <v>-116.77</v>
      </c>
      <c r="J409" s="393">
        <v>-103.8</v>
      </c>
      <c r="N409" s="126"/>
      <c r="O409" s="126"/>
      <c r="R409" s="121"/>
    </row>
    <row r="410" spans="1:18">
      <c r="A410" s="332" t="s">
        <v>318</v>
      </c>
      <c r="B410" s="333" t="s">
        <v>690</v>
      </c>
      <c r="C410" s="423" t="s">
        <v>330</v>
      </c>
      <c r="D410" s="332" t="s">
        <v>691</v>
      </c>
      <c r="E410" s="333">
        <v>201603</v>
      </c>
      <c r="F410" s="334">
        <v>-252.31</v>
      </c>
      <c r="G410" s="332">
        <v>13.5</v>
      </c>
      <c r="H410" s="336">
        <v>1.3083000000000001E-3</v>
      </c>
      <c r="I410" s="334">
        <v>-4.46</v>
      </c>
      <c r="J410" s="393">
        <v>-3.96</v>
      </c>
      <c r="N410" s="126"/>
      <c r="O410" s="126"/>
      <c r="R410" s="121"/>
    </row>
    <row r="411" spans="1:18">
      <c r="A411" s="332" t="s">
        <v>318</v>
      </c>
      <c r="B411" s="333" t="s">
        <v>824</v>
      </c>
      <c r="C411" s="423" t="s">
        <v>329</v>
      </c>
      <c r="D411" s="332" t="s">
        <v>825</v>
      </c>
      <c r="E411" s="333">
        <v>201603</v>
      </c>
      <c r="F411" s="334">
        <v>-6444.83</v>
      </c>
      <c r="G411" s="332">
        <v>13.5</v>
      </c>
      <c r="H411" s="336">
        <v>1.3083000000000001E-3</v>
      </c>
      <c r="I411" s="334">
        <v>-113.83</v>
      </c>
      <c r="J411" s="393">
        <v>-101.18</v>
      </c>
      <c r="N411" s="126"/>
      <c r="O411" s="126"/>
      <c r="R411" s="121"/>
    </row>
    <row r="412" spans="1:18">
      <c r="A412" s="332" t="s">
        <v>318</v>
      </c>
      <c r="B412" s="333" t="s">
        <v>824</v>
      </c>
      <c r="C412" s="423" t="s">
        <v>329</v>
      </c>
      <c r="D412" s="332" t="s">
        <v>825</v>
      </c>
      <c r="E412" s="333">
        <v>201603</v>
      </c>
      <c r="F412" s="334">
        <v>-1927.58</v>
      </c>
      <c r="G412" s="332">
        <v>13.5</v>
      </c>
      <c r="H412" s="336">
        <v>1.3083000000000001E-3</v>
      </c>
      <c r="I412" s="334">
        <v>-34.049999999999997</v>
      </c>
      <c r="J412" s="393">
        <v>-30.26</v>
      </c>
      <c r="N412" s="126"/>
      <c r="O412" s="126"/>
      <c r="R412" s="121"/>
    </row>
    <row r="413" spans="1:18">
      <c r="A413" s="332" t="s">
        <v>318</v>
      </c>
      <c r="B413" s="333" t="s">
        <v>692</v>
      </c>
      <c r="C413" s="423" t="s">
        <v>330</v>
      </c>
      <c r="D413" s="332" t="s">
        <v>693</v>
      </c>
      <c r="E413" s="333">
        <v>201603</v>
      </c>
      <c r="F413" s="334">
        <v>-179.82</v>
      </c>
      <c r="G413" s="332">
        <v>13.5</v>
      </c>
      <c r="H413" s="336">
        <v>1.3083000000000001E-3</v>
      </c>
      <c r="I413" s="334">
        <v>-3.18</v>
      </c>
      <c r="J413" s="393">
        <v>-2.82</v>
      </c>
      <c r="N413" s="126"/>
      <c r="O413" s="126"/>
      <c r="R413" s="121"/>
    </row>
    <row r="414" spans="1:18">
      <c r="A414" s="332" t="s">
        <v>318</v>
      </c>
      <c r="B414" s="333" t="s">
        <v>692</v>
      </c>
      <c r="C414" s="423" t="s">
        <v>330</v>
      </c>
      <c r="D414" s="332" t="s">
        <v>693</v>
      </c>
      <c r="E414" s="333">
        <v>201603</v>
      </c>
      <c r="F414" s="334">
        <v>-8.42</v>
      </c>
      <c r="G414" s="332">
        <v>13.5</v>
      </c>
      <c r="H414" s="336">
        <v>1.3083000000000001E-3</v>
      </c>
      <c r="I414" s="334">
        <v>-0.15</v>
      </c>
      <c r="J414" s="393">
        <v>-0.13</v>
      </c>
      <c r="N414" s="126"/>
      <c r="O414" s="126"/>
      <c r="R414" s="121"/>
    </row>
    <row r="415" spans="1:18" ht="15">
      <c r="A415" s="332" t="s">
        <v>318</v>
      </c>
      <c r="B415" s="333" t="s">
        <v>694</v>
      </c>
      <c r="C415" s="424" t="s">
        <v>330</v>
      </c>
      <c r="D415" s="332" t="s">
        <v>695</v>
      </c>
      <c r="E415" s="333">
        <v>201603</v>
      </c>
      <c r="F415" s="334">
        <v>-956.43</v>
      </c>
      <c r="G415" s="332">
        <v>13.5</v>
      </c>
      <c r="H415" s="336">
        <v>1.3083000000000001E-3</v>
      </c>
      <c r="I415" s="334">
        <v>-16.89</v>
      </c>
      <c r="J415" s="393">
        <v>-15.02</v>
      </c>
      <c r="N415" s="126"/>
      <c r="O415" s="126"/>
      <c r="R415" s="121"/>
    </row>
    <row r="416" spans="1:18" ht="15">
      <c r="A416" s="332" t="s">
        <v>318</v>
      </c>
      <c r="B416" s="333" t="s">
        <v>694</v>
      </c>
      <c r="C416" s="424" t="s">
        <v>330</v>
      </c>
      <c r="D416" s="332" t="s">
        <v>695</v>
      </c>
      <c r="E416" s="333">
        <v>201603</v>
      </c>
      <c r="F416" s="334">
        <v>-389.36</v>
      </c>
      <c r="G416" s="332">
        <v>13.5</v>
      </c>
      <c r="H416" s="336">
        <v>1.3083000000000001E-3</v>
      </c>
      <c r="I416" s="334">
        <v>-6.88</v>
      </c>
      <c r="J416" s="393">
        <v>-6.11</v>
      </c>
      <c r="N416" s="126"/>
      <c r="O416" s="126"/>
      <c r="R416" s="121"/>
    </row>
    <row r="417" spans="1:18" ht="15">
      <c r="A417" s="332" t="s">
        <v>318</v>
      </c>
      <c r="B417" s="333" t="s">
        <v>696</v>
      </c>
      <c r="C417" s="424" t="s">
        <v>330</v>
      </c>
      <c r="D417" s="332" t="s">
        <v>697</v>
      </c>
      <c r="E417" s="333">
        <v>201603</v>
      </c>
      <c r="F417" s="334">
        <v>0.74</v>
      </c>
      <c r="G417" s="332">
        <v>13.5</v>
      </c>
      <c r="H417" s="336">
        <v>1.3083000000000001E-3</v>
      </c>
      <c r="I417" s="334">
        <v>0.01</v>
      </c>
      <c r="J417" s="393">
        <v>0.01</v>
      </c>
      <c r="N417" s="126"/>
      <c r="O417" s="126"/>
      <c r="R417" s="121"/>
    </row>
    <row r="418" spans="1:18" ht="15">
      <c r="A418" s="332" t="s">
        <v>318</v>
      </c>
      <c r="B418" s="333" t="s">
        <v>696</v>
      </c>
      <c r="C418" s="424" t="s">
        <v>330</v>
      </c>
      <c r="D418" s="332" t="s">
        <v>697</v>
      </c>
      <c r="E418" s="333">
        <v>201603</v>
      </c>
      <c r="F418" s="334">
        <v>0.04</v>
      </c>
      <c r="G418" s="332">
        <v>13.5</v>
      </c>
      <c r="H418" s="336">
        <v>1.3083000000000001E-3</v>
      </c>
      <c r="I418" s="334">
        <v>0</v>
      </c>
      <c r="J418" s="393">
        <v>0</v>
      </c>
      <c r="N418" s="126"/>
      <c r="O418" s="126"/>
      <c r="R418" s="121"/>
    </row>
    <row r="419" spans="1:18">
      <c r="A419" s="332" t="s">
        <v>318</v>
      </c>
      <c r="B419" s="333" t="s">
        <v>698</v>
      </c>
      <c r="C419" s="423" t="s">
        <v>330</v>
      </c>
      <c r="D419" s="332" t="s">
        <v>699</v>
      </c>
      <c r="E419" s="333">
        <v>201603</v>
      </c>
      <c r="F419" s="334">
        <v>-2177.5500000000002</v>
      </c>
      <c r="G419" s="332">
        <v>13.5</v>
      </c>
      <c r="H419" s="336">
        <v>1.3083000000000001E-3</v>
      </c>
      <c r="I419" s="334">
        <v>-38.46</v>
      </c>
      <c r="J419" s="393">
        <v>-34.19</v>
      </c>
      <c r="N419" s="126"/>
      <c r="O419" s="126"/>
      <c r="R419" s="121"/>
    </row>
    <row r="420" spans="1:18">
      <c r="A420" s="332" t="s">
        <v>318</v>
      </c>
      <c r="B420" s="333" t="s">
        <v>698</v>
      </c>
      <c r="C420" s="423" t="s">
        <v>330</v>
      </c>
      <c r="D420" s="332" t="s">
        <v>699</v>
      </c>
      <c r="E420" s="333">
        <v>201603</v>
      </c>
      <c r="F420" s="334">
        <v>-45.75</v>
      </c>
      <c r="G420" s="332">
        <v>13.5</v>
      </c>
      <c r="H420" s="336">
        <v>1.3083000000000001E-3</v>
      </c>
      <c r="I420" s="334">
        <v>-0.81</v>
      </c>
      <c r="J420" s="393">
        <v>-0.72</v>
      </c>
      <c r="N420" s="126"/>
      <c r="O420" s="126"/>
      <c r="R420" s="121"/>
    </row>
    <row r="421" spans="1:18">
      <c r="A421" s="332" t="s">
        <v>318</v>
      </c>
      <c r="B421" s="333" t="s">
        <v>700</v>
      </c>
      <c r="C421" s="423" t="s">
        <v>330</v>
      </c>
      <c r="D421" s="332" t="s">
        <v>701</v>
      </c>
      <c r="E421" s="333">
        <v>201603</v>
      </c>
      <c r="F421" s="334">
        <v>-1337.95</v>
      </c>
      <c r="G421" s="332">
        <v>13.5</v>
      </c>
      <c r="H421" s="336">
        <v>1.3083000000000001E-3</v>
      </c>
      <c r="I421" s="334">
        <v>-23.63</v>
      </c>
      <c r="J421" s="393">
        <v>-21.01</v>
      </c>
      <c r="N421" s="126"/>
      <c r="O421" s="126"/>
      <c r="R421" s="121"/>
    </row>
    <row r="422" spans="1:18" ht="15">
      <c r="A422" s="332" t="s">
        <v>318</v>
      </c>
      <c r="B422" s="333" t="s">
        <v>700</v>
      </c>
      <c r="C422" s="424" t="s">
        <v>330</v>
      </c>
      <c r="D422" s="332" t="s">
        <v>701</v>
      </c>
      <c r="E422" s="333">
        <v>201603</v>
      </c>
      <c r="F422" s="334">
        <v>-57.84</v>
      </c>
      <c r="G422" s="332">
        <v>13.5</v>
      </c>
      <c r="H422" s="336">
        <v>1.3083000000000001E-3</v>
      </c>
      <c r="I422" s="334">
        <v>-1.02</v>
      </c>
      <c r="J422" s="393">
        <v>-0.91</v>
      </c>
      <c r="N422" s="126"/>
      <c r="O422" s="126"/>
      <c r="R422" s="121"/>
    </row>
    <row r="423" spans="1:18" ht="15">
      <c r="A423" s="332" t="s">
        <v>318</v>
      </c>
      <c r="B423" s="333" t="s">
        <v>702</v>
      </c>
      <c r="C423" s="424" t="s">
        <v>330</v>
      </c>
      <c r="D423" s="332" t="s">
        <v>703</v>
      </c>
      <c r="E423" s="333">
        <v>201603</v>
      </c>
      <c r="F423" s="334">
        <v>1945.69</v>
      </c>
      <c r="G423" s="332">
        <v>13.5</v>
      </c>
      <c r="H423" s="336">
        <v>1.3083000000000001E-3</v>
      </c>
      <c r="I423" s="334">
        <v>34.36</v>
      </c>
      <c r="J423" s="393">
        <v>30.55</v>
      </c>
      <c r="N423" s="126"/>
      <c r="O423" s="126"/>
      <c r="R423" s="121"/>
    </row>
    <row r="424" spans="1:18" ht="15">
      <c r="A424" s="332" t="s">
        <v>318</v>
      </c>
      <c r="B424" s="333" t="s">
        <v>826</v>
      </c>
      <c r="C424" s="424" t="s">
        <v>330</v>
      </c>
      <c r="D424" s="332" t="s">
        <v>827</v>
      </c>
      <c r="E424" s="333">
        <v>201603</v>
      </c>
      <c r="F424" s="334">
        <v>3276.55</v>
      </c>
      <c r="G424" s="332">
        <v>13.5</v>
      </c>
      <c r="H424" s="336">
        <v>1.3083000000000001E-3</v>
      </c>
      <c r="I424" s="334">
        <v>57.87</v>
      </c>
      <c r="J424" s="393">
        <v>51.44</v>
      </c>
      <c r="N424" s="126"/>
      <c r="O424" s="126"/>
      <c r="R424" s="121"/>
    </row>
    <row r="425" spans="1:18">
      <c r="A425" s="332" t="s">
        <v>318</v>
      </c>
      <c r="B425" s="333" t="s">
        <v>826</v>
      </c>
      <c r="C425" s="423" t="s">
        <v>330</v>
      </c>
      <c r="D425" s="332" t="s">
        <v>827</v>
      </c>
      <c r="E425" s="333">
        <v>201603</v>
      </c>
      <c r="F425" s="334">
        <v>114.15</v>
      </c>
      <c r="G425" s="332">
        <v>13.5</v>
      </c>
      <c r="H425" s="336">
        <v>1.3083000000000001E-3</v>
      </c>
      <c r="I425" s="334">
        <v>2.02</v>
      </c>
      <c r="J425" s="393">
        <v>1.79</v>
      </c>
      <c r="N425" s="126"/>
      <c r="O425" s="126"/>
      <c r="R425" s="121"/>
    </row>
    <row r="426" spans="1:18">
      <c r="A426" s="332" t="s">
        <v>322</v>
      </c>
      <c r="B426" s="333" t="s">
        <v>836</v>
      </c>
      <c r="C426" s="423" t="s">
        <v>330</v>
      </c>
      <c r="D426" s="332" t="s">
        <v>837</v>
      </c>
      <c r="E426" s="333">
        <v>201603</v>
      </c>
      <c r="F426" s="334">
        <v>116851.19</v>
      </c>
      <c r="G426" s="332">
        <v>13.5</v>
      </c>
      <c r="H426" s="336">
        <v>1.1999999999999999E-3</v>
      </c>
      <c r="I426" s="334">
        <v>1892.99</v>
      </c>
      <c r="J426" s="393">
        <v>1682.66</v>
      </c>
      <c r="N426" s="126"/>
      <c r="O426" s="126"/>
      <c r="R426" s="121"/>
    </row>
    <row r="427" spans="1:18">
      <c r="A427" s="332" t="s">
        <v>318</v>
      </c>
      <c r="B427" s="333" t="s">
        <v>627</v>
      </c>
      <c r="C427" s="423" t="s">
        <v>330</v>
      </c>
      <c r="D427" s="332" t="s">
        <v>628</v>
      </c>
      <c r="E427" s="333">
        <v>201604</v>
      </c>
      <c r="F427" s="334">
        <v>581.69000000000005</v>
      </c>
      <c r="G427" s="332">
        <v>12.5</v>
      </c>
      <c r="H427" s="336">
        <v>1.3083000000000001E-3</v>
      </c>
      <c r="I427" s="334">
        <v>9.51</v>
      </c>
      <c r="J427" s="393">
        <v>9.1300000000000008</v>
      </c>
      <c r="N427" s="126"/>
      <c r="O427" s="126"/>
      <c r="R427" s="121"/>
    </row>
    <row r="428" spans="1:18">
      <c r="A428" s="332" t="s">
        <v>318</v>
      </c>
      <c r="B428" s="333" t="s">
        <v>320</v>
      </c>
      <c r="C428" s="423" t="s">
        <v>319</v>
      </c>
      <c r="D428" s="332" t="s">
        <v>321</v>
      </c>
      <c r="E428" s="333">
        <v>201604</v>
      </c>
      <c r="F428" s="334">
        <v>356.74</v>
      </c>
      <c r="G428" s="332">
        <v>12.5</v>
      </c>
      <c r="H428" s="336">
        <v>1.3083000000000001E-3</v>
      </c>
      <c r="I428" s="334">
        <v>5.83</v>
      </c>
      <c r="J428" s="393">
        <v>5.6</v>
      </c>
      <c r="N428" s="126"/>
      <c r="O428" s="126"/>
      <c r="R428" s="121"/>
    </row>
    <row r="429" spans="1:18">
      <c r="A429" s="332" t="s">
        <v>318</v>
      </c>
      <c r="B429" s="333" t="s">
        <v>323</v>
      </c>
      <c r="C429" s="423" t="s">
        <v>319</v>
      </c>
      <c r="D429" s="332" t="s">
        <v>324</v>
      </c>
      <c r="E429" s="333">
        <v>201604</v>
      </c>
      <c r="F429" s="334">
        <v>21131.5</v>
      </c>
      <c r="G429" s="332">
        <v>12.5</v>
      </c>
      <c r="H429" s="336">
        <v>1.3083000000000001E-3</v>
      </c>
      <c r="I429" s="334">
        <v>345.58</v>
      </c>
      <c r="J429" s="393">
        <v>331.76</v>
      </c>
      <c r="N429" s="126"/>
      <c r="O429" s="126"/>
      <c r="R429" s="121"/>
    </row>
    <row r="430" spans="1:18">
      <c r="A430" s="332" t="s">
        <v>322</v>
      </c>
      <c r="B430" s="333" t="s">
        <v>325</v>
      </c>
      <c r="C430" s="423" t="s">
        <v>319</v>
      </c>
      <c r="D430" s="332" t="s">
        <v>326</v>
      </c>
      <c r="E430" s="333">
        <v>201604</v>
      </c>
      <c r="F430" s="334">
        <v>6158.62</v>
      </c>
      <c r="G430" s="332">
        <v>12.5</v>
      </c>
      <c r="H430" s="336">
        <v>1.1999999999999999E-3</v>
      </c>
      <c r="I430" s="334">
        <v>92.38</v>
      </c>
      <c r="J430" s="393">
        <v>88.68</v>
      </c>
      <c r="N430" s="126"/>
      <c r="O430" s="126"/>
      <c r="R430" s="121"/>
    </row>
    <row r="431" spans="1:18">
      <c r="A431" s="332" t="s">
        <v>318</v>
      </c>
      <c r="B431" s="333" t="s">
        <v>327</v>
      </c>
      <c r="C431" s="423" t="s">
        <v>319</v>
      </c>
      <c r="D431" s="332" t="s">
        <v>328</v>
      </c>
      <c r="E431" s="333">
        <v>201604</v>
      </c>
      <c r="F431" s="334">
        <v>58013.81</v>
      </c>
      <c r="G431" s="332">
        <v>12.5</v>
      </c>
      <c r="H431" s="336">
        <v>1.3083000000000001E-3</v>
      </c>
      <c r="I431" s="334">
        <v>948.74</v>
      </c>
      <c r="J431" s="393">
        <v>910.79</v>
      </c>
      <c r="N431" s="126"/>
      <c r="O431" s="126"/>
      <c r="R431" s="121"/>
    </row>
    <row r="432" spans="1:18">
      <c r="A432" s="332" t="s">
        <v>318</v>
      </c>
      <c r="B432" s="333" t="s">
        <v>546</v>
      </c>
      <c r="C432" s="423" t="s">
        <v>330</v>
      </c>
      <c r="D432" s="332" t="s">
        <v>547</v>
      </c>
      <c r="E432" s="333">
        <v>201604</v>
      </c>
      <c r="F432" s="334">
        <v>-1.71</v>
      </c>
      <c r="G432" s="332">
        <v>12.5</v>
      </c>
      <c r="H432" s="336">
        <v>1.3083000000000001E-3</v>
      </c>
      <c r="I432" s="334">
        <v>-0.03</v>
      </c>
      <c r="J432" s="393">
        <v>-0.03</v>
      </c>
      <c r="N432" s="126"/>
      <c r="O432" s="126"/>
      <c r="R432" s="121"/>
    </row>
    <row r="433" spans="1:18">
      <c r="A433" s="332" t="s">
        <v>318</v>
      </c>
      <c r="B433" s="333" t="s">
        <v>546</v>
      </c>
      <c r="C433" s="423" t="s">
        <v>330</v>
      </c>
      <c r="D433" s="332" t="s">
        <v>547</v>
      </c>
      <c r="E433" s="333">
        <v>201604</v>
      </c>
      <c r="F433" s="334">
        <v>-0.05</v>
      </c>
      <c r="G433" s="332">
        <v>12.5</v>
      </c>
      <c r="H433" s="336">
        <v>1.3083000000000001E-3</v>
      </c>
      <c r="I433" s="334">
        <v>0</v>
      </c>
      <c r="J433" s="393">
        <v>0</v>
      </c>
      <c r="N433" s="126"/>
      <c r="O433" s="126"/>
      <c r="R433" s="121"/>
    </row>
    <row r="434" spans="1:18">
      <c r="A434" s="332" t="s">
        <v>318</v>
      </c>
      <c r="B434" s="333" t="s">
        <v>589</v>
      </c>
      <c r="C434" s="423" t="s">
        <v>330</v>
      </c>
      <c r="D434" s="332" t="s">
        <v>590</v>
      </c>
      <c r="E434" s="333">
        <v>201604</v>
      </c>
      <c r="F434" s="334">
        <v>61.55</v>
      </c>
      <c r="G434" s="332">
        <v>12.5</v>
      </c>
      <c r="H434" s="336">
        <v>1.3083000000000001E-3</v>
      </c>
      <c r="I434" s="334">
        <v>1.01</v>
      </c>
      <c r="J434" s="393">
        <v>0.97</v>
      </c>
      <c r="N434" s="126"/>
      <c r="O434" s="126"/>
      <c r="R434" s="121"/>
    </row>
    <row r="435" spans="1:18">
      <c r="A435" s="332" t="s">
        <v>318</v>
      </c>
      <c r="B435" s="333" t="s">
        <v>589</v>
      </c>
      <c r="C435" s="423" t="s">
        <v>330</v>
      </c>
      <c r="D435" s="332" t="s">
        <v>590</v>
      </c>
      <c r="E435" s="333">
        <v>201604</v>
      </c>
      <c r="F435" s="334">
        <v>2</v>
      </c>
      <c r="G435" s="332">
        <v>12.5</v>
      </c>
      <c r="H435" s="336">
        <v>1.3083000000000001E-3</v>
      </c>
      <c r="I435" s="334">
        <v>0.03</v>
      </c>
      <c r="J435" s="393">
        <v>0.03</v>
      </c>
      <c r="N435" s="126"/>
      <c r="O435" s="126"/>
      <c r="R435" s="121"/>
    </row>
    <row r="436" spans="1:18">
      <c r="A436" s="332" t="s">
        <v>322</v>
      </c>
      <c r="B436" s="333" t="s">
        <v>643</v>
      </c>
      <c r="C436" s="423" t="s">
        <v>330</v>
      </c>
      <c r="D436" s="332" t="s">
        <v>644</v>
      </c>
      <c r="E436" s="333">
        <v>201604</v>
      </c>
      <c r="F436" s="334">
        <v>80.41</v>
      </c>
      <c r="G436" s="332">
        <v>12.5</v>
      </c>
      <c r="H436" s="336">
        <v>1.1999999999999999E-3</v>
      </c>
      <c r="I436" s="334">
        <v>1.21</v>
      </c>
      <c r="J436" s="393">
        <v>1.1599999999999999</v>
      </c>
      <c r="N436" s="126"/>
      <c r="O436" s="126"/>
      <c r="R436" s="121"/>
    </row>
    <row r="437" spans="1:18">
      <c r="A437" s="332" t="s">
        <v>318</v>
      </c>
      <c r="B437" s="333" t="s">
        <v>643</v>
      </c>
      <c r="C437" s="423" t="s">
        <v>330</v>
      </c>
      <c r="D437" s="332" t="s">
        <v>644</v>
      </c>
      <c r="E437" s="333">
        <v>201604</v>
      </c>
      <c r="F437" s="334">
        <v>5524.11</v>
      </c>
      <c r="G437" s="332">
        <v>12.5</v>
      </c>
      <c r="H437" s="336">
        <v>1.3083000000000001E-3</v>
      </c>
      <c r="I437" s="334">
        <v>90.34</v>
      </c>
      <c r="J437" s="393">
        <v>86.73</v>
      </c>
      <c r="N437" s="126"/>
      <c r="O437" s="126"/>
      <c r="R437" s="121"/>
    </row>
    <row r="438" spans="1:18">
      <c r="A438" s="332" t="s">
        <v>318</v>
      </c>
      <c r="B438" s="333" t="s">
        <v>643</v>
      </c>
      <c r="C438" s="423" t="s">
        <v>330</v>
      </c>
      <c r="D438" s="332" t="s">
        <v>644</v>
      </c>
      <c r="E438" s="333">
        <v>201604</v>
      </c>
      <c r="F438" s="334">
        <v>386.45</v>
      </c>
      <c r="G438" s="332">
        <v>12.5</v>
      </c>
      <c r="H438" s="336">
        <v>1.3083000000000001E-3</v>
      </c>
      <c r="I438" s="334">
        <v>6.32</v>
      </c>
      <c r="J438" s="393">
        <v>6.07</v>
      </c>
      <c r="N438" s="126"/>
      <c r="O438" s="126"/>
      <c r="R438" s="121"/>
    </row>
    <row r="439" spans="1:18">
      <c r="A439" s="332" t="s">
        <v>318</v>
      </c>
      <c r="B439" s="333" t="s">
        <v>800</v>
      </c>
      <c r="C439" s="423" t="s">
        <v>330</v>
      </c>
      <c r="D439" s="332" t="s">
        <v>830</v>
      </c>
      <c r="E439" s="333">
        <v>201604</v>
      </c>
      <c r="F439" s="334">
        <v>8639.64</v>
      </c>
      <c r="G439" s="332">
        <v>12.5</v>
      </c>
      <c r="H439" s="336">
        <v>1.3083000000000001E-3</v>
      </c>
      <c r="I439" s="334">
        <v>141.29</v>
      </c>
      <c r="J439" s="393">
        <v>135.63999999999999</v>
      </c>
      <c r="N439" s="126"/>
      <c r="O439" s="126"/>
      <c r="R439" s="121"/>
    </row>
    <row r="440" spans="1:18">
      <c r="A440" s="332" t="s">
        <v>318</v>
      </c>
      <c r="B440" s="333" t="s">
        <v>800</v>
      </c>
      <c r="C440" s="423" t="s">
        <v>330</v>
      </c>
      <c r="D440" s="332" t="s">
        <v>830</v>
      </c>
      <c r="E440" s="333">
        <v>201604</v>
      </c>
      <c r="F440" s="334">
        <v>484.26</v>
      </c>
      <c r="G440" s="332">
        <v>12.5</v>
      </c>
      <c r="H440" s="336">
        <v>1.3083000000000001E-3</v>
      </c>
      <c r="I440" s="334">
        <v>7.92</v>
      </c>
      <c r="J440" s="393">
        <v>7.6</v>
      </c>
      <c r="N440" s="126"/>
      <c r="O440" s="126"/>
      <c r="R440" s="121"/>
    </row>
    <row r="441" spans="1:18">
      <c r="A441" s="332" t="s">
        <v>318</v>
      </c>
      <c r="B441" s="333" t="s">
        <v>451</v>
      </c>
      <c r="C441" s="423" t="s">
        <v>330</v>
      </c>
      <c r="D441" s="332" t="s">
        <v>452</v>
      </c>
      <c r="E441" s="333">
        <v>201604</v>
      </c>
      <c r="F441" s="334">
        <v>4.18</v>
      </c>
      <c r="G441" s="332">
        <v>12.5</v>
      </c>
      <c r="H441" s="336">
        <v>1.3083000000000001E-3</v>
      </c>
      <c r="I441" s="334">
        <v>7.0000000000000007E-2</v>
      </c>
      <c r="J441" s="393">
        <v>7.0000000000000007E-2</v>
      </c>
      <c r="N441" s="126"/>
      <c r="O441" s="126"/>
      <c r="R441" s="121"/>
    </row>
    <row r="442" spans="1:18" ht="15">
      <c r="A442" s="332" t="s">
        <v>318</v>
      </c>
      <c r="B442" s="333" t="s">
        <v>451</v>
      </c>
      <c r="C442" s="424" t="s">
        <v>330</v>
      </c>
      <c r="D442" s="332" t="s">
        <v>452</v>
      </c>
      <c r="E442" s="333">
        <v>201604</v>
      </c>
      <c r="F442" s="334">
        <v>0.11</v>
      </c>
      <c r="G442" s="332">
        <v>12.5</v>
      </c>
      <c r="H442" s="336">
        <v>1.3083000000000001E-3</v>
      </c>
      <c r="I442" s="334">
        <v>0</v>
      </c>
      <c r="J442" s="393">
        <v>0</v>
      </c>
      <c r="N442" s="126"/>
      <c r="O442" s="126"/>
      <c r="R442" s="121"/>
    </row>
    <row r="443" spans="1:18" ht="15">
      <c r="A443" s="332" t="s">
        <v>318</v>
      </c>
      <c r="B443" s="333" t="s">
        <v>645</v>
      </c>
      <c r="C443" s="424" t="s">
        <v>330</v>
      </c>
      <c r="D443" s="332" t="s">
        <v>646</v>
      </c>
      <c r="E443" s="333">
        <v>201604</v>
      </c>
      <c r="F443" s="334">
        <v>58776.480000000003</v>
      </c>
      <c r="G443" s="332">
        <v>12.5</v>
      </c>
      <c r="H443" s="336">
        <v>1.3083000000000001E-3</v>
      </c>
      <c r="I443" s="334">
        <v>961.22</v>
      </c>
      <c r="J443" s="393">
        <v>922.77</v>
      </c>
      <c r="N443" s="126"/>
      <c r="O443" s="126"/>
      <c r="R443" s="121"/>
    </row>
    <row r="444" spans="1:18" ht="15">
      <c r="A444" s="332" t="s">
        <v>318</v>
      </c>
      <c r="B444" s="333" t="s">
        <v>645</v>
      </c>
      <c r="C444" s="424" t="s">
        <v>330</v>
      </c>
      <c r="D444" s="332" t="s">
        <v>646</v>
      </c>
      <c r="E444" s="333">
        <v>201604</v>
      </c>
      <c r="F444" s="334">
        <v>-9905.31</v>
      </c>
      <c r="G444" s="332">
        <v>12.5</v>
      </c>
      <c r="H444" s="336">
        <v>1.3083000000000001E-3</v>
      </c>
      <c r="I444" s="334">
        <v>-161.99</v>
      </c>
      <c r="J444" s="393">
        <v>-155.51</v>
      </c>
      <c r="N444" s="126"/>
      <c r="O444" s="126"/>
      <c r="R444" s="121"/>
    </row>
    <row r="445" spans="1:18" ht="15">
      <c r="A445" s="332" t="s">
        <v>318</v>
      </c>
      <c r="B445" s="333" t="s">
        <v>647</v>
      </c>
      <c r="C445" s="424" t="s">
        <v>330</v>
      </c>
      <c r="D445" s="332" t="s">
        <v>648</v>
      </c>
      <c r="E445" s="333">
        <v>201604</v>
      </c>
      <c r="F445" s="334">
        <v>34147.620000000003</v>
      </c>
      <c r="G445" s="332">
        <v>12.5</v>
      </c>
      <c r="H445" s="336">
        <v>1.3083000000000001E-3</v>
      </c>
      <c r="I445" s="334">
        <v>558.44000000000005</v>
      </c>
      <c r="J445" s="393">
        <v>536.1</v>
      </c>
      <c r="N445" s="126"/>
      <c r="O445" s="126"/>
      <c r="R445" s="121"/>
    </row>
    <row r="446" spans="1:18" ht="15">
      <c r="A446" s="332" t="s">
        <v>318</v>
      </c>
      <c r="B446" s="333" t="s">
        <v>647</v>
      </c>
      <c r="C446" s="424" t="s">
        <v>330</v>
      </c>
      <c r="D446" s="332" t="s">
        <v>648</v>
      </c>
      <c r="E446" s="333">
        <v>201604</v>
      </c>
      <c r="F446" s="334">
        <v>-10011.48</v>
      </c>
      <c r="G446" s="332">
        <v>12.5</v>
      </c>
      <c r="H446" s="336">
        <v>1.3083000000000001E-3</v>
      </c>
      <c r="I446" s="334">
        <v>-163.72999999999999</v>
      </c>
      <c r="J446" s="393">
        <v>-157.18</v>
      </c>
      <c r="N446" s="126"/>
      <c r="O446" s="126"/>
      <c r="R446" s="121"/>
    </row>
    <row r="447" spans="1:18" ht="15">
      <c r="A447" s="332" t="s">
        <v>318</v>
      </c>
      <c r="B447" s="333" t="s">
        <v>784</v>
      </c>
      <c r="C447" s="424" t="s">
        <v>330</v>
      </c>
      <c r="D447" s="332" t="s">
        <v>785</v>
      </c>
      <c r="E447" s="333">
        <v>201604</v>
      </c>
      <c r="F447" s="334">
        <v>9501</v>
      </c>
      <c r="G447" s="332">
        <v>12.5</v>
      </c>
      <c r="H447" s="336">
        <v>1.3083000000000001E-3</v>
      </c>
      <c r="I447" s="334">
        <v>155.38</v>
      </c>
      <c r="J447" s="393">
        <v>149.16</v>
      </c>
      <c r="N447" s="126"/>
      <c r="O447" s="126"/>
      <c r="R447" s="121"/>
    </row>
    <row r="448" spans="1:18" ht="15">
      <c r="A448" s="332" t="s">
        <v>318</v>
      </c>
      <c r="B448" s="333" t="s">
        <v>784</v>
      </c>
      <c r="C448" s="424" t="s">
        <v>330</v>
      </c>
      <c r="D448" s="332" t="s">
        <v>785</v>
      </c>
      <c r="E448" s="333">
        <v>201604</v>
      </c>
      <c r="F448" s="334">
        <v>59.79</v>
      </c>
      <c r="G448" s="332">
        <v>12.5</v>
      </c>
      <c r="H448" s="336">
        <v>1.3083000000000001E-3</v>
      </c>
      <c r="I448" s="334">
        <v>0.98</v>
      </c>
      <c r="J448" s="393">
        <v>0.94</v>
      </c>
      <c r="N448" s="126"/>
      <c r="O448" s="126"/>
      <c r="R448" s="121"/>
    </row>
    <row r="449" spans="1:18" ht="15">
      <c r="A449" s="332" t="s">
        <v>318</v>
      </c>
      <c r="B449" s="333" t="s">
        <v>629</v>
      </c>
      <c r="C449" s="424" t="s">
        <v>330</v>
      </c>
      <c r="D449" s="332" t="s">
        <v>630</v>
      </c>
      <c r="E449" s="333">
        <v>201604</v>
      </c>
      <c r="F449" s="334">
        <v>204.74</v>
      </c>
      <c r="G449" s="332">
        <v>12.5</v>
      </c>
      <c r="H449" s="336">
        <v>1.3083000000000001E-3</v>
      </c>
      <c r="I449" s="334">
        <v>3.35</v>
      </c>
      <c r="J449" s="393">
        <v>3.21</v>
      </c>
      <c r="N449" s="126"/>
      <c r="O449" s="126"/>
      <c r="R449" s="121"/>
    </row>
    <row r="450" spans="1:18" ht="15">
      <c r="A450" s="332" t="s">
        <v>318</v>
      </c>
      <c r="B450" s="333" t="s">
        <v>629</v>
      </c>
      <c r="C450" s="424" t="s">
        <v>330</v>
      </c>
      <c r="D450" s="332" t="s">
        <v>630</v>
      </c>
      <c r="E450" s="333">
        <v>201604</v>
      </c>
      <c r="F450" s="334">
        <v>42.48</v>
      </c>
      <c r="G450" s="332">
        <v>12.5</v>
      </c>
      <c r="H450" s="336">
        <v>1.3083000000000001E-3</v>
      </c>
      <c r="I450" s="334">
        <v>0.69</v>
      </c>
      <c r="J450" s="393">
        <v>0.67</v>
      </c>
      <c r="N450" s="126"/>
      <c r="O450" s="126"/>
      <c r="R450" s="121"/>
    </row>
    <row r="451" spans="1:18" ht="15">
      <c r="A451" s="332" t="s">
        <v>318</v>
      </c>
      <c r="B451" s="333" t="s">
        <v>592</v>
      </c>
      <c r="C451" s="424" t="s">
        <v>329</v>
      </c>
      <c r="D451" s="332" t="s">
        <v>593</v>
      </c>
      <c r="E451" s="333">
        <v>201604</v>
      </c>
      <c r="F451" s="334">
        <v>-1.56</v>
      </c>
      <c r="G451" s="332">
        <v>12.5</v>
      </c>
      <c r="H451" s="336">
        <v>1.3083000000000001E-3</v>
      </c>
      <c r="I451" s="334">
        <v>-0.03</v>
      </c>
      <c r="J451" s="393">
        <v>-0.02</v>
      </c>
      <c r="N451" s="126"/>
      <c r="O451" s="126"/>
      <c r="R451" s="121"/>
    </row>
    <row r="452" spans="1:18" ht="15">
      <c r="A452" s="332" t="s">
        <v>318</v>
      </c>
      <c r="B452" s="333" t="s">
        <v>592</v>
      </c>
      <c r="C452" s="424" t="s">
        <v>329</v>
      </c>
      <c r="D452" s="332" t="s">
        <v>593</v>
      </c>
      <c r="E452" s="333">
        <v>201604</v>
      </c>
      <c r="F452" s="334">
        <v>-0.15</v>
      </c>
      <c r="G452" s="332">
        <v>12.5</v>
      </c>
      <c r="H452" s="336">
        <v>1.3083000000000001E-3</v>
      </c>
      <c r="I452" s="334">
        <v>0</v>
      </c>
      <c r="J452" s="393">
        <v>0</v>
      </c>
      <c r="N452" s="126"/>
      <c r="O452" s="126"/>
      <c r="R452" s="121"/>
    </row>
    <row r="453" spans="1:18" ht="15">
      <c r="A453" s="332" t="s">
        <v>318</v>
      </c>
      <c r="B453" s="333" t="s">
        <v>631</v>
      </c>
      <c r="C453" s="424" t="s">
        <v>330</v>
      </c>
      <c r="D453" s="332" t="s">
        <v>632</v>
      </c>
      <c r="E453" s="333">
        <v>201604</v>
      </c>
      <c r="F453" s="334">
        <v>14.59</v>
      </c>
      <c r="G453" s="332">
        <v>12.5</v>
      </c>
      <c r="H453" s="336">
        <v>1.3083000000000001E-3</v>
      </c>
      <c r="I453" s="334">
        <v>0.24</v>
      </c>
      <c r="J453" s="393">
        <v>0.23</v>
      </c>
      <c r="N453" s="126"/>
      <c r="O453" s="126"/>
      <c r="R453" s="121"/>
    </row>
    <row r="454" spans="1:18" ht="15">
      <c r="A454" s="332" t="s">
        <v>318</v>
      </c>
      <c r="B454" s="333" t="s">
        <v>631</v>
      </c>
      <c r="C454" s="424" t="s">
        <v>330</v>
      </c>
      <c r="D454" s="332" t="s">
        <v>632</v>
      </c>
      <c r="E454" s="333">
        <v>201604</v>
      </c>
      <c r="F454" s="334">
        <v>0.27</v>
      </c>
      <c r="G454" s="332">
        <v>12.5</v>
      </c>
      <c r="H454" s="336">
        <v>1.3083000000000001E-3</v>
      </c>
      <c r="I454" s="334">
        <v>0</v>
      </c>
      <c r="J454" s="393">
        <v>0</v>
      </c>
      <c r="N454" s="126"/>
      <c r="O454" s="126"/>
      <c r="R454" s="121"/>
    </row>
    <row r="455" spans="1:18" ht="15">
      <c r="A455" s="332" t="s">
        <v>318</v>
      </c>
      <c r="B455" s="333" t="s">
        <v>649</v>
      </c>
      <c r="C455" s="424" t="s">
        <v>330</v>
      </c>
      <c r="D455" s="332" t="s">
        <v>650</v>
      </c>
      <c r="E455" s="333">
        <v>201604</v>
      </c>
      <c r="F455" s="334">
        <v>17662.55</v>
      </c>
      <c r="G455" s="332">
        <v>12.5</v>
      </c>
      <c r="H455" s="336">
        <v>1.3083000000000001E-3</v>
      </c>
      <c r="I455" s="334">
        <v>288.85000000000002</v>
      </c>
      <c r="J455" s="393">
        <v>277.29000000000002</v>
      </c>
      <c r="N455" s="126"/>
      <c r="O455" s="126"/>
      <c r="R455" s="121"/>
    </row>
    <row r="456" spans="1:18">
      <c r="A456" s="332" t="s">
        <v>318</v>
      </c>
      <c r="B456" s="333" t="s">
        <v>649</v>
      </c>
      <c r="C456" s="423" t="s">
        <v>330</v>
      </c>
      <c r="D456" s="332" t="s">
        <v>650</v>
      </c>
      <c r="E456" s="333">
        <v>201604</v>
      </c>
      <c r="F456" s="334">
        <v>185.17</v>
      </c>
      <c r="G456" s="332">
        <v>12.5</v>
      </c>
      <c r="H456" s="336">
        <v>1.3083000000000001E-3</v>
      </c>
      <c r="I456" s="334">
        <v>3.03</v>
      </c>
      <c r="J456" s="393">
        <v>2.91</v>
      </c>
      <c r="N456" s="126"/>
      <c r="O456" s="126"/>
      <c r="R456" s="121"/>
    </row>
    <row r="457" spans="1:18">
      <c r="A457" s="332" t="s">
        <v>318</v>
      </c>
      <c r="B457" s="333" t="s">
        <v>651</v>
      </c>
      <c r="C457" s="423" t="s">
        <v>330</v>
      </c>
      <c r="D457" s="332" t="s">
        <v>652</v>
      </c>
      <c r="E457" s="333">
        <v>201604</v>
      </c>
      <c r="F457" s="334">
        <v>36868.49</v>
      </c>
      <c r="G457" s="332">
        <v>12.5</v>
      </c>
      <c r="H457" s="336">
        <v>1.3083000000000001E-3</v>
      </c>
      <c r="I457" s="334">
        <v>602.94000000000005</v>
      </c>
      <c r="J457" s="393">
        <v>578.82000000000005</v>
      </c>
      <c r="N457" s="126"/>
      <c r="O457" s="126"/>
      <c r="R457" s="121"/>
    </row>
    <row r="458" spans="1:18" ht="15">
      <c r="A458" s="332" t="s">
        <v>318</v>
      </c>
      <c r="B458" s="333" t="s">
        <v>651</v>
      </c>
      <c r="C458" s="424" t="s">
        <v>330</v>
      </c>
      <c r="D458" s="332" t="s">
        <v>652</v>
      </c>
      <c r="E458" s="333">
        <v>201604</v>
      </c>
      <c r="F458" s="334">
        <v>2745.96</v>
      </c>
      <c r="G458" s="332">
        <v>12.5</v>
      </c>
      <c r="H458" s="336">
        <v>1.3083000000000001E-3</v>
      </c>
      <c r="I458" s="334">
        <v>44.91</v>
      </c>
      <c r="J458" s="393">
        <v>43.11</v>
      </c>
      <c r="N458" s="126"/>
      <c r="O458" s="126"/>
      <c r="R458" s="121"/>
    </row>
    <row r="459" spans="1:18" ht="15">
      <c r="A459" s="332" t="s">
        <v>318</v>
      </c>
      <c r="B459" s="333" t="s">
        <v>786</v>
      </c>
      <c r="C459" s="424" t="s">
        <v>330</v>
      </c>
      <c r="D459" s="332" t="s">
        <v>787</v>
      </c>
      <c r="E459" s="333">
        <v>201604</v>
      </c>
      <c r="F459" s="334">
        <v>19509.59</v>
      </c>
      <c r="G459" s="332">
        <v>12.5</v>
      </c>
      <c r="H459" s="336">
        <v>1.3083000000000001E-3</v>
      </c>
      <c r="I459" s="334">
        <v>319.05</v>
      </c>
      <c r="J459" s="393">
        <v>306.29000000000002</v>
      </c>
      <c r="N459" s="126"/>
      <c r="O459" s="126"/>
      <c r="R459" s="121"/>
    </row>
    <row r="460" spans="1:18" ht="15">
      <c r="A460" s="332" t="s">
        <v>318</v>
      </c>
      <c r="B460" s="333" t="s">
        <v>786</v>
      </c>
      <c r="C460" s="424" t="s">
        <v>330</v>
      </c>
      <c r="D460" s="332" t="s">
        <v>787</v>
      </c>
      <c r="E460" s="333">
        <v>201604</v>
      </c>
      <c r="F460" s="334">
        <v>1320.52</v>
      </c>
      <c r="G460" s="332">
        <v>12.5</v>
      </c>
      <c r="H460" s="336">
        <v>1.3083000000000001E-3</v>
      </c>
      <c r="I460" s="334">
        <v>21.6</v>
      </c>
      <c r="J460" s="393">
        <v>20.73</v>
      </c>
      <c r="N460" s="126"/>
      <c r="O460" s="126"/>
      <c r="R460" s="121"/>
    </row>
    <row r="461" spans="1:18" ht="15">
      <c r="A461" s="332" t="s">
        <v>318</v>
      </c>
      <c r="B461" s="333" t="s">
        <v>653</v>
      </c>
      <c r="C461" s="424" t="s">
        <v>330</v>
      </c>
      <c r="D461" s="332" t="s">
        <v>654</v>
      </c>
      <c r="E461" s="333">
        <v>201604</v>
      </c>
      <c r="F461" s="334">
        <v>11560.54</v>
      </c>
      <c r="G461" s="332">
        <v>12.5</v>
      </c>
      <c r="H461" s="336">
        <v>1.3083000000000001E-3</v>
      </c>
      <c r="I461" s="334">
        <v>189.06</v>
      </c>
      <c r="J461" s="393">
        <v>181.5</v>
      </c>
      <c r="N461" s="126"/>
      <c r="O461" s="126"/>
      <c r="R461" s="121"/>
    </row>
    <row r="462" spans="1:18" ht="15">
      <c r="A462" s="332" t="s">
        <v>318</v>
      </c>
      <c r="B462" s="333" t="s">
        <v>653</v>
      </c>
      <c r="C462" s="424" t="s">
        <v>330</v>
      </c>
      <c r="D462" s="332" t="s">
        <v>654</v>
      </c>
      <c r="E462" s="333">
        <v>201604</v>
      </c>
      <c r="F462" s="334">
        <v>289.66000000000003</v>
      </c>
      <c r="G462" s="332">
        <v>12.5</v>
      </c>
      <c r="H462" s="336">
        <v>1.3083000000000001E-3</v>
      </c>
      <c r="I462" s="334">
        <v>4.74</v>
      </c>
      <c r="J462" s="393">
        <v>4.55</v>
      </c>
      <c r="N462" s="126"/>
      <c r="O462" s="126"/>
      <c r="R462" s="121"/>
    </row>
    <row r="463" spans="1:18" ht="15">
      <c r="A463" s="332" t="s">
        <v>318</v>
      </c>
      <c r="B463" s="333" t="s">
        <v>655</v>
      </c>
      <c r="C463" s="424" t="s">
        <v>330</v>
      </c>
      <c r="D463" s="332" t="s">
        <v>656</v>
      </c>
      <c r="E463" s="333">
        <v>201604</v>
      </c>
      <c r="F463" s="334">
        <v>18.260000000000002</v>
      </c>
      <c r="G463" s="332">
        <v>12.5</v>
      </c>
      <c r="H463" s="336">
        <v>1.3083000000000001E-3</v>
      </c>
      <c r="I463" s="334">
        <v>0.3</v>
      </c>
      <c r="J463" s="393">
        <v>0.28999999999999998</v>
      </c>
      <c r="N463" s="126"/>
      <c r="O463" s="126"/>
      <c r="R463" s="121"/>
    </row>
    <row r="464" spans="1:18">
      <c r="A464" s="332" t="s">
        <v>318</v>
      </c>
      <c r="B464" s="333" t="s">
        <v>655</v>
      </c>
      <c r="C464" s="423" t="s">
        <v>330</v>
      </c>
      <c r="D464" s="332" t="s">
        <v>656</v>
      </c>
      <c r="E464" s="333">
        <v>201604</v>
      </c>
      <c r="F464" s="334">
        <v>0.26</v>
      </c>
      <c r="G464" s="332">
        <v>12.5</v>
      </c>
      <c r="H464" s="336">
        <v>1.3083000000000001E-3</v>
      </c>
      <c r="I464" s="334">
        <v>0</v>
      </c>
      <c r="J464" s="393">
        <v>0</v>
      </c>
      <c r="N464" s="126"/>
      <c r="O464" s="126"/>
      <c r="R464" s="121"/>
    </row>
    <row r="465" spans="1:18">
      <c r="A465" s="332" t="s">
        <v>318</v>
      </c>
      <c r="B465" s="333" t="s">
        <v>594</v>
      </c>
      <c r="C465" s="423" t="s">
        <v>330</v>
      </c>
      <c r="D465" s="332" t="s">
        <v>595</v>
      </c>
      <c r="E465" s="333">
        <v>201604</v>
      </c>
      <c r="F465" s="334">
        <v>1.75</v>
      </c>
      <c r="G465" s="332">
        <v>12.5</v>
      </c>
      <c r="H465" s="336">
        <v>1.3083000000000001E-3</v>
      </c>
      <c r="I465" s="334">
        <v>0.03</v>
      </c>
      <c r="J465" s="393">
        <v>0.03</v>
      </c>
      <c r="N465" s="126"/>
      <c r="O465" s="126"/>
      <c r="R465" s="121"/>
    </row>
    <row r="466" spans="1:18">
      <c r="A466" s="332" t="s">
        <v>318</v>
      </c>
      <c r="B466" s="333" t="s">
        <v>594</v>
      </c>
      <c r="C466" s="423" t="s">
        <v>330</v>
      </c>
      <c r="D466" s="332" t="s">
        <v>595</v>
      </c>
      <c r="E466" s="333">
        <v>201604</v>
      </c>
      <c r="F466" s="334">
        <v>0.05</v>
      </c>
      <c r="G466" s="332">
        <v>12.5</v>
      </c>
      <c r="H466" s="336">
        <v>1.3083000000000001E-3</v>
      </c>
      <c r="I466" s="334">
        <v>0</v>
      </c>
      <c r="J466" s="393">
        <v>0</v>
      </c>
      <c r="N466" s="126"/>
      <c r="O466" s="126"/>
      <c r="R466" s="121"/>
    </row>
    <row r="467" spans="1:18">
      <c r="A467" s="332" t="s">
        <v>318</v>
      </c>
      <c r="B467" s="333" t="s">
        <v>596</v>
      </c>
      <c r="C467" s="423" t="s">
        <v>330</v>
      </c>
      <c r="D467" s="332" t="s">
        <v>597</v>
      </c>
      <c r="E467" s="333">
        <v>201604</v>
      </c>
      <c r="F467" s="334">
        <v>2.86</v>
      </c>
      <c r="G467" s="332">
        <v>12.5</v>
      </c>
      <c r="H467" s="336">
        <v>1.3083000000000001E-3</v>
      </c>
      <c r="I467" s="334">
        <v>0.05</v>
      </c>
      <c r="J467" s="393">
        <v>0.04</v>
      </c>
      <c r="N467" s="126"/>
      <c r="O467" s="126"/>
      <c r="R467" s="121"/>
    </row>
    <row r="468" spans="1:18" ht="15">
      <c r="A468" s="332" t="s">
        <v>318</v>
      </c>
      <c r="B468" s="333" t="s">
        <v>596</v>
      </c>
      <c r="C468" s="424" t="s">
        <v>330</v>
      </c>
      <c r="D468" s="332" t="s">
        <v>597</v>
      </c>
      <c r="E468" s="333">
        <v>201604</v>
      </c>
      <c r="F468" s="334">
        <v>0.05</v>
      </c>
      <c r="G468" s="332">
        <v>12.5</v>
      </c>
      <c r="H468" s="336">
        <v>1.3083000000000001E-3</v>
      </c>
      <c r="I468" s="334">
        <v>0</v>
      </c>
      <c r="J468" s="393">
        <v>0</v>
      </c>
      <c r="N468" s="126"/>
      <c r="O468" s="126"/>
      <c r="R468" s="121"/>
    </row>
    <row r="469" spans="1:18" ht="15">
      <c r="A469" s="332" t="s">
        <v>318</v>
      </c>
      <c r="B469" s="333" t="s">
        <v>657</v>
      </c>
      <c r="C469" s="424" t="s">
        <v>330</v>
      </c>
      <c r="D469" s="332" t="s">
        <v>658</v>
      </c>
      <c r="E469" s="333">
        <v>201604</v>
      </c>
      <c r="F469" s="334">
        <v>1508.45</v>
      </c>
      <c r="G469" s="332">
        <v>12.5</v>
      </c>
      <c r="H469" s="336">
        <v>1.3083000000000001E-3</v>
      </c>
      <c r="I469" s="334">
        <v>24.67</v>
      </c>
      <c r="J469" s="393">
        <v>23.68</v>
      </c>
      <c r="N469" s="126"/>
      <c r="O469" s="126"/>
      <c r="R469" s="121"/>
    </row>
    <row r="470" spans="1:18" ht="15">
      <c r="A470" s="332" t="s">
        <v>318</v>
      </c>
      <c r="B470" s="333" t="s">
        <v>657</v>
      </c>
      <c r="C470" s="424" t="s">
        <v>330</v>
      </c>
      <c r="D470" s="332" t="s">
        <v>658</v>
      </c>
      <c r="E470" s="333">
        <v>201604</v>
      </c>
      <c r="F470" s="334">
        <v>-6249.35</v>
      </c>
      <c r="G470" s="332">
        <v>12.5</v>
      </c>
      <c r="H470" s="336">
        <v>1.3083000000000001E-3</v>
      </c>
      <c r="I470" s="334">
        <v>-102.2</v>
      </c>
      <c r="J470" s="393">
        <v>-98.11</v>
      </c>
      <c r="N470" s="126"/>
      <c r="O470" s="126"/>
      <c r="R470" s="121"/>
    </row>
    <row r="471" spans="1:18" ht="15">
      <c r="A471" s="332" t="s">
        <v>318</v>
      </c>
      <c r="B471" s="333" t="s">
        <v>659</v>
      </c>
      <c r="C471" s="424" t="s">
        <v>330</v>
      </c>
      <c r="D471" s="332" t="s">
        <v>660</v>
      </c>
      <c r="E471" s="333">
        <v>201604</v>
      </c>
      <c r="F471" s="334">
        <v>-457.85</v>
      </c>
      <c r="G471" s="332">
        <v>12.5</v>
      </c>
      <c r="H471" s="336">
        <v>1.3083000000000001E-3</v>
      </c>
      <c r="I471" s="334">
        <v>-7.49</v>
      </c>
      <c r="J471" s="393">
        <v>-7.19</v>
      </c>
      <c r="N471" s="126"/>
      <c r="O471" s="126"/>
      <c r="R471" s="121"/>
    </row>
    <row r="472" spans="1:18" ht="15">
      <c r="A472" s="332" t="s">
        <v>318</v>
      </c>
      <c r="B472" s="333" t="s">
        <v>659</v>
      </c>
      <c r="C472" s="424" t="s">
        <v>330</v>
      </c>
      <c r="D472" s="332" t="s">
        <v>660</v>
      </c>
      <c r="E472" s="333">
        <v>201604</v>
      </c>
      <c r="F472" s="334">
        <v>-5.23</v>
      </c>
      <c r="G472" s="332">
        <v>12.5</v>
      </c>
      <c r="H472" s="336">
        <v>1.3083000000000001E-3</v>
      </c>
      <c r="I472" s="334">
        <v>-0.09</v>
      </c>
      <c r="J472" s="393">
        <v>-0.08</v>
      </c>
      <c r="N472" s="126"/>
      <c r="O472" s="126"/>
      <c r="R472" s="121"/>
    </row>
    <row r="473" spans="1:18" ht="15">
      <c r="A473" s="332" t="s">
        <v>318</v>
      </c>
      <c r="B473" s="333" t="s">
        <v>661</v>
      </c>
      <c r="C473" s="424" t="s">
        <v>330</v>
      </c>
      <c r="D473" s="332" t="s">
        <v>662</v>
      </c>
      <c r="E473" s="333">
        <v>201604</v>
      </c>
      <c r="F473" s="334">
        <v>30059.91</v>
      </c>
      <c r="G473" s="332">
        <v>12.5</v>
      </c>
      <c r="H473" s="336">
        <v>1.3083000000000001E-3</v>
      </c>
      <c r="I473" s="334">
        <v>491.59</v>
      </c>
      <c r="J473" s="393">
        <v>471.93</v>
      </c>
      <c r="N473" s="126"/>
      <c r="O473" s="126"/>
      <c r="R473" s="121"/>
    </row>
    <row r="474" spans="1:18">
      <c r="A474" s="332" t="s">
        <v>318</v>
      </c>
      <c r="B474" s="333" t="s">
        <v>661</v>
      </c>
      <c r="C474" s="423" t="s">
        <v>330</v>
      </c>
      <c r="D474" s="332" t="s">
        <v>662</v>
      </c>
      <c r="E474" s="333">
        <v>201604</v>
      </c>
      <c r="F474" s="334">
        <v>1989.89</v>
      </c>
      <c r="G474" s="332">
        <v>12.5</v>
      </c>
      <c r="H474" s="336">
        <v>1.3083000000000001E-3</v>
      </c>
      <c r="I474" s="334">
        <v>32.54</v>
      </c>
      <c r="J474" s="393">
        <v>31.24</v>
      </c>
      <c r="N474" s="126"/>
      <c r="O474" s="126"/>
      <c r="R474" s="121"/>
    </row>
    <row r="475" spans="1:18">
      <c r="A475" s="332" t="s">
        <v>318</v>
      </c>
      <c r="B475" s="333" t="s">
        <v>663</v>
      </c>
      <c r="C475" s="423" t="s">
        <v>330</v>
      </c>
      <c r="D475" s="332" t="s">
        <v>664</v>
      </c>
      <c r="E475" s="333">
        <v>201604</v>
      </c>
      <c r="F475" s="334">
        <v>10615.54</v>
      </c>
      <c r="G475" s="332">
        <v>12.5</v>
      </c>
      <c r="H475" s="336">
        <v>1.3083000000000001E-3</v>
      </c>
      <c r="I475" s="334">
        <v>173.6</v>
      </c>
      <c r="J475" s="393">
        <v>166.66</v>
      </c>
      <c r="N475" s="126"/>
      <c r="O475" s="126"/>
      <c r="R475" s="121"/>
    </row>
    <row r="476" spans="1:18" ht="15">
      <c r="A476" s="332" t="s">
        <v>318</v>
      </c>
      <c r="B476" s="333" t="s">
        <v>663</v>
      </c>
      <c r="C476" s="424" t="s">
        <v>330</v>
      </c>
      <c r="D476" s="332" t="s">
        <v>664</v>
      </c>
      <c r="E476" s="333">
        <v>201604</v>
      </c>
      <c r="F476" s="334">
        <v>772.2</v>
      </c>
      <c r="G476" s="332">
        <v>12.5</v>
      </c>
      <c r="H476" s="336">
        <v>1.3083000000000001E-3</v>
      </c>
      <c r="I476" s="334">
        <v>12.63</v>
      </c>
      <c r="J476" s="393">
        <v>12.12</v>
      </c>
      <c r="N476" s="126"/>
      <c r="O476" s="126"/>
      <c r="R476" s="121"/>
    </row>
    <row r="477" spans="1:18" ht="15">
      <c r="A477" s="332" t="s">
        <v>318</v>
      </c>
      <c r="B477" s="333" t="s">
        <v>665</v>
      </c>
      <c r="C477" s="424" t="s">
        <v>330</v>
      </c>
      <c r="D477" s="332" t="s">
        <v>666</v>
      </c>
      <c r="E477" s="333">
        <v>201604</v>
      </c>
      <c r="F477" s="334">
        <v>394.85</v>
      </c>
      <c r="G477" s="332">
        <v>12.5</v>
      </c>
      <c r="H477" s="336">
        <v>1.3083000000000001E-3</v>
      </c>
      <c r="I477" s="334">
        <v>6.46</v>
      </c>
      <c r="J477" s="393">
        <v>6.2</v>
      </c>
      <c r="N477" s="126"/>
      <c r="O477" s="126"/>
      <c r="R477" s="121"/>
    </row>
    <row r="478" spans="1:18" ht="15">
      <c r="A478" s="332" t="s">
        <v>318</v>
      </c>
      <c r="B478" s="333" t="s">
        <v>665</v>
      </c>
      <c r="C478" s="424" t="s">
        <v>330</v>
      </c>
      <c r="D478" s="332" t="s">
        <v>666</v>
      </c>
      <c r="E478" s="333">
        <v>201604</v>
      </c>
      <c r="F478" s="334">
        <v>4.09</v>
      </c>
      <c r="G478" s="332">
        <v>12.5</v>
      </c>
      <c r="H478" s="336">
        <v>1.3083000000000001E-3</v>
      </c>
      <c r="I478" s="334">
        <v>7.0000000000000007E-2</v>
      </c>
      <c r="J478" s="393">
        <v>0.06</v>
      </c>
      <c r="N478" s="126"/>
      <c r="O478" s="126"/>
      <c r="R478" s="121"/>
    </row>
    <row r="479" spans="1:18" ht="15">
      <c r="A479" s="332" t="s">
        <v>318</v>
      </c>
      <c r="B479" s="333" t="s">
        <v>801</v>
      </c>
      <c r="C479" s="424" t="s">
        <v>330</v>
      </c>
      <c r="D479" s="332" t="s">
        <v>802</v>
      </c>
      <c r="E479" s="333">
        <v>201604</v>
      </c>
      <c r="F479" s="334">
        <v>35055.129999999997</v>
      </c>
      <c r="G479" s="332">
        <v>12.5</v>
      </c>
      <c r="H479" s="336">
        <v>1.3083000000000001E-3</v>
      </c>
      <c r="I479" s="334">
        <v>573.28</v>
      </c>
      <c r="J479" s="393">
        <v>550.35</v>
      </c>
      <c r="N479" s="126"/>
      <c r="O479" s="126"/>
      <c r="R479" s="121"/>
    </row>
    <row r="480" spans="1:18" ht="15">
      <c r="A480" s="332" t="s">
        <v>318</v>
      </c>
      <c r="B480" s="333" t="s">
        <v>801</v>
      </c>
      <c r="C480" s="424" t="s">
        <v>330</v>
      </c>
      <c r="D480" s="332" t="s">
        <v>802</v>
      </c>
      <c r="E480" s="333">
        <v>201604</v>
      </c>
      <c r="F480" s="334">
        <v>2621.37</v>
      </c>
      <c r="G480" s="332">
        <v>12.5</v>
      </c>
      <c r="H480" s="336">
        <v>1.3083000000000001E-3</v>
      </c>
      <c r="I480" s="334">
        <v>42.87</v>
      </c>
      <c r="J480" s="393">
        <v>41.15</v>
      </c>
      <c r="N480" s="126"/>
      <c r="O480" s="126"/>
      <c r="R480" s="121"/>
    </row>
    <row r="481" spans="1:18" ht="15">
      <c r="A481" s="332" t="s">
        <v>318</v>
      </c>
      <c r="B481" s="333" t="s">
        <v>803</v>
      </c>
      <c r="C481" s="424" t="s">
        <v>330</v>
      </c>
      <c r="D481" s="332" t="s">
        <v>804</v>
      </c>
      <c r="E481" s="333">
        <v>201604</v>
      </c>
      <c r="F481" s="334">
        <v>16517.96</v>
      </c>
      <c r="G481" s="332">
        <v>12.5</v>
      </c>
      <c r="H481" s="336">
        <v>1.3083000000000001E-3</v>
      </c>
      <c r="I481" s="334">
        <v>270.13</v>
      </c>
      <c r="J481" s="393">
        <v>259.33</v>
      </c>
      <c r="N481" s="126"/>
      <c r="O481" s="126"/>
      <c r="R481" s="121"/>
    </row>
    <row r="482" spans="1:18">
      <c r="A482" s="332" t="s">
        <v>318</v>
      </c>
      <c r="B482" s="333" t="s">
        <v>803</v>
      </c>
      <c r="C482" s="423" t="s">
        <v>330</v>
      </c>
      <c r="D482" s="332" t="s">
        <v>804</v>
      </c>
      <c r="E482" s="333">
        <v>201604</v>
      </c>
      <c r="F482" s="334">
        <v>1219.21</v>
      </c>
      <c r="G482" s="332">
        <v>12.5</v>
      </c>
      <c r="H482" s="336">
        <v>1.3083000000000001E-3</v>
      </c>
      <c r="I482" s="334">
        <v>19.940000000000001</v>
      </c>
      <c r="J482" s="393">
        <v>19.14</v>
      </c>
      <c r="N482" s="126"/>
      <c r="O482" s="126"/>
      <c r="R482" s="121"/>
    </row>
    <row r="483" spans="1:18">
      <c r="A483" s="332" t="s">
        <v>318</v>
      </c>
      <c r="B483" s="333" t="s">
        <v>805</v>
      </c>
      <c r="C483" s="423" t="s">
        <v>330</v>
      </c>
      <c r="D483" s="332" t="s">
        <v>806</v>
      </c>
      <c r="E483" s="333">
        <v>201604</v>
      </c>
      <c r="F483" s="334">
        <v>25980.51</v>
      </c>
      <c r="G483" s="332">
        <v>12.5</v>
      </c>
      <c r="H483" s="336">
        <v>1.3083000000000001E-3</v>
      </c>
      <c r="I483" s="334">
        <v>424.88</v>
      </c>
      <c r="J483" s="393">
        <v>407.88</v>
      </c>
      <c r="N483" s="126"/>
      <c r="O483" s="126"/>
      <c r="R483" s="121"/>
    </row>
    <row r="484" spans="1:18" ht="15">
      <c r="A484" s="332" t="s">
        <v>318</v>
      </c>
      <c r="B484" s="333" t="s">
        <v>805</v>
      </c>
      <c r="C484" s="424" t="s">
        <v>330</v>
      </c>
      <c r="D484" s="332" t="s">
        <v>806</v>
      </c>
      <c r="E484" s="333">
        <v>201604</v>
      </c>
      <c r="F484" s="334">
        <v>989.93</v>
      </c>
      <c r="G484" s="332">
        <v>12.5</v>
      </c>
      <c r="H484" s="336">
        <v>1.3083000000000001E-3</v>
      </c>
      <c r="I484" s="334">
        <v>16.190000000000001</v>
      </c>
      <c r="J484" s="393">
        <v>15.54</v>
      </c>
      <c r="N484" s="126"/>
      <c r="O484" s="126"/>
      <c r="R484" s="121"/>
    </row>
    <row r="485" spans="1:18" ht="15">
      <c r="A485" s="332" t="s">
        <v>318</v>
      </c>
      <c r="B485" s="333" t="s">
        <v>633</v>
      </c>
      <c r="C485" s="424" t="s">
        <v>329</v>
      </c>
      <c r="D485" s="332" t="s">
        <v>807</v>
      </c>
      <c r="E485" s="333">
        <v>201604</v>
      </c>
      <c r="F485" s="334">
        <v>8486.93</v>
      </c>
      <c r="G485" s="332">
        <v>12.5</v>
      </c>
      <c r="H485" s="336">
        <v>1.3083000000000001E-3</v>
      </c>
      <c r="I485" s="334">
        <v>138.79</v>
      </c>
      <c r="J485" s="393">
        <v>133.24</v>
      </c>
      <c r="N485" s="126"/>
      <c r="O485" s="126"/>
      <c r="R485" s="121"/>
    </row>
    <row r="486" spans="1:18" ht="15">
      <c r="A486" s="332" t="s">
        <v>318</v>
      </c>
      <c r="B486" s="333" t="s">
        <v>633</v>
      </c>
      <c r="C486" s="424" t="s">
        <v>329</v>
      </c>
      <c r="D486" s="332" t="s">
        <v>807</v>
      </c>
      <c r="E486" s="333">
        <v>201604</v>
      </c>
      <c r="F486" s="334">
        <v>504.21</v>
      </c>
      <c r="G486" s="332">
        <v>12.5</v>
      </c>
      <c r="H486" s="336">
        <v>1.3083000000000001E-3</v>
      </c>
      <c r="I486" s="334">
        <v>8.25</v>
      </c>
      <c r="J486" s="393">
        <v>7.92</v>
      </c>
      <c r="N486" s="126"/>
      <c r="O486" s="126"/>
      <c r="R486" s="121"/>
    </row>
    <row r="487" spans="1:18" ht="15">
      <c r="A487" s="332" t="s">
        <v>318</v>
      </c>
      <c r="B487" s="333" t="s">
        <v>808</v>
      </c>
      <c r="C487" s="424" t="s">
        <v>329</v>
      </c>
      <c r="D487" s="332" t="s">
        <v>809</v>
      </c>
      <c r="E487" s="333">
        <v>201604</v>
      </c>
      <c r="F487" s="334">
        <v>38929.58</v>
      </c>
      <c r="G487" s="332">
        <v>12.5</v>
      </c>
      <c r="H487" s="336">
        <v>1.3083000000000001E-3</v>
      </c>
      <c r="I487" s="334">
        <v>636.64</v>
      </c>
      <c r="J487" s="393">
        <v>611.17999999999995</v>
      </c>
      <c r="N487" s="126"/>
      <c r="O487" s="126"/>
      <c r="R487" s="121"/>
    </row>
    <row r="488" spans="1:18" ht="15">
      <c r="A488" s="332" t="s">
        <v>318</v>
      </c>
      <c r="B488" s="333" t="s">
        <v>808</v>
      </c>
      <c r="C488" s="424" t="s">
        <v>329</v>
      </c>
      <c r="D488" s="332" t="s">
        <v>809</v>
      </c>
      <c r="E488" s="333">
        <v>201604</v>
      </c>
      <c r="F488" s="334">
        <v>9722.36</v>
      </c>
      <c r="G488" s="332">
        <v>12.5</v>
      </c>
      <c r="H488" s="336">
        <v>1.3083000000000001E-3</v>
      </c>
      <c r="I488" s="334">
        <v>159</v>
      </c>
      <c r="J488" s="393">
        <v>152.63999999999999</v>
      </c>
      <c r="N488" s="126"/>
      <c r="O488" s="126"/>
      <c r="R488" s="121"/>
    </row>
    <row r="489" spans="1:18" ht="15">
      <c r="A489" s="332" t="s">
        <v>322</v>
      </c>
      <c r="B489" s="333" t="s">
        <v>667</v>
      </c>
      <c r="C489" s="424" t="s">
        <v>329</v>
      </c>
      <c r="D489" s="332" t="s">
        <v>668</v>
      </c>
      <c r="E489" s="333">
        <v>201604</v>
      </c>
      <c r="F489" s="334">
        <v>-36961.54</v>
      </c>
      <c r="G489" s="332">
        <v>12.5</v>
      </c>
      <c r="H489" s="336">
        <v>1.1999999999999999E-3</v>
      </c>
      <c r="I489" s="334">
        <v>-554.41999999999996</v>
      </c>
      <c r="J489" s="393">
        <v>-532.25</v>
      </c>
      <c r="N489" s="126"/>
      <c r="O489" s="126"/>
      <c r="R489" s="121"/>
    </row>
    <row r="490" spans="1:18" ht="15">
      <c r="A490" s="332" t="s">
        <v>318</v>
      </c>
      <c r="B490" s="333" t="s">
        <v>667</v>
      </c>
      <c r="C490" s="424" t="s">
        <v>329</v>
      </c>
      <c r="D490" s="332" t="s">
        <v>668</v>
      </c>
      <c r="E490" s="333">
        <v>201604</v>
      </c>
      <c r="F490" s="334">
        <v>-35157.82</v>
      </c>
      <c r="G490" s="332">
        <v>12.5</v>
      </c>
      <c r="H490" s="336">
        <v>1.3083000000000001E-3</v>
      </c>
      <c r="I490" s="334">
        <v>-574.96</v>
      </c>
      <c r="J490" s="393">
        <v>-551.96</v>
      </c>
      <c r="N490" s="126"/>
      <c r="O490" s="126"/>
      <c r="R490" s="121"/>
    </row>
    <row r="491" spans="1:18" ht="15">
      <c r="A491" s="332" t="s">
        <v>318</v>
      </c>
      <c r="B491" s="333" t="s">
        <v>667</v>
      </c>
      <c r="C491" s="424" t="s">
        <v>329</v>
      </c>
      <c r="D491" s="332" t="s">
        <v>668</v>
      </c>
      <c r="E491" s="333">
        <v>201604</v>
      </c>
      <c r="F491" s="334">
        <v>75809.259999999995</v>
      </c>
      <c r="G491" s="332">
        <v>12.5</v>
      </c>
      <c r="H491" s="336">
        <v>1.3083000000000001E-3</v>
      </c>
      <c r="I491" s="334">
        <v>1239.77</v>
      </c>
      <c r="J491" s="393">
        <v>1190.18</v>
      </c>
      <c r="N491" s="126"/>
      <c r="O491" s="126"/>
      <c r="R491" s="121"/>
    </row>
    <row r="492" spans="1:18">
      <c r="A492" s="332" t="s">
        <v>318</v>
      </c>
      <c r="B492" s="333" t="s">
        <v>598</v>
      </c>
      <c r="C492" s="423" t="s">
        <v>330</v>
      </c>
      <c r="D492" s="332" t="s">
        <v>599</v>
      </c>
      <c r="E492" s="333">
        <v>201604</v>
      </c>
      <c r="F492" s="334">
        <v>-0.54</v>
      </c>
      <c r="G492" s="332">
        <v>12.5</v>
      </c>
      <c r="H492" s="336">
        <v>1.3083000000000001E-3</v>
      </c>
      <c r="I492" s="334">
        <v>-0.01</v>
      </c>
      <c r="J492" s="393">
        <v>-0.01</v>
      </c>
      <c r="N492" s="126"/>
      <c r="O492" s="126"/>
      <c r="R492" s="121"/>
    </row>
    <row r="493" spans="1:18">
      <c r="A493" s="332" t="s">
        <v>318</v>
      </c>
      <c r="B493" s="333" t="s">
        <v>598</v>
      </c>
      <c r="C493" s="423" t="s">
        <v>330</v>
      </c>
      <c r="D493" s="332" t="s">
        <v>599</v>
      </c>
      <c r="E493" s="333">
        <v>201604</v>
      </c>
      <c r="F493" s="334">
        <v>-0.03</v>
      </c>
      <c r="G493" s="332">
        <v>12.5</v>
      </c>
      <c r="H493" s="336">
        <v>1.3083000000000001E-3</v>
      </c>
      <c r="I493" s="334">
        <v>0</v>
      </c>
      <c r="J493" s="393">
        <v>0</v>
      </c>
      <c r="N493" s="126"/>
      <c r="O493" s="126"/>
      <c r="R493" s="121"/>
    </row>
    <row r="494" spans="1:18">
      <c r="A494" s="332" t="s">
        <v>318</v>
      </c>
      <c r="B494" s="333" t="s">
        <v>600</v>
      </c>
      <c r="C494" s="423" t="s">
        <v>330</v>
      </c>
      <c r="D494" s="332" t="s">
        <v>601</v>
      </c>
      <c r="E494" s="333">
        <v>201604</v>
      </c>
      <c r="F494" s="334">
        <v>2.58</v>
      </c>
      <c r="G494" s="332">
        <v>12.5</v>
      </c>
      <c r="H494" s="336">
        <v>1.3083000000000001E-3</v>
      </c>
      <c r="I494" s="334">
        <v>0.04</v>
      </c>
      <c r="J494" s="393">
        <v>0.04</v>
      </c>
      <c r="N494" s="126"/>
      <c r="O494" s="126"/>
      <c r="R494" s="121"/>
    </row>
    <row r="495" spans="1:18">
      <c r="A495" s="332" t="s">
        <v>318</v>
      </c>
      <c r="B495" s="333" t="s">
        <v>600</v>
      </c>
      <c r="C495" s="423" t="s">
        <v>330</v>
      </c>
      <c r="D495" s="332" t="s">
        <v>601</v>
      </c>
      <c r="E495" s="333">
        <v>201604</v>
      </c>
      <c r="F495" s="334">
        <v>0.03</v>
      </c>
      <c r="G495" s="332">
        <v>12.5</v>
      </c>
      <c r="H495" s="336">
        <v>1.3083000000000001E-3</v>
      </c>
      <c r="I495" s="334">
        <v>0</v>
      </c>
      <c r="J495" s="393">
        <v>0</v>
      </c>
      <c r="N495" s="126"/>
      <c r="O495" s="126"/>
      <c r="R495" s="121"/>
    </row>
    <row r="496" spans="1:18">
      <c r="A496" s="332" t="s">
        <v>318</v>
      </c>
      <c r="B496" s="333" t="s">
        <v>554</v>
      </c>
      <c r="C496" s="423" t="s">
        <v>330</v>
      </c>
      <c r="D496" s="332" t="s">
        <v>555</v>
      </c>
      <c r="E496" s="333">
        <v>201604</v>
      </c>
      <c r="F496" s="334">
        <v>2.25</v>
      </c>
      <c r="G496" s="332">
        <v>12.5</v>
      </c>
      <c r="H496" s="336">
        <v>1.3083000000000001E-3</v>
      </c>
      <c r="I496" s="334">
        <v>0.04</v>
      </c>
      <c r="J496" s="393">
        <v>0.04</v>
      </c>
      <c r="N496" s="126"/>
      <c r="O496" s="126"/>
      <c r="R496" s="121"/>
    </row>
    <row r="497" spans="1:18">
      <c r="A497" s="332" t="s">
        <v>318</v>
      </c>
      <c r="B497" s="333" t="s">
        <v>554</v>
      </c>
      <c r="C497" s="423" t="s">
        <v>330</v>
      </c>
      <c r="D497" s="332" t="s">
        <v>555</v>
      </c>
      <c r="E497" s="333">
        <v>201604</v>
      </c>
      <c r="F497" s="334">
        <v>0.13</v>
      </c>
      <c r="G497" s="332">
        <v>12.5</v>
      </c>
      <c r="H497" s="336">
        <v>1.3083000000000001E-3</v>
      </c>
      <c r="I497" s="334">
        <v>0</v>
      </c>
      <c r="J497" s="393">
        <v>0</v>
      </c>
      <c r="N497" s="126"/>
      <c r="O497" s="126"/>
      <c r="R497" s="121"/>
    </row>
    <row r="498" spans="1:18">
      <c r="A498" s="332" t="s">
        <v>318</v>
      </c>
      <c r="B498" s="333" t="s">
        <v>556</v>
      </c>
      <c r="C498" s="423" t="s">
        <v>330</v>
      </c>
      <c r="D498" s="332" t="s">
        <v>557</v>
      </c>
      <c r="E498" s="333">
        <v>201604</v>
      </c>
      <c r="F498" s="334">
        <v>7.7</v>
      </c>
      <c r="G498" s="332">
        <v>12.5</v>
      </c>
      <c r="H498" s="336">
        <v>1.3083000000000001E-3</v>
      </c>
      <c r="I498" s="334">
        <v>0.13</v>
      </c>
      <c r="J498" s="393">
        <v>0.12</v>
      </c>
      <c r="N498" s="126"/>
      <c r="O498" s="126"/>
      <c r="R498" s="121"/>
    </row>
    <row r="499" spans="1:18">
      <c r="A499" s="332" t="s">
        <v>318</v>
      </c>
      <c r="B499" s="333" t="s">
        <v>556</v>
      </c>
      <c r="C499" s="423" t="s">
        <v>330</v>
      </c>
      <c r="D499" s="332" t="s">
        <v>557</v>
      </c>
      <c r="E499" s="333">
        <v>201604</v>
      </c>
      <c r="F499" s="334">
        <v>0.22</v>
      </c>
      <c r="G499" s="332">
        <v>12.5</v>
      </c>
      <c r="H499" s="336">
        <v>1.3083000000000001E-3</v>
      </c>
      <c r="I499" s="334">
        <v>0</v>
      </c>
      <c r="J499" s="393">
        <v>0</v>
      </c>
      <c r="N499" s="126"/>
      <c r="O499" s="126"/>
      <c r="R499" s="121"/>
    </row>
    <row r="500" spans="1:18">
      <c r="A500" s="332" t="s">
        <v>318</v>
      </c>
      <c r="B500" s="333" t="s">
        <v>560</v>
      </c>
      <c r="C500" s="423" t="s">
        <v>330</v>
      </c>
      <c r="D500" s="332" t="s">
        <v>561</v>
      </c>
      <c r="E500" s="333">
        <v>201604</v>
      </c>
      <c r="F500" s="334">
        <v>-8.5299999999999994</v>
      </c>
      <c r="G500" s="332">
        <v>12.5</v>
      </c>
      <c r="H500" s="336">
        <v>1.3083000000000001E-3</v>
      </c>
      <c r="I500" s="334">
        <v>-0.14000000000000001</v>
      </c>
      <c r="J500" s="393">
        <v>-0.13</v>
      </c>
      <c r="N500" s="126"/>
      <c r="O500" s="126"/>
      <c r="R500" s="121"/>
    </row>
    <row r="501" spans="1:18">
      <c r="A501" s="332" t="s">
        <v>318</v>
      </c>
      <c r="B501" s="333" t="s">
        <v>560</v>
      </c>
      <c r="C501" s="423" t="s">
        <v>330</v>
      </c>
      <c r="D501" s="332" t="s">
        <v>561</v>
      </c>
      <c r="E501" s="333">
        <v>201604</v>
      </c>
      <c r="F501" s="334">
        <v>-0.68</v>
      </c>
      <c r="G501" s="332">
        <v>12.5</v>
      </c>
      <c r="H501" s="336">
        <v>1.3083000000000001E-3</v>
      </c>
      <c r="I501" s="334">
        <v>-0.01</v>
      </c>
      <c r="J501" s="393">
        <v>-0.01</v>
      </c>
      <c r="N501" s="126"/>
      <c r="O501" s="126"/>
      <c r="R501" s="121"/>
    </row>
    <row r="502" spans="1:18">
      <c r="A502" s="332" t="s">
        <v>318</v>
      </c>
      <c r="B502" s="333" t="s">
        <v>562</v>
      </c>
      <c r="C502" s="423" t="s">
        <v>330</v>
      </c>
      <c r="D502" s="332" t="s">
        <v>563</v>
      </c>
      <c r="E502" s="333">
        <v>201604</v>
      </c>
      <c r="F502" s="334">
        <v>116.61</v>
      </c>
      <c r="G502" s="332">
        <v>12.5</v>
      </c>
      <c r="H502" s="336">
        <v>1.3083000000000001E-3</v>
      </c>
      <c r="I502" s="334">
        <v>1.91</v>
      </c>
      <c r="J502" s="393">
        <v>1.83</v>
      </c>
      <c r="N502" s="126"/>
      <c r="O502" s="126"/>
      <c r="R502" s="121"/>
    </row>
    <row r="503" spans="1:18">
      <c r="A503" s="332" t="s">
        <v>318</v>
      </c>
      <c r="B503" s="333" t="s">
        <v>562</v>
      </c>
      <c r="C503" s="423" t="s">
        <v>330</v>
      </c>
      <c r="D503" s="332" t="s">
        <v>563</v>
      </c>
      <c r="E503" s="333">
        <v>201604</v>
      </c>
      <c r="F503" s="334">
        <v>7</v>
      </c>
      <c r="G503" s="332">
        <v>12.5</v>
      </c>
      <c r="H503" s="336">
        <v>1.3083000000000001E-3</v>
      </c>
      <c r="I503" s="334">
        <v>0.11</v>
      </c>
      <c r="J503" s="393">
        <v>0.11</v>
      </c>
      <c r="N503" s="126"/>
      <c r="O503" s="126"/>
      <c r="R503" s="121"/>
    </row>
    <row r="504" spans="1:18" ht="15">
      <c r="A504" s="332" t="s">
        <v>318</v>
      </c>
      <c r="B504" s="333" t="s">
        <v>602</v>
      </c>
      <c r="C504" s="424" t="s">
        <v>330</v>
      </c>
      <c r="D504" s="332" t="s">
        <v>603</v>
      </c>
      <c r="E504" s="333">
        <v>201604</v>
      </c>
      <c r="F504" s="334">
        <v>4.1500000000000004</v>
      </c>
      <c r="G504" s="332">
        <v>12.5</v>
      </c>
      <c r="H504" s="336">
        <v>1.3083000000000001E-3</v>
      </c>
      <c r="I504" s="334">
        <v>7.0000000000000007E-2</v>
      </c>
      <c r="J504" s="393">
        <v>7.0000000000000007E-2</v>
      </c>
      <c r="N504" s="126"/>
      <c r="O504" s="126"/>
      <c r="R504" s="121"/>
    </row>
    <row r="505" spans="1:18" ht="15">
      <c r="A505" s="332" t="s">
        <v>318</v>
      </c>
      <c r="B505" s="333" t="s">
        <v>602</v>
      </c>
      <c r="C505" s="424" t="s">
        <v>330</v>
      </c>
      <c r="D505" s="332" t="s">
        <v>603</v>
      </c>
      <c r="E505" s="333">
        <v>201604</v>
      </c>
      <c r="F505" s="334">
        <v>0.23</v>
      </c>
      <c r="G505" s="332">
        <v>12.5</v>
      </c>
      <c r="H505" s="336">
        <v>1.3083000000000001E-3</v>
      </c>
      <c r="I505" s="334">
        <v>0</v>
      </c>
      <c r="J505" s="393">
        <v>0</v>
      </c>
      <c r="N505" s="126"/>
      <c r="O505" s="126"/>
      <c r="R505" s="121"/>
    </row>
    <row r="506" spans="1:18" ht="15">
      <c r="A506" s="332" t="s">
        <v>318</v>
      </c>
      <c r="B506" s="333" t="s">
        <v>810</v>
      </c>
      <c r="C506" s="424" t="s">
        <v>330</v>
      </c>
      <c r="D506" s="332" t="s">
        <v>811</v>
      </c>
      <c r="E506" s="333">
        <v>201604</v>
      </c>
      <c r="F506" s="334">
        <v>120704.74</v>
      </c>
      <c r="G506" s="332">
        <v>12.5</v>
      </c>
      <c r="H506" s="336">
        <v>1.3083000000000001E-3</v>
      </c>
      <c r="I506" s="334">
        <v>1973.98</v>
      </c>
      <c r="J506" s="393">
        <v>1895.02</v>
      </c>
      <c r="N506" s="126"/>
      <c r="O506" s="126"/>
      <c r="R506" s="121"/>
    </row>
    <row r="507" spans="1:18" ht="15">
      <c r="A507" s="332" t="s">
        <v>318</v>
      </c>
      <c r="B507" s="333" t="s">
        <v>810</v>
      </c>
      <c r="C507" s="424" t="s">
        <v>330</v>
      </c>
      <c r="D507" s="332" t="s">
        <v>811</v>
      </c>
      <c r="E507" s="333">
        <v>201604</v>
      </c>
      <c r="F507" s="334">
        <v>5936.62</v>
      </c>
      <c r="G507" s="332">
        <v>12.5</v>
      </c>
      <c r="H507" s="336">
        <v>1.3083000000000001E-3</v>
      </c>
      <c r="I507" s="334">
        <v>97.09</v>
      </c>
      <c r="J507" s="393">
        <v>93.2</v>
      </c>
      <c r="N507" s="126"/>
      <c r="O507" s="126"/>
      <c r="R507" s="121"/>
    </row>
    <row r="508" spans="1:18">
      <c r="A508" s="332" t="s">
        <v>318</v>
      </c>
      <c r="B508" s="333" t="s">
        <v>635</v>
      </c>
      <c r="C508" s="423" t="s">
        <v>329</v>
      </c>
      <c r="D508" s="332" t="s">
        <v>636</v>
      </c>
      <c r="E508" s="333">
        <v>201604</v>
      </c>
      <c r="F508" s="334">
        <v>18.38</v>
      </c>
      <c r="G508" s="332">
        <v>12.5</v>
      </c>
      <c r="H508" s="336">
        <v>1.3083000000000001E-3</v>
      </c>
      <c r="I508" s="334">
        <v>0.3</v>
      </c>
      <c r="J508" s="393">
        <v>0.28999999999999998</v>
      </c>
      <c r="N508" s="126"/>
      <c r="O508" s="126"/>
      <c r="R508" s="121"/>
    </row>
    <row r="509" spans="1:18">
      <c r="A509" s="332" t="s">
        <v>318</v>
      </c>
      <c r="B509" s="333" t="s">
        <v>635</v>
      </c>
      <c r="C509" s="423" t="s">
        <v>329</v>
      </c>
      <c r="D509" s="332" t="s">
        <v>636</v>
      </c>
      <c r="E509" s="333">
        <v>201604</v>
      </c>
      <c r="F509" s="334">
        <v>0.56999999999999995</v>
      </c>
      <c r="G509" s="332">
        <v>12.5</v>
      </c>
      <c r="H509" s="336">
        <v>1.3083000000000001E-3</v>
      </c>
      <c r="I509" s="334">
        <v>0.01</v>
      </c>
      <c r="J509" s="393">
        <v>0.01</v>
      </c>
      <c r="N509" s="126"/>
      <c r="O509" s="126"/>
      <c r="R509" s="121"/>
    </row>
    <row r="510" spans="1:18" ht="15">
      <c r="A510" s="332" t="s">
        <v>318</v>
      </c>
      <c r="B510" s="333" t="s">
        <v>812</v>
      </c>
      <c r="C510" s="424" t="s">
        <v>330</v>
      </c>
      <c r="D510" s="332" t="s">
        <v>813</v>
      </c>
      <c r="E510" s="333">
        <v>201604</v>
      </c>
      <c r="F510" s="334">
        <v>26566.48</v>
      </c>
      <c r="G510" s="332">
        <v>12.5</v>
      </c>
      <c r="H510" s="336">
        <v>1.3083000000000001E-3</v>
      </c>
      <c r="I510" s="334">
        <v>434.46</v>
      </c>
      <c r="J510" s="393">
        <v>417.08</v>
      </c>
      <c r="N510" s="126"/>
      <c r="O510" s="126"/>
      <c r="R510" s="121"/>
    </row>
    <row r="511" spans="1:18" ht="15">
      <c r="A511" s="332" t="s">
        <v>318</v>
      </c>
      <c r="B511" s="333" t="s">
        <v>812</v>
      </c>
      <c r="C511" s="424" t="s">
        <v>330</v>
      </c>
      <c r="D511" s="332" t="s">
        <v>813</v>
      </c>
      <c r="E511" s="333">
        <v>201604</v>
      </c>
      <c r="F511" s="334">
        <v>1477.8</v>
      </c>
      <c r="G511" s="332">
        <v>12.5</v>
      </c>
      <c r="H511" s="336">
        <v>1.3083000000000001E-3</v>
      </c>
      <c r="I511" s="334">
        <v>24.17</v>
      </c>
      <c r="J511" s="393">
        <v>23.2</v>
      </c>
      <c r="N511" s="126"/>
      <c r="O511" s="126"/>
      <c r="R511" s="121"/>
    </row>
    <row r="512" spans="1:18" ht="15">
      <c r="A512" s="332" t="s">
        <v>318</v>
      </c>
      <c r="B512" s="333" t="s">
        <v>788</v>
      </c>
      <c r="C512" s="424" t="s">
        <v>330</v>
      </c>
      <c r="D512" s="332" t="s">
        <v>789</v>
      </c>
      <c r="E512" s="333">
        <v>201604</v>
      </c>
      <c r="F512" s="334">
        <v>3688.51</v>
      </c>
      <c r="G512" s="332">
        <v>12.5</v>
      </c>
      <c r="H512" s="336">
        <v>1.3083000000000001E-3</v>
      </c>
      <c r="I512" s="334">
        <v>60.32</v>
      </c>
      <c r="J512" s="393">
        <v>57.91</v>
      </c>
      <c r="N512" s="126"/>
      <c r="O512" s="126"/>
      <c r="R512" s="121"/>
    </row>
    <row r="513" spans="1:18" ht="15">
      <c r="A513" s="332" t="s">
        <v>318</v>
      </c>
      <c r="B513" s="333" t="s">
        <v>788</v>
      </c>
      <c r="C513" s="424" t="s">
        <v>330</v>
      </c>
      <c r="D513" s="332" t="s">
        <v>789</v>
      </c>
      <c r="E513" s="333">
        <v>201604</v>
      </c>
      <c r="F513" s="334">
        <v>252.76</v>
      </c>
      <c r="G513" s="332">
        <v>12.5</v>
      </c>
      <c r="H513" s="336">
        <v>1.3083000000000001E-3</v>
      </c>
      <c r="I513" s="334">
        <v>4.13</v>
      </c>
      <c r="J513" s="393">
        <v>3.97</v>
      </c>
      <c r="N513" s="126"/>
      <c r="O513" s="126"/>
      <c r="R513" s="121"/>
    </row>
    <row r="514" spans="1:18" ht="15">
      <c r="A514" s="332" t="s">
        <v>318</v>
      </c>
      <c r="B514" s="333" t="s">
        <v>564</v>
      </c>
      <c r="C514" s="424" t="s">
        <v>330</v>
      </c>
      <c r="D514" s="332" t="s">
        <v>669</v>
      </c>
      <c r="E514" s="333">
        <v>201604</v>
      </c>
      <c r="F514" s="334">
        <v>-4.5599999999999996</v>
      </c>
      <c r="G514" s="332">
        <v>12.5</v>
      </c>
      <c r="H514" s="336">
        <v>1.3083000000000001E-3</v>
      </c>
      <c r="I514" s="334">
        <v>-7.0000000000000007E-2</v>
      </c>
      <c r="J514" s="393">
        <v>-7.0000000000000007E-2</v>
      </c>
      <c r="N514" s="126"/>
      <c r="O514" s="126"/>
      <c r="R514" s="121"/>
    </row>
    <row r="515" spans="1:18" ht="15">
      <c r="A515" s="332" t="s">
        <v>318</v>
      </c>
      <c r="B515" s="333" t="s">
        <v>564</v>
      </c>
      <c r="C515" s="424" t="s">
        <v>330</v>
      </c>
      <c r="D515" s="332" t="s">
        <v>669</v>
      </c>
      <c r="E515" s="333">
        <v>201604</v>
      </c>
      <c r="F515" s="334">
        <v>-0.38</v>
      </c>
      <c r="G515" s="332">
        <v>12.5</v>
      </c>
      <c r="H515" s="336">
        <v>1.3083000000000001E-3</v>
      </c>
      <c r="I515" s="334">
        <v>-0.01</v>
      </c>
      <c r="J515" s="393">
        <v>-0.01</v>
      </c>
      <c r="N515" s="126"/>
      <c r="O515" s="126"/>
      <c r="R515" s="121"/>
    </row>
    <row r="516" spans="1:18">
      <c r="A516" s="332" t="s">
        <v>318</v>
      </c>
      <c r="B516" s="333" t="s">
        <v>829</v>
      </c>
      <c r="C516" s="423" t="s">
        <v>330</v>
      </c>
      <c r="D516" s="332" t="s">
        <v>831</v>
      </c>
      <c r="E516" s="333">
        <v>201604</v>
      </c>
      <c r="F516" s="334">
        <v>1673.66</v>
      </c>
      <c r="G516" s="332">
        <v>12.5</v>
      </c>
      <c r="H516" s="336">
        <v>1.3083000000000001E-3</v>
      </c>
      <c r="I516" s="334">
        <v>27.37</v>
      </c>
      <c r="J516" s="393">
        <v>26.28</v>
      </c>
      <c r="N516" s="126"/>
      <c r="O516" s="126"/>
      <c r="R516" s="121"/>
    </row>
    <row r="517" spans="1:18" s="559" customFormat="1">
      <c r="A517" s="521" t="s">
        <v>318</v>
      </c>
      <c r="B517" s="522" t="s">
        <v>829</v>
      </c>
      <c r="C517" s="423" t="s">
        <v>330</v>
      </c>
      <c r="D517" s="521" t="s">
        <v>831</v>
      </c>
      <c r="E517" s="522">
        <v>201604</v>
      </c>
      <c r="F517" s="523">
        <v>124.94</v>
      </c>
      <c r="G517" s="521">
        <v>12.5</v>
      </c>
      <c r="H517" s="524">
        <v>1.3083000000000001E-3</v>
      </c>
      <c r="I517" s="523">
        <v>2.04</v>
      </c>
      <c r="J517" s="448">
        <v>1.96</v>
      </c>
      <c r="N517" s="590"/>
      <c r="O517" s="590"/>
      <c r="R517" s="440"/>
    </row>
    <row r="518" spans="1:18" s="559" customFormat="1">
      <c r="A518" s="521" t="s">
        <v>318</v>
      </c>
      <c r="B518" s="522" t="s">
        <v>832</v>
      </c>
      <c r="C518" s="423" t="s">
        <v>330</v>
      </c>
      <c r="D518" s="521" t="s">
        <v>833</v>
      </c>
      <c r="E518" s="522">
        <v>201604</v>
      </c>
      <c r="F518" s="523">
        <v>8150.99</v>
      </c>
      <c r="G518" s="521">
        <v>12.5</v>
      </c>
      <c r="H518" s="524">
        <v>1.3083000000000001E-3</v>
      </c>
      <c r="I518" s="523">
        <v>133.30000000000001</v>
      </c>
      <c r="J518" s="448">
        <v>127.97</v>
      </c>
      <c r="N518" s="590"/>
      <c r="O518" s="590"/>
      <c r="R518" s="440"/>
    </row>
    <row r="519" spans="1:18" s="559" customFormat="1">
      <c r="A519" s="521" t="s">
        <v>318</v>
      </c>
      <c r="B519" s="522" t="s">
        <v>832</v>
      </c>
      <c r="C519" s="423" t="s">
        <v>330</v>
      </c>
      <c r="D519" s="521" t="s">
        <v>833</v>
      </c>
      <c r="E519" s="522">
        <v>201604</v>
      </c>
      <c r="F519" s="523">
        <v>170.44</v>
      </c>
      <c r="G519" s="521">
        <v>12.5</v>
      </c>
      <c r="H519" s="524">
        <v>1.3083000000000001E-3</v>
      </c>
      <c r="I519" s="523">
        <v>2.79</v>
      </c>
      <c r="J519" s="448">
        <v>2.68</v>
      </c>
      <c r="N519" s="590"/>
      <c r="O519" s="590"/>
      <c r="R519" s="440"/>
    </row>
    <row r="520" spans="1:18" s="559" customFormat="1">
      <c r="A520" s="521" t="s">
        <v>318</v>
      </c>
      <c r="B520" s="522" t="s">
        <v>670</v>
      </c>
      <c r="C520" s="423" t="s">
        <v>330</v>
      </c>
      <c r="D520" s="521" t="s">
        <v>671</v>
      </c>
      <c r="E520" s="522">
        <v>201604</v>
      </c>
      <c r="F520" s="523">
        <v>-138987.94</v>
      </c>
      <c r="G520" s="521">
        <v>12.5</v>
      </c>
      <c r="H520" s="524">
        <v>1.3083000000000001E-3</v>
      </c>
      <c r="I520" s="523">
        <v>-2272.9699999999998</v>
      </c>
      <c r="J520" s="448">
        <v>-2182.06</v>
      </c>
      <c r="N520" s="590"/>
      <c r="O520" s="590"/>
      <c r="R520" s="440"/>
    </row>
    <row r="521" spans="1:18" s="559" customFormat="1">
      <c r="A521" s="521" t="s">
        <v>318</v>
      </c>
      <c r="B521" s="522" t="s">
        <v>670</v>
      </c>
      <c r="C521" s="423" t="s">
        <v>330</v>
      </c>
      <c r="D521" s="521" t="s">
        <v>671</v>
      </c>
      <c r="E521" s="522">
        <v>201604</v>
      </c>
      <c r="F521" s="523">
        <v>-2854.47</v>
      </c>
      <c r="G521" s="521">
        <v>12.5</v>
      </c>
      <c r="H521" s="524">
        <v>1.3083000000000001E-3</v>
      </c>
      <c r="I521" s="523">
        <v>-46.68</v>
      </c>
      <c r="J521" s="448">
        <v>-44.81</v>
      </c>
      <c r="N521" s="590"/>
      <c r="O521" s="590"/>
      <c r="R521" s="440"/>
    </row>
    <row r="522" spans="1:18" s="559" customFormat="1">
      <c r="A522" s="521" t="s">
        <v>318</v>
      </c>
      <c r="B522" s="522" t="s">
        <v>606</v>
      </c>
      <c r="C522" s="423" t="s">
        <v>330</v>
      </c>
      <c r="D522" s="521" t="s">
        <v>607</v>
      </c>
      <c r="E522" s="522">
        <v>201604</v>
      </c>
      <c r="F522" s="523">
        <v>23.15</v>
      </c>
      <c r="G522" s="521">
        <v>12.5</v>
      </c>
      <c r="H522" s="524">
        <v>1.3083000000000001E-3</v>
      </c>
      <c r="I522" s="523">
        <v>0.38</v>
      </c>
      <c r="J522" s="448">
        <v>0.36</v>
      </c>
      <c r="N522" s="590"/>
      <c r="O522" s="590"/>
      <c r="R522" s="440"/>
    </row>
    <row r="523" spans="1:18" s="559" customFormat="1">
      <c r="A523" s="521" t="s">
        <v>318</v>
      </c>
      <c r="B523" s="522" t="s">
        <v>606</v>
      </c>
      <c r="C523" s="423" t="s">
        <v>330</v>
      </c>
      <c r="D523" s="521" t="s">
        <v>607</v>
      </c>
      <c r="E523" s="522">
        <v>201604</v>
      </c>
      <c r="F523" s="523">
        <v>0.35</v>
      </c>
      <c r="G523" s="521">
        <v>12.5</v>
      </c>
      <c r="H523" s="524">
        <v>1.3083000000000001E-3</v>
      </c>
      <c r="I523" s="523">
        <v>0.01</v>
      </c>
      <c r="J523" s="448">
        <v>0.01</v>
      </c>
      <c r="N523" s="590"/>
      <c r="O523" s="590"/>
      <c r="R523" s="440"/>
    </row>
    <row r="524" spans="1:18" s="559" customFormat="1">
      <c r="A524" s="521" t="s">
        <v>318</v>
      </c>
      <c r="B524" s="522" t="s">
        <v>834</v>
      </c>
      <c r="C524" s="423" t="s">
        <v>330</v>
      </c>
      <c r="D524" s="521" t="s">
        <v>835</v>
      </c>
      <c r="E524" s="522">
        <v>201604</v>
      </c>
      <c r="F524" s="523">
        <v>52717.38</v>
      </c>
      <c r="G524" s="521">
        <v>12.5</v>
      </c>
      <c r="H524" s="524">
        <v>1.3083000000000001E-3</v>
      </c>
      <c r="I524" s="523">
        <v>862.13</v>
      </c>
      <c r="J524" s="448">
        <v>827.64</v>
      </c>
      <c r="N524" s="590"/>
      <c r="O524" s="590"/>
      <c r="R524" s="440"/>
    </row>
    <row r="525" spans="1:18" s="559" customFormat="1">
      <c r="A525" s="521" t="s">
        <v>318</v>
      </c>
      <c r="B525" s="522" t="s">
        <v>834</v>
      </c>
      <c r="C525" s="423" t="s">
        <v>330</v>
      </c>
      <c r="D525" s="521" t="s">
        <v>835</v>
      </c>
      <c r="E525" s="522">
        <v>201604</v>
      </c>
      <c r="F525" s="523">
        <v>4661.4399999999996</v>
      </c>
      <c r="G525" s="521">
        <v>12.5</v>
      </c>
      <c r="H525" s="524">
        <v>1.3083000000000001E-3</v>
      </c>
      <c r="I525" s="523">
        <v>76.23</v>
      </c>
      <c r="J525" s="448">
        <v>73.180000000000007</v>
      </c>
      <c r="N525" s="590"/>
      <c r="O525" s="590"/>
      <c r="R525" s="440"/>
    </row>
    <row r="526" spans="1:18" s="559" customFormat="1">
      <c r="A526" s="521" t="s">
        <v>318</v>
      </c>
      <c r="B526" s="522" t="s">
        <v>608</v>
      </c>
      <c r="C526" s="423" t="s">
        <v>330</v>
      </c>
      <c r="D526" s="521" t="s">
        <v>609</v>
      </c>
      <c r="E526" s="522">
        <v>201604</v>
      </c>
      <c r="F526" s="523">
        <v>2.21</v>
      </c>
      <c r="G526" s="521">
        <v>12.5</v>
      </c>
      <c r="H526" s="524">
        <v>1.3083000000000001E-3</v>
      </c>
      <c r="I526" s="523">
        <v>0.04</v>
      </c>
      <c r="J526" s="448">
        <v>0.03</v>
      </c>
      <c r="N526" s="590"/>
      <c r="O526" s="590"/>
      <c r="R526" s="440"/>
    </row>
    <row r="527" spans="1:18" s="559" customFormat="1">
      <c r="A527" s="521" t="s">
        <v>318</v>
      </c>
      <c r="B527" s="522" t="s">
        <v>608</v>
      </c>
      <c r="C527" s="423" t="s">
        <v>330</v>
      </c>
      <c r="D527" s="521" t="s">
        <v>609</v>
      </c>
      <c r="E527" s="522">
        <v>201604</v>
      </c>
      <c r="F527" s="523">
        <v>0.16</v>
      </c>
      <c r="G527" s="521">
        <v>12.5</v>
      </c>
      <c r="H527" s="524">
        <v>1.3083000000000001E-3</v>
      </c>
      <c r="I527" s="523">
        <v>0</v>
      </c>
      <c r="J527" s="448">
        <v>0</v>
      </c>
      <c r="N527" s="590"/>
      <c r="O527" s="590"/>
      <c r="R527" s="440"/>
    </row>
    <row r="528" spans="1:18" s="559" customFormat="1">
      <c r="A528" s="521" t="s">
        <v>318</v>
      </c>
      <c r="B528" s="522" t="s">
        <v>565</v>
      </c>
      <c r="C528" s="423" t="s">
        <v>330</v>
      </c>
      <c r="D528" s="521" t="s">
        <v>566</v>
      </c>
      <c r="E528" s="522">
        <v>201604</v>
      </c>
      <c r="F528" s="523">
        <v>7.0000000000000007E-2</v>
      </c>
      <c r="G528" s="521">
        <v>12.5</v>
      </c>
      <c r="H528" s="524">
        <v>1.3083000000000001E-3</v>
      </c>
      <c r="I528" s="523">
        <v>0</v>
      </c>
      <c r="J528" s="448">
        <v>0</v>
      </c>
      <c r="N528" s="590"/>
      <c r="O528" s="590"/>
      <c r="R528" s="440"/>
    </row>
    <row r="529" spans="1:18" s="559" customFormat="1">
      <c r="A529" s="521" t="s">
        <v>318</v>
      </c>
      <c r="B529" s="522" t="s">
        <v>610</v>
      </c>
      <c r="C529" s="423" t="s">
        <v>330</v>
      </c>
      <c r="D529" s="521" t="s">
        <v>611</v>
      </c>
      <c r="E529" s="522">
        <v>201604</v>
      </c>
      <c r="F529" s="523">
        <v>7.86</v>
      </c>
      <c r="G529" s="521">
        <v>12.5</v>
      </c>
      <c r="H529" s="524">
        <v>1.3083000000000001E-3</v>
      </c>
      <c r="I529" s="523">
        <v>0.13</v>
      </c>
      <c r="J529" s="448">
        <v>0.12</v>
      </c>
      <c r="N529" s="590"/>
      <c r="O529" s="590"/>
      <c r="R529" s="440"/>
    </row>
    <row r="530" spans="1:18" s="559" customFormat="1">
      <c r="A530" s="521" t="s">
        <v>318</v>
      </c>
      <c r="B530" s="522" t="s">
        <v>610</v>
      </c>
      <c r="C530" s="423" t="s">
        <v>330</v>
      </c>
      <c r="D530" s="521" t="s">
        <v>611</v>
      </c>
      <c r="E530" s="522">
        <v>201604</v>
      </c>
      <c r="F530" s="523">
        <v>0.39</v>
      </c>
      <c r="G530" s="521">
        <v>12.5</v>
      </c>
      <c r="H530" s="524">
        <v>1.3083000000000001E-3</v>
      </c>
      <c r="I530" s="523">
        <v>0.01</v>
      </c>
      <c r="J530" s="448">
        <v>0.01</v>
      </c>
      <c r="N530" s="590"/>
      <c r="O530" s="590"/>
      <c r="R530" s="440"/>
    </row>
    <row r="531" spans="1:18" s="559" customFormat="1">
      <c r="A531" s="521" t="s">
        <v>318</v>
      </c>
      <c r="B531" s="522" t="s">
        <v>672</v>
      </c>
      <c r="C531" s="423" t="s">
        <v>330</v>
      </c>
      <c r="D531" s="521" t="s">
        <v>673</v>
      </c>
      <c r="E531" s="522">
        <v>201604</v>
      </c>
      <c r="F531" s="523">
        <v>6582.16</v>
      </c>
      <c r="G531" s="521">
        <v>12.5</v>
      </c>
      <c r="H531" s="524">
        <v>1.3083000000000001E-3</v>
      </c>
      <c r="I531" s="523">
        <v>107.64</v>
      </c>
      <c r="J531" s="448">
        <v>103.34</v>
      </c>
      <c r="N531" s="590"/>
      <c r="O531" s="590"/>
      <c r="R531" s="440"/>
    </row>
    <row r="532" spans="1:18" s="559" customFormat="1">
      <c r="A532" s="521" t="s">
        <v>318</v>
      </c>
      <c r="B532" s="522" t="s">
        <v>672</v>
      </c>
      <c r="C532" s="423" t="s">
        <v>330</v>
      </c>
      <c r="D532" s="521" t="s">
        <v>673</v>
      </c>
      <c r="E532" s="522">
        <v>201604</v>
      </c>
      <c r="F532" s="523">
        <v>-5987.54</v>
      </c>
      <c r="G532" s="521">
        <v>12.5</v>
      </c>
      <c r="H532" s="524">
        <v>1.3083000000000001E-3</v>
      </c>
      <c r="I532" s="523">
        <v>-97.92</v>
      </c>
      <c r="J532" s="448">
        <v>-94</v>
      </c>
      <c r="N532" s="590"/>
      <c r="O532" s="590"/>
      <c r="R532" s="440"/>
    </row>
    <row r="533" spans="1:18" s="559" customFormat="1">
      <c r="A533" s="521" t="s">
        <v>318</v>
      </c>
      <c r="B533" s="522" t="s">
        <v>637</v>
      </c>
      <c r="C533" s="423" t="s">
        <v>329</v>
      </c>
      <c r="D533" s="521" t="s">
        <v>638</v>
      </c>
      <c r="E533" s="522">
        <v>201604</v>
      </c>
      <c r="F533" s="523">
        <v>9.0399999999999991</v>
      </c>
      <c r="G533" s="521">
        <v>12.5</v>
      </c>
      <c r="H533" s="524">
        <v>1.3083000000000001E-3</v>
      </c>
      <c r="I533" s="523">
        <v>0.15</v>
      </c>
      <c r="J533" s="448">
        <v>0.14000000000000001</v>
      </c>
      <c r="N533" s="590"/>
      <c r="O533" s="590"/>
      <c r="R533" s="440"/>
    </row>
    <row r="534" spans="1:18" s="559" customFormat="1">
      <c r="A534" s="521" t="s">
        <v>318</v>
      </c>
      <c r="B534" s="522" t="s">
        <v>637</v>
      </c>
      <c r="C534" s="423" t="s">
        <v>329</v>
      </c>
      <c r="D534" s="521" t="s">
        <v>638</v>
      </c>
      <c r="E534" s="522">
        <v>201604</v>
      </c>
      <c r="F534" s="523">
        <v>0.72</v>
      </c>
      <c r="G534" s="521">
        <v>12.5</v>
      </c>
      <c r="H534" s="524">
        <v>1.3083000000000001E-3</v>
      </c>
      <c r="I534" s="523">
        <v>0.01</v>
      </c>
      <c r="J534" s="448">
        <v>0.01</v>
      </c>
      <c r="N534" s="590"/>
      <c r="O534" s="590"/>
      <c r="R534" s="440"/>
    </row>
    <row r="535" spans="1:18" s="559" customFormat="1">
      <c r="A535" s="521" t="s">
        <v>318</v>
      </c>
      <c r="B535" s="522" t="s">
        <v>814</v>
      </c>
      <c r="C535" s="423" t="s">
        <v>330</v>
      </c>
      <c r="D535" s="521" t="s">
        <v>815</v>
      </c>
      <c r="E535" s="522">
        <v>201604</v>
      </c>
      <c r="F535" s="523">
        <v>20965.93</v>
      </c>
      <c r="G535" s="521">
        <v>12.5</v>
      </c>
      <c r="H535" s="524">
        <v>1.3083000000000001E-3</v>
      </c>
      <c r="I535" s="523">
        <v>342.87</v>
      </c>
      <c r="J535" s="448">
        <v>329.16</v>
      </c>
      <c r="N535" s="590"/>
      <c r="O535" s="590"/>
      <c r="R535" s="440"/>
    </row>
    <row r="536" spans="1:18" s="559" customFormat="1">
      <c r="A536" s="521" t="s">
        <v>318</v>
      </c>
      <c r="B536" s="522" t="s">
        <v>814</v>
      </c>
      <c r="C536" s="423" t="s">
        <v>330</v>
      </c>
      <c r="D536" s="521" t="s">
        <v>815</v>
      </c>
      <c r="E536" s="522">
        <v>201604</v>
      </c>
      <c r="F536" s="523">
        <v>899.62</v>
      </c>
      <c r="G536" s="521">
        <v>12.5</v>
      </c>
      <c r="H536" s="524">
        <v>1.3083000000000001E-3</v>
      </c>
      <c r="I536" s="523">
        <v>14.71</v>
      </c>
      <c r="J536" s="448">
        <v>14.12</v>
      </c>
      <c r="N536" s="590"/>
      <c r="O536" s="590"/>
      <c r="R536" s="440"/>
    </row>
    <row r="537" spans="1:18" s="559" customFormat="1">
      <c r="A537" s="521" t="s">
        <v>318</v>
      </c>
      <c r="B537" s="522" t="s">
        <v>674</v>
      </c>
      <c r="C537" s="423" t="s">
        <v>330</v>
      </c>
      <c r="D537" s="521" t="s">
        <v>675</v>
      </c>
      <c r="E537" s="522">
        <v>201604</v>
      </c>
      <c r="F537" s="523">
        <v>1406.67</v>
      </c>
      <c r="G537" s="521">
        <v>12.5</v>
      </c>
      <c r="H537" s="524">
        <v>1.3083000000000001E-3</v>
      </c>
      <c r="I537" s="523">
        <v>23</v>
      </c>
      <c r="J537" s="448">
        <v>22.08</v>
      </c>
      <c r="N537" s="590"/>
      <c r="O537" s="590"/>
      <c r="R537" s="440"/>
    </row>
    <row r="538" spans="1:18" s="559" customFormat="1">
      <c r="A538" s="521" t="s">
        <v>318</v>
      </c>
      <c r="B538" s="522" t="s">
        <v>674</v>
      </c>
      <c r="C538" s="423" t="s">
        <v>330</v>
      </c>
      <c r="D538" s="521" t="s">
        <v>675</v>
      </c>
      <c r="E538" s="522">
        <v>201604</v>
      </c>
      <c r="F538" s="523">
        <v>71.19</v>
      </c>
      <c r="G538" s="521">
        <v>12.5</v>
      </c>
      <c r="H538" s="524">
        <v>1.3083000000000001E-3</v>
      </c>
      <c r="I538" s="523">
        <v>1.1599999999999999</v>
      </c>
      <c r="J538" s="448">
        <v>1.1200000000000001</v>
      </c>
      <c r="N538" s="590"/>
      <c r="O538" s="590"/>
      <c r="R538" s="440"/>
    </row>
    <row r="539" spans="1:18" s="559" customFormat="1">
      <c r="A539" s="521" t="s">
        <v>318</v>
      </c>
      <c r="B539" s="522" t="s">
        <v>790</v>
      </c>
      <c r="C539" s="423" t="s">
        <v>330</v>
      </c>
      <c r="D539" s="521" t="s">
        <v>791</v>
      </c>
      <c r="E539" s="522">
        <v>201604</v>
      </c>
      <c r="F539" s="523">
        <v>12361.43</v>
      </c>
      <c r="G539" s="521">
        <v>12.5</v>
      </c>
      <c r="H539" s="524">
        <v>1.3083000000000001E-3</v>
      </c>
      <c r="I539" s="523">
        <v>202.16</v>
      </c>
      <c r="J539" s="448">
        <v>194.07</v>
      </c>
      <c r="N539" s="590"/>
      <c r="O539" s="590"/>
      <c r="R539" s="440"/>
    </row>
    <row r="540" spans="1:18" s="559" customFormat="1">
      <c r="A540" s="521" t="s">
        <v>318</v>
      </c>
      <c r="B540" s="522" t="s">
        <v>790</v>
      </c>
      <c r="C540" s="423" t="s">
        <v>330</v>
      </c>
      <c r="D540" s="521" t="s">
        <v>791</v>
      </c>
      <c r="E540" s="522">
        <v>201604</v>
      </c>
      <c r="F540" s="523">
        <v>524.88</v>
      </c>
      <c r="G540" s="521">
        <v>12.5</v>
      </c>
      <c r="H540" s="524">
        <v>1.3083000000000001E-3</v>
      </c>
      <c r="I540" s="523">
        <v>8.58</v>
      </c>
      <c r="J540" s="448">
        <v>8.24</v>
      </c>
      <c r="N540" s="590"/>
      <c r="O540" s="590"/>
      <c r="R540" s="440"/>
    </row>
    <row r="541" spans="1:18" s="559" customFormat="1">
      <c r="A541" s="521" t="s">
        <v>318</v>
      </c>
      <c r="B541" s="522" t="s">
        <v>639</v>
      </c>
      <c r="C541" s="423" t="s">
        <v>329</v>
      </c>
      <c r="D541" s="521" t="s">
        <v>640</v>
      </c>
      <c r="E541" s="522">
        <v>201604</v>
      </c>
      <c r="F541" s="523">
        <v>9.44</v>
      </c>
      <c r="G541" s="521">
        <v>12.5</v>
      </c>
      <c r="H541" s="524">
        <v>1.3083000000000001E-3</v>
      </c>
      <c r="I541" s="523">
        <v>0.15</v>
      </c>
      <c r="J541" s="448">
        <v>0.15</v>
      </c>
      <c r="N541" s="590"/>
      <c r="O541" s="590"/>
      <c r="R541" s="440"/>
    </row>
    <row r="542" spans="1:18" s="559" customFormat="1">
      <c r="A542" s="521" t="s">
        <v>318</v>
      </c>
      <c r="B542" s="522" t="s">
        <v>639</v>
      </c>
      <c r="C542" s="423" t="s">
        <v>329</v>
      </c>
      <c r="D542" s="521" t="s">
        <v>640</v>
      </c>
      <c r="E542" s="522">
        <v>201604</v>
      </c>
      <c r="F542" s="523">
        <v>2.2200000000000002</v>
      </c>
      <c r="G542" s="521">
        <v>12.5</v>
      </c>
      <c r="H542" s="524">
        <v>1.3083000000000001E-3</v>
      </c>
      <c r="I542" s="523">
        <v>0.04</v>
      </c>
      <c r="J542" s="448">
        <v>0.03</v>
      </c>
      <c r="N542" s="590"/>
      <c r="O542" s="590"/>
      <c r="R542" s="440"/>
    </row>
    <row r="543" spans="1:18" s="559" customFormat="1">
      <c r="A543" s="521" t="s">
        <v>318</v>
      </c>
      <c r="B543" s="522" t="s">
        <v>676</v>
      </c>
      <c r="C543" s="423" t="s">
        <v>329</v>
      </c>
      <c r="D543" s="521" t="s">
        <v>677</v>
      </c>
      <c r="E543" s="522">
        <v>201604</v>
      </c>
      <c r="F543" s="523">
        <v>-663.77</v>
      </c>
      <c r="G543" s="521">
        <v>12.5</v>
      </c>
      <c r="H543" s="524">
        <v>1.3083000000000001E-3</v>
      </c>
      <c r="I543" s="523">
        <v>-10.86</v>
      </c>
      <c r="J543" s="448">
        <v>-10.42</v>
      </c>
      <c r="N543" s="590"/>
      <c r="O543" s="590"/>
      <c r="R543" s="440"/>
    </row>
    <row r="544" spans="1:18" s="559" customFormat="1">
      <c r="A544" s="521" t="s">
        <v>318</v>
      </c>
      <c r="B544" s="522" t="s">
        <v>676</v>
      </c>
      <c r="C544" s="423" t="s">
        <v>329</v>
      </c>
      <c r="D544" s="521" t="s">
        <v>677</v>
      </c>
      <c r="E544" s="522">
        <v>201604</v>
      </c>
      <c r="F544" s="523">
        <v>-105.08</v>
      </c>
      <c r="G544" s="521">
        <v>12.5</v>
      </c>
      <c r="H544" s="524">
        <v>1.3083000000000001E-3</v>
      </c>
      <c r="I544" s="523">
        <v>-1.72</v>
      </c>
      <c r="J544" s="448">
        <v>-1.65</v>
      </c>
      <c r="N544" s="590"/>
      <c r="O544" s="590"/>
      <c r="R544" s="440"/>
    </row>
    <row r="545" spans="1:18" s="559" customFormat="1">
      <c r="A545" s="521" t="s">
        <v>318</v>
      </c>
      <c r="B545" s="522" t="s">
        <v>678</v>
      </c>
      <c r="C545" s="423" t="s">
        <v>330</v>
      </c>
      <c r="D545" s="521" t="s">
        <v>679</v>
      </c>
      <c r="E545" s="522">
        <v>201604</v>
      </c>
      <c r="F545" s="523">
        <v>6922.82</v>
      </c>
      <c r="G545" s="521">
        <v>12.5</v>
      </c>
      <c r="H545" s="524">
        <v>1.3083000000000001E-3</v>
      </c>
      <c r="I545" s="523">
        <v>113.21</v>
      </c>
      <c r="J545" s="448">
        <v>108.69</v>
      </c>
      <c r="N545" s="590"/>
      <c r="O545" s="590"/>
      <c r="R545" s="440"/>
    </row>
    <row r="546" spans="1:18" s="559" customFormat="1">
      <c r="A546" s="521" t="s">
        <v>318</v>
      </c>
      <c r="B546" s="522" t="s">
        <v>678</v>
      </c>
      <c r="C546" s="423" t="s">
        <v>330</v>
      </c>
      <c r="D546" s="521" t="s">
        <v>679</v>
      </c>
      <c r="E546" s="522">
        <v>201604</v>
      </c>
      <c r="F546" s="523">
        <v>171.53</v>
      </c>
      <c r="G546" s="521">
        <v>12.5</v>
      </c>
      <c r="H546" s="524">
        <v>1.3083000000000001E-3</v>
      </c>
      <c r="I546" s="523">
        <v>2.81</v>
      </c>
      <c r="J546" s="448">
        <v>2.69</v>
      </c>
      <c r="N546" s="590"/>
      <c r="O546" s="590"/>
      <c r="R546" s="440"/>
    </row>
    <row r="547" spans="1:18" s="559" customFormat="1">
      <c r="A547" s="521" t="s">
        <v>318</v>
      </c>
      <c r="B547" s="522" t="s">
        <v>680</v>
      </c>
      <c r="C547" s="423" t="s">
        <v>330</v>
      </c>
      <c r="D547" s="521" t="s">
        <v>681</v>
      </c>
      <c r="E547" s="522">
        <v>201604</v>
      </c>
      <c r="F547" s="523">
        <v>-74.59</v>
      </c>
      <c r="G547" s="521">
        <v>12.5</v>
      </c>
      <c r="H547" s="524">
        <v>1.3083000000000001E-3</v>
      </c>
      <c r="I547" s="523">
        <v>-1.22</v>
      </c>
      <c r="J547" s="448">
        <v>-1.17</v>
      </c>
      <c r="N547" s="590"/>
      <c r="O547" s="590"/>
      <c r="R547" s="440"/>
    </row>
    <row r="548" spans="1:18" s="559" customFormat="1">
      <c r="A548" s="521" t="s">
        <v>318</v>
      </c>
      <c r="B548" s="522" t="s">
        <v>680</v>
      </c>
      <c r="C548" s="423" t="s">
        <v>330</v>
      </c>
      <c r="D548" s="521" t="s">
        <v>681</v>
      </c>
      <c r="E548" s="522">
        <v>201604</v>
      </c>
      <c r="F548" s="523">
        <v>-1.87</v>
      </c>
      <c r="G548" s="521">
        <v>12.5</v>
      </c>
      <c r="H548" s="524">
        <v>1.3083000000000001E-3</v>
      </c>
      <c r="I548" s="523">
        <v>-0.03</v>
      </c>
      <c r="J548" s="448">
        <v>-0.03</v>
      </c>
      <c r="N548" s="590"/>
      <c r="O548" s="590"/>
      <c r="R548" s="440"/>
    </row>
    <row r="549" spans="1:18" s="559" customFormat="1">
      <c r="A549" s="521" t="s">
        <v>318</v>
      </c>
      <c r="B549" s="522" t="s">
        <v>641</v>
      </c>
      <c r="C549" s="423" t="s">
        <v>330</v>
      </c>
      <c r="D549" s="521" t="s">
        <v>642</v>
      </c>
      <c r="E549" s="522">
        <v>201604</v>
      </c>
      <c r="F549" s="523">
        <v>1.0900000000000001</v>
      </c>
      <c r="G549" s="521">
        <v>12.5</v>
      </c>
      <c r="H549" s="524">
        <v>1.3083000000000001E-3</v>
      </c>
      <c r="I549" s="523">
        <v>0.02</v>
      </c>
      <c r="J549" s="448">
        <v>0.02</v>
      </c>
      <c r="N549" s="590"/>
      <c r="O549" s="590"/>
      <c r="R549" s="440"/>
    </row>
    <row r="550" spans="1:18" s="559" customFormat="1">
      <c r="A550" s="521" t="s">
        <v>318</v>
      </c>
      <c r="B550" s="522" t="s">
        <v>641</v>
      </c>
      <c r="C550" s="423" t="s">
        <v>330</v>
      </c>
      <c r="D550" s="521" t="s">
        <v>642</v>
      </c>
      <c r="E550" s="522">
        <v>201604</v>
      </c>
      <c r="F550" s="523">
        <v>0.11</v>
      </c>
      <c r="G550" s="521">
        <v>12.5</v>
      </c>
      <c r="H550" s="524">
        <v>1.3083000000000001E-3</v>
      </c>
      <c r="I550" s="523">
        <v>0</v>
      </c>
      <c r="J550" s="448">
        <v>0</v>
      </c>
      <c r="N550" s="590"/>
      <c r="O550" s="590"/>
      <c r="R550" s="440"/>
    </row>
    <row r="551" spans="1:18" s="559" customFormat="1">
      <c r="A551" s="521" t="s">
        <v>318</v>
      </c>
      <c r="B551" s="522" t="s">
        <v>816</v>
      </c>
      <c r="C551" s="423" t="s">
        <v>329</v>
      </c>
      <c r="D551" s="521" t="s">
        <v>817</v>
      </c>
      <c r="E551" s="522">
        <v>201604</v>
      </c>
      <c r="F551" s="523">
        <v>30952.94</v>
      </c>
      <c r="G551" s="521">
        <v>12.5</v>
      </c>
      <c r="H551" s="524">
        <v>1.3083000000000001E-3</v>
      </c>
      <c r="I551" s="523">
        <v>506.2</v>
      </c>
      <c r="J551" s="448">
        <v>485.95</v>
      </c>
      <c r="N551" s="590"/>
      <c r="O551" s="590"/>
      <c r="R551" s="440"/>
    </row>
    <row r="552" spans="1:18" s="559" customFormat="1">
      <c r="A552" s="521" t="s">
        <v>318</v>
      </c>
      <c r="B552" s="522" t="s">
        <v>816</v>
      </c>
      <c r="C552" s="423" t="s">
        <v>329</v>
      </c>
      <c r="D552" s="521" t="s">
        <v>817</v>
      </c>
      <c r="E552" s="522">
        <v>201604</v>
      </c>
      <c r="F552" s="523">
        <v>2766.14</v>
      </c>
      <c r="G552" s="521">
        <v>12.5</v>
      </c>
      <c r="H552" s="524">
        <v>1.3083000000000001E-3</v>
      </c>
      <c r="I552" s="523">
        <v>45.24</v>
      </c>
      <c r="J552" s="448">
        <v>43.43</v>
      </c>
      <c r="N552" s="590"/>
      <c r="O552" s="590"/>
      <c r="R552" s="440"/>
    </row>
    <row r="553" spans="1:18" s="559" customFormat="1">
      <c r="A553" s="521" t="s">
        <v>318</v>
      </c>
      <c r="B553" s="522" t="s">
        <v>612</v>
      </c>
      <c r="C553" s="423" t="s">
        <v>330</v>
      </c>
      <c r="D553" s="521" t="s">
        <v>613</v>
      </c>
      <c r="E553" s="522">
        <v>201604</v>
      </c>
      <c r="F553" s="523">
        <v>57.44</v>
      </c>
      <c r="G553" s="521">
        <v>12.5</v>
      </c>
      <c r="H553" s="524">
        <v>1.3083000000000001E-3</v>
      </c>
      <c r="I553" s="523">
        <v>0.94</v>
      </c>
      <c r="J553" s="448">
        <v>0.9</v>
      </c>
      <c r="N553" s="590"/>
      <c r="O553" s="590"/>
      <c r="R553" s="440"/>
    </row>
    <row r="554" spans="1:18" s="559" customFormat="1">
      <c r="A554" s="521" t="s">
        <v>318</v>
      </c>
      <c r="B554" s="522" t="s">
        <v>612</v>
      </c>
      <c r="C554" s="423" t="s">
        <v>330</v>
      </c>
      <c r="D554" s="521" t="s">
        <v>613</v>
      </c>
      <c r="E554" s="522">
        <v>201604</v>
      </c>
      <c r="F554" s="523">
        <v>1.19</v>
      </c>
      <c r="G554" s="521">
        <v>12.5</v>
      </c>
      <c r="H554" s="524">
        <v>1.3083000000000001E-3</v>
      </c>
      <c r="I554" s="523">
        <v>0.02</v>
      </c>
      <c r="J554" s="448">
        <v>0.02</v>
      </c>
      <c r="N554" s="590"/>
      <c r="O554" s="590"/>
      <c r="R554" s="440"/>
    </row>
    <row r="555" spans="1:18" s="559" customFormat="1">
      <c r="A555" s="521" t="s">
        <v>318</v>
      </c>
      <c r="B555" s="522" t="s">
        <v>684</v>
      </c>
      <c r="C555" s="423" t="s">
        <v>330</v>
      </c>
      <c r="D555" s="521" t="s">
        <v>685</v>
      </c>
      <c r="E555" s="522">
        <v>201604</v>
      </c>
      <c r="F555" s="523">
        <v>-7575.53</v>
      </c>
      <c r="G555" s="521">
        <v>12.5</v>
      </c>
      <c r="H555" s="524">
        <v>1.3083000000000001E-3</v>
      </c>
      <c r="I555" s="523">
        <v>-123.89</v>
      </c>
      <c r="J555" s="448">
        <v>-118.93</v>
      </c>
      <c r="N555" s="590"/>
      <c r="O555" s="590"/>
      <c r="R555" s="440"/>
    </row>
    <row r="556" spans="1:18" s="559" customFormat="1">
      <c r="A556" s="521" t="s">
        <v>318</v>
      </c>
      <c r="B556" s="522" t="s">
        <v>684</v>
      </c>
      <c r="C556" s="423" t="s">
        <v>330</v>
      </c>
      <c r="D556" s="521" t="s">
        <v>685</v>
      </c>
      <c r="E556" s="522">
        <v>201604</v>
      </c>
      <c r="F556" s="523">
        <v>-793.4</v>
      </c>
      <c r="G556" s="521">
        <v>12.5</v>
      </c>
      <c r="H556" s="524">
        <v>1.3083000000000001E-3</v>
      </c>
      <c r="I556" s="523">
        <v>-12.98</v>
      </c>
      <c r="J556" s="448">
        <v>-12.46</v>
      </c>
      <c r="N556" s="590"/>
      <c r="O556" s="590"/>
      <c r="R556" s="440"/>
    </row>
    <row r="557" spans="1:18" s="559" customFormat="1">
      <c r="A557" s="521" t="s">
        <v>318</v>
      </c>
      <c r="B557" s="522" t="s">
        <v>792</v>
      </c>
      <c r="C557" s="423" t="s">
        <v>329</v>
      </c>
      <c r="D557" s="521" t="s">
        <v>793</v>
      </c>
      <c r="E557" s="522">
        <v>201604</v>
      </c>
      <c r="F557" s="523">
        <v>42669.21</v>
      </c>
      <c r="G557" s="521">
        <v>12.5</v>
      </c>
      <c r="H557" s="524">
        <v>1.3083000000000001E-3</v>
      </c>
      <c r="I557" s="523">
        <v>697.8</v>
      </c>
      <c r="J557" s="448">
        <v>669.89</v>
      </c>
      <c r="N557" s="590"/>
      <c r="O557" s="590"/>
      <c r="R557" s="440"/>
    </row>
    <row r="558" spans="1:18" s="559" customFormat="1">
      <c r="A558" s="521" t="s">
        <v>318</v>
      </c>
      <c r="B558" s="522" t="s">
        <v>792</v>
      </c>
      <c r="C558" s="423" t="s">
        <v>329</v>
      </c>
      <c r="D558" s="521" t="s">
        <v>793</v>
      </c>
      <c r="E558" s="522">
        <v>201604</v>
      </c>
      <c r="F558" s="523">
        <v>11541.14</v>
      </c>
      <c r="G558" s="521">
        <v>12.5</v>
      </c>
      <c r="H558" s="524">
        <v>1.3083000000000001E-3</v>
      </c>
      <c r="I558" s="523">
        <v>188.74</v>
      </c>
      <c r="J558" s="448">
        <v>181.19</v>
      </c>
      <c r="N558" s="590"/>
      <c r="O558" s="590"/>
      <c r="R558" s="440"/>
    </row>
    <row r="559" spans="1:18" s="559" customFormat="1">
      <c r="A559" s="521" t="s">
        <v>318</v>
      </c>
      <c r="B559" s="522" t="s">
        <v>686</v>
      </c>
      <c r="C559" s="423" t="s">
        <v>329</v>
      </c>
      <c r="D559" s="521" t="s">
        <v>687</v>
      </c>
      <c r="E559" s="522">
        <v>201604</v>
      </c>
      <c r="F559" s="523">
        <v>21546.76</v>
      </c>
      <c r="G559" s="521">
        <v>12.5</v>
      </c>
      <c r="H559" s="524">
        <v>1.3083000000000001E-3</v>
      </c>
      <c r="I559" s="523">
        <v>352.37</v>
      </c>
      <c r="J559" s="448">
        <v>338.28</v>
      </c>
      <c r="N559" s="590"/>
      <c r="O559" s="590"/>
      <c r="R559" s="440"/>
    </row>
    <row r="560" spans="1:18" s="559" customFormat="1">
      <c r="A560" s="521" t="s">
        <v>318</v>
      </c>
      <c r="B560" s="522" t="s">
        <v>686</v>
      </c>
      <c r="C560" s="423" t="s">
        <v>329</v>
      </c>
      <c r="D560" s="521" t="s">
        <v>687</v>
      </c>
      <c r="E560" s="522">
        <v>201604</v>
      </c>
      <c r="F560" s="523">
        <v>1781.21</v>
      </c>
      <c r="G560" s="521">
        <v>12.5</v>
      </c>
      <c r="H560" s="524">
        <v>1.3083000000000001E-3</v>
      </c>
      <c r="I560" s="523">
        <v>29.13</v>
      </c>
      <c r="J560" s="448">
        <v>27.96</v>
      </c>
      <c r="N560" s="590"/>
      <c r="O560" s="590"/>
      <c r="R560" s="440"/>
    </row>
    <row r="561" spans="1:18" s="559" customFormat="1">
      <c r="A561" s="521" t="s">
        <v>318</v>
      </c>
      <c r="B561" s="522" t="s">
        <v>818</v>
      </c>
      <c r="C561" s="423" t="s">
        <v>329</v>
      </c>
      <c r="D561" s="521" t="s">
        <v>819</v>
      </c>
      <c r="E561" s="522">
        <v>201604</v>
      </c>
      <c r="F561" s="523">
        <v>30046.5</v>
      </c>
      <c r="G561" s="521">
        <v>12.5</v>
      </c>
      <c r="H561" s="524">
        <v>1.3083000000000001E-3</v>
      </c>
      <c r="I561" s="523">
        <v>491.37</v>
      </c>
      <c r="J561" s="448">
        <v>471.72</v>
      </c>
      <c r="N561" s="590"/>
      <c r="O561" s="590"/>
      <c r="R561" s="440"/>
    </row>
    <row r="562" spans="1:18" s="559" customFormat="1">
      <c r="A562" s="521" t="s">
        <v>318</v>
      </c>
      <c r="B562" s="522" t="s">
        <v>818</v>
      </c>
      <c r="C562" s="423" t="s">
        <v>329</v>
      </c>
      <c r="D562" s="521" t="s">
        <v>819</v>
      </c>
      <c r="E562" s="522">
        <v>201604</v>
      </c>
      <c r="F562" s="523">
        <v>4153.68</v>
      </c>
      <c r="G562" s="521">
        <v>12.5</v>
      </c>
      <c r="H562" s="524">
        <v>1.3083000000000001E-3</v>
      </c>
      <c r="I562" s="523">
        <v>67.930000000000007</v>
      </c>
      <c r="J562" s="448">
        <v>65.209999999999994</v>
      </c>
      <c r="N562" s="590"/>
      <c r="O562" s="590"/>
      <c r="R562" s="440"/>
    </row>
    <row r="563" spans="1:18" s="559" customFormat="1">
      <c r="A563" s="521" t="s">
        <v>318</v>
      </c>
      <c r="B563" s="522" t="s">
        <v>820</v>
      </c>
      <c r="C563" s="423" t="s">
        <v>329</v>
      </c>
      <c r="D563" s="521" t="s">
        <v>821</v>
      </c>
      <c r="E563" s="522">
        <v>201604</v>
      </c>
      <c r="F563" s="523">
        <v>21247.41</v>
      </c>
      <c r="G563" s="521">
        <v>12.5</v>
      </c>
      <c r="H563" s="524">
        <v>1.3083000000000001E-3</v>
      </c>
      <c r="I563" s="523">
        <v>347.47</v>
      </c>
      <c r="J563" s="448">
        <v>333.58</v>
      </c>
      <c r="N563" s="590"/>
      <c r="O563" s="590"/>
      <c r="R563" s="440"/>
    </row>
    <row r="564" spans="1:18" s="559" customFormat="1">
      <c r="A564" s="521" t="s">
        <v>318</v>
      </c>
      <c r="B564" s="522" t="s">
        <v>820</v>
      </c>
      <c r="C564" s="423" t="s">
        <v>329</v>
      </c>
      <c r="D564" s="521" t="s">
        <v>821</v>
      </c>
      <c r="E564" s="522">
        <v>201604</v>
      </c>
      <c r="F564" s="523">
        <v>1655.68</v>
      </c>
      <c r="G564" s="521">
        <v>12.5</v>
      </c>
      <c r="H564" s="524">
        <v>1.3083000000000001E-3</v>
      </c>
      <c r="I564" s="523">
        <v>27.08</v>
      </c>
      <c r="J564" s="448">
        <v>25.99</v>
      </c>
      <c r="N564" s="590"/>
      <c r="O564" s="590"/>
      <c r="R564" s="440"/>
    </row>
    <row r="565" spans="1:18" s="559" customFormat="1">
      <c r="A565" s="521" t="s">
        <v>318</v>
      </c>
      <c r="B565" s="522" t="s">
        <v>688</v>
      </c>
      <c r="C565" s="423" t="s">
        <v>329</v>
      </c>
      <c r="D565" s="521" t="s">
        <v>689</v>
      </c>
      <c r="E565" s="522">
        <v>201604</v>
      </c>
      <c r="F565" s="523">
        <v>-605.66</v>
      </c>
      <c r="G565" s="521">
        <v>12.5</v>
      </c>
      <c r="H565" s="524">
        <v>1.3083000000000001E-3</v>
      </c>
      <c r="I565" s="523">
        <v>-9.9</v>
      </c>
      <c r="J565" s="448">
        <v>-9.51</v>
      </c>
      <c r="N565" s="590"/>
      <c r="O565" s="590"/>
      <c r="R565" s="440"/>
    </row>
    <row r="566" spans="1:18" s="559" customFormat="1">
      <c r="A566" s="521" t="s">
        <v>322</v>
      </c>
      <c r="B566" s="522" t="s">
        <v>688</v>
      </c>
      <c r="C566" s="423" t="s">
        <v>329</v>
      </c>
      <c r="D566" s="521" t="s">
        <v>689</v>
      </c>
      <c r="E566" s="522">
        <v>201604</v>
      </c>
      <c r="F566" s="523">
        <v>-10.37</v>
      </c>
      <c r="G566" s="521">
        <v>12.5</v>
      </c>
      <c r="H566" s="524">
        <v>1.1999999999999999E-3</v>
      </c>
      <c r="I566" s="523">
        <v>-0.16</v>
      </c>
      <c r="J566" s="448">
        <v>-0.15</v>
      </c>
      <c r="N566" s="590"/>
      <c r="O566" s="590"/>
      <c r="R566" s="440"/>
    </row>
    <row r="567" spans="1:18" s="559" customFormat="1">
      <c r="A567" s="521" t="s">
        <v>318</v>
      </c>
      <c r="B567" s="522" t="s">
        <v>688</v>
      </c>
      <c r="C567" s="423" t="s">
        <v>329</v>
      </c>
      <c r="D567" s="521" t="s">
        <v>689</v>
      </c>
      <c r="E567" s="522">
        <v>201604</v>
      </c>
      <c r="F567" s="523">
        <v>-108.71</v>
      </c>
      <c r="G567" s="521">
        <v>12.5</v>
      </c>
      <c r="H567" s="524">
        <v>1.3083000000000001E-3</v>
      </c>
      <c r="I567" s="523">
        <v>-1.78</v>
      </c>
      <c r="J567" s="448">
        <v>-1.71</v>
      </c>
      <c r="N567" s="590"/>
      <c r="O567" s="590"/>
      <c r="R567" s="440"/>
    </row>
    <row r="568" spans="1:18" s="559" customFormat="1">
      <c r="A568" s="521" t="s">
        <v>318</v>
      </c>
      <c r="B568" s="522" t="s">
        <v>822</v>
      </c>
      <c r="C568" s="423" t="s">
        <v>330</v>
      </c>
      <c r="D568" s="521" t="s">
        <v>823</v>
      </c>
      <c r="E568" s="522">
        <v>201604</v>
      </c>
      <c r="F568" s="523">
        <v>18562.87</v>
      </c>
      <c r="G568" s="521">
        <v>12.5</v>
      </c>
      <c r="H568" s="524">
        <v>1.3083000000000001E-3</v>
      </c>
      <c r="I568" s="523">
        <v>303.57</v>
      </c>
      <c r="J568" s="448">
        <v>291.43</v>
      </c>
      <c r="N568" s="590"/>
      <c r="O568" s="590"/>
      <c r="R568" s="440"/>
    </row>
    <row r="569" spans="1:18" s="559" customFormat="1">
      <c r="A569" s="521" t="s">
        <v>318</v>
      </c>
      <c r="B569" s="522" t="s">
        <v>822</v>
      </c>
      <c r="C569" s="423" t="s">
        <v>330</v>
      </c>
      <c r="D569" s="521" t="s">
        <v>823</v>
      </c>
      <c r="E569" s="522">
        <v>201604</v>
      </c>
      <c r="F569" s="523">
        <v>1327.62</v>
      </c>
      <c r="G569" s="521">
        <v>12.5</v>
      </c>
      <c r="H569" s="524">
        <v>1.3083000000000001E-3</v>
      </c>
      <c r="I569" s="523">
        <v>21.71</v>
      </c>
      <c r="J569" s="448">
        <v>20.84</v>
      </c>
      <c r="N569" s="590"/>
      <c r="O569" s="590"/>
      <c r="R569" s="440"/>
    </row>
    <row r="570" spans="1:18" s="559" customFormat="1">
      <c r="A570" s="521" t="s">
        <v>318</v>
      </c>
      <c r="B570" s="522" t="s">
        <v>690</v>
      </c>
      <c r="C570" s="423" t="s">
        <v>330</v>
      </c>
      <c r="D570" s="521" t="s">
        <v>691</v>
      </c>
      <c r="E570" s="522">
        <v>201604</v>
      </c>
      <c r="F570" s="523">
        <v>10379.69</v>
      </c>
      <c r="G570" s="521">
        <v>12.5</v>
      </c>
      <c r="H570" s="524">
        <v>1.3083000000000001E-3</v>
      </c>
      <c r="I570" s="523">
        <v>169.75</v>
      </c>
      <c r="J570" s="448">
        <v>162.96</v>
      </c>
      <c r="N570" s="590"/>
      <c r="O570" s="590"/>
      <c r="R570" s="440"/>
    </row>
    <row r="571" spans="1:18" s="559" customFormat="1">
      <c r="A571" s="521" t="s">
        <v>318</v>
      </c>
      <c r="B571" s="522" t="s">
        <v>690</v>
      </c>
      <c r="C571" s="423" t="s">
        <v>330</v>
      </c>
      <c r="D571" s="521" t="s">
        <v>691</v>
      </c>
      <c r="E571" s="522">
        <v>201604</v>
      </c>
      <c r="F571" s="523">
        <v>396.15</v>
      </c>
      <c r="G571" s="521">
        <v>12.5</v>
      </c>
      <c r="H571" s="524">
        <v>1.3083000000000001E-3</v>
      </c>
      <c r="I571" s="523">
        <v>6.48</v>
      </c>
      <c r="J571" s="448">
        <v>6.22</v>
      </c>
      <c r="N571" s="590"/>
      <c r="O571" s="590"/>
      <c r="R571" s="440"/>
    </row>
    <row r="572" spans="1:18" s="559" customFormat="1">
      <c r="A572" s="521" t="s">
        <v>318</v>
      </c>
      <c r="B572" s="522" t="s">
        <v>824</v>
      </c>
      <c r="C572" s="423" t="s">
        <v>329</v>
      </c>
      <c r="D572" s="521" t="s">
        <v>825</v>
      </c>
      <c r="E572" s="522">
        <v>201604</v>
      </c>
      <c r="F572" s="523">
        <v>25242.23</v>
      </c>
      <c r="G572" s="521">
        <v>12.5</v>
      </c>
      <c r="H572" s="524">
        <v>1.3083000000000001E-3</v>
      </c>
      <c r="I572" s="523">
        <v>412.81</v>
      </c>
      <c r="J572" s="448">
        <v>396.29</v>
      </c>
      <c r="N572" s="590"/>
      <c r="O572" s="590"/>
      <c r="R572" s="440"/>
    </row>
    <row r="573" spans="1:18" s="559" customFormat="1">
      <c r="A573" s="521" t="s">
        <v>318</v>
      </c>
      <c r="B573" s="522" t="s">
        <v>824</v>
      </c>
      <c r="C573" s="423" t="s">
        <v>329</v>
      </c>
      <c r="D573" s="521" t="s">
        <v>825</v>
      </c>
      <c r="E573" s="522">
        <v>201604</v>
      </c>
      <c r="F573" s="523">
        <v>7549.69</v>
      </c>
      <c r="G573" s="521">
        <v>12.5</v>
      </c>
      <c r="H573" s="524">
        <v>1.3083000000000001E-3</v>
      </c>
      <c r="I573" s="523">
        <v>123.47</v>
      </c>
      <c r="J573" s="448">
        <v>118.53</v>
      </c>
      <c r="N573" s="590"/>
      <c r="O573" s="590"/>
      <c r="R573" s="440"/>
    </row>
    <row r="574" spans="1:18" s="559" customFormat="1">
      <c r="A574" s="521" t="s">
        <v>318</v>
      </c>
      <c r="B574" s="522" t="s">
        <v>692</v>
      </c>
      <c r="C574" s="423" t="s">
        <v>330</v>
      </c>
      <c r="D574" s="521" t="s">
        <v>693</v>
      </c>
      <c r="E574" s="522">
        <v>201604</v>
      </c>
      <c r="F574" s="523">
        <v>-7567.53</v>
      </c>
      <c r="G574" s="521">
        <v>12.5</v>
      </c>
      <c r="H574" s="524">
        <v>1.3083000000000001E-3</v>
      </c>
      <c r="I574" s="523">
        <v>-123.76</v>
      </c>
      <c r="J574" s="448">
        <v>-118.81</v>
      </c>
      <c r="N574" s="590"/>
      <c r="O574" s="590"/>
      <c r="R574" s="440"/>
    </row>
    <row r="575" spans="1:18" s="559" customFormat="1">
      <c r="A575" s="521" t="s">
        <v>318</v>
      </c>
      <c r="B575" s="522" t="s">
        <v>692</v>
      </c>
      <c r="C575" s="423" t="s">
        <v>330</v>
      </c>
      <c r="D575" s="521" t="s">
        <v>693</v>
      </c>
      <c r="E575" s="522">
        <v>201604</v>
      </c>
      <c r="F575" s="523">
        <v>-1505.46</v>
      </c>
      <c r="G575" s="521">
        <v>12.5</v>
      </c>
      <c r="H575" s="524">
        <v>1.3083000000000001E-3</v>
      </c>
      <c r="I575" s="523">
        <v>-24.62</v>
      </c>
      <c r="J575" s="448">
        <v>-23.64</v>
      </c>
      <c r="N575" s="590"/>
      <c r="O575" s="590"/>
      <c r="R575" s="440"/>
    </row>
    <row r="576" spans="1:18" s="559" customFormat="1">
      <c r="A576" s="521" t="s">
        <v>318</v>
      </c>
      <c r="B576" s="522" t="s">
        <v>694</v>
      </c>
      <c r="C576" s="423" t="s">
        <v>330</v>
      </c>
      <c r="D576" s="521" t="s">
        <v>695</v>
      </c>
      <c r="E576" s="522">
        <v>201604</v>
      </c>
      <c r="F576" s="523">
        <v>15.42</v>
      </c>
      <c r="G576" s="521">
        <v>12.5</v>
      </c>
      <c r="H576" s="524">
        <v>1.3083000000000001E-3</v>
      </c>
      <c r="I576" s="523">
        <v>0.25</v>
      </c>
      <c r="J576" s="448">
        <v>0.24</v>
      </c>
      <c r="N576" s="590"/>
      <c r="O576" s="590"/>
      <c r="R576" s="440"/>
    </row>
    <row r="577" spans="1:18" s="559" customFormat="1">
      <c r="A577" s="521" t="s">
        <v>318</v>
      </c>
      <c r="B577" s="522" t="s">
        <v>694</v>
      </c>
      <c r="C577" s="423" t="s">
        <v>330</v>
      </c>
      <c r="D577" s="521" t="s">
        <v>695</v>
      </c>
      <c r="E577" s="522">
        <v>201604</v>
      </c>
      <c r="F577" s="523">
        <v>0.51</v>
      </c>
      <c r="G577" s="521">
        <v>12.5</v>
      </c>
      <c r="H577" s="524">
        <v>1.3083000000000001E-3</v>
      </c>
      <c r="I577" s="523">
        <v>0.01</v>
      </c>
      <c r="J577" s="448">
        <v>0.01</v>
      </c>
      <c r="N577" s="590"/>
      <c r="O577" s="590"/>
      <c r="R577" s="440"/>
    </row>
    <row r="578" spans="1:18" s="559" customFormat="1">
      <c r="A578" s="521" t="s">
        <v>318</v>
      </c>
      <c r="B578" s="522" t="s">
        <v>696</v>
      </c>
      <c r="C578" s="423" t="s">
        <v>330</v>
      </c>
      <c r="D578" s="521" t="s">
        <v>697</v>
      </c>
      <c r="E578" s="522">
        <v>201604</v>
      </c>
      <c r="F578" s="523">
        <v>-6.01</v>
      </c>
      <c r="G578" s="521">
        <v>12.5</v>
      </c>
      <c r="H578" s="524">
        <v>1.3083000000000001E-3</v>
      </c>
      <c r="I578" s="523">
        <v>-0.1</v>
      </c>
      <c r="J578" s="448">
        <v>-0.09</v>
      </c>
      <c r="N578" s="590"/>
      <c r="O578" s="590"/>
      <c r="R578" s="440"/>
    </row>
    <row r="579" spans="1:18" s="559" customFormat="1">
      <c r="A579" s="521" t="s">
        <v>318</v>
      </c>
      <c r="B579" s="522" t="s">
        <v>696</v>
      </c>
      <c r="C579" s="423" t="s">
        <v>330</v>
      </c>
      <c r="D579" s="521" t="s">
        <v>697</v>
      </c>
      <c r="E579" s="522">
        <v>201604</v>
      </c>
      <c r="F579" s="523">
        <v>-0.56000000000000005</v>
      </c>
      <c r="G579" s="521">
        <v>12.5</v>
      </c>
      <c r="H579" s="524">
        <v>1.3083000000000001E-3</v>
      </c>
      <c r="I579" s="523">
        <v>-0.01</v>
      </c>
      <c r="J579" s="448">
        <v>-0.01</v>
      </c>
      <c r="N579" s="590"/>
      <c r="O579" s="590"/>
      <c r="R579" s="440"/>
    </row>
    <row r="580" spans="1:18" s="559" customFormat="1">
      <c r="A580" s="521" t="s">
        <v>318</v>
      </c>
      <c r="B580" s="522" t="s">
        <v>698</v>
      </c>
      <c r="C580" s="423" t="s">
        <v>330</v>
      </c>
      <c r="D580" s="521" t="s">
        <v>699</v>
      </c>
      <c r="E580" s="522">
        <v>201604</v>
      </c>
      <c r="F580" s="523">
        <v>817.1</v>
      </c>
      <c r="G580" s="521">
        <v>12.5</v>
      </c>
      <c r="H580" s="524">
        <v>1.3083000000000001E-3</v>
      </c>
      <c r="I580" s="523">
        <v>13.36</v>
      </c>
      <c r="J580" s="448">
        <v>12.83</v>
      </c>
      <c r="N580" s="590"/>
      <c r="O580" s="590"/>
      <c r="R580" s="440"/>
    </row>
    <row r="581" spans="1:18" s="559" customFormat="1">
      <c r="A581" s="521" t="s">
        <v>318</v>
      </c>
      <c r="B581" s="522" t="s">
        <v>698</v>
      </c>
      <c r="C581" s="423" t="s">
        <v>330</v>
      </c>
      <c r="D581" s="521" t="s">
        <v>699</v>
      </c>
      <c r="E581" s="522">
        <v>201604</v>
      </c>
      <c r="F581" s="523">
        <v>-839.79</v>
      </c>
      <c r="G581" s="521">
        <v>12.5</v>
      </c>
      <c r="H581" s="524">
        <v>1.3083000000000001E-3</v>
      </c>
      <c r="I581" s="523">
        <v>-13.73</v>
      </c>
      <c r="J581" s="448">
        <v>-13.18</v>
      </c>
      <c r="N581" s="590"/>
      <c r="O581" s="590"/>
      <c r="R581" s="440"/>
    </row>
    <row r="582" spans="1:18" s="559" customFormat="1">
      <c r="A582" s="521" t="s">
        <v>318</v>
      </c>
      <c r="B582" s="522" t="s">
        <v>700</v>
      </c>
      <c r="C582" s="423" t="s">
        <v>330</v>
      </c>
      <c r="D582" s="521" t="s">
        <v>701</v>
      </c>
      <c r="E582" s="522">
        <v>201604</v>
      </c>
      <c r="F582" s="523">
        <v>2481.3000000000002</v>
      </c>
      <c r="G582" s="521">
        <v>12.5</v>
      </c>
      <c r="H582" s="524">
        <v>1.3083000000000001E-3</v>
      </c>
      <c r="I582" s="523">
        <v>40.58</v>
      </c>
      <c r="J582" s="448">
        <v>38.96</v>
      </c>
      <c r="N582" s="590"/>
      <c r="O582" s="590"/>
      <c r="R582" s="440"/>
    </row>
    <row r="583" spans="1:18" s="559" customFormat="1">
      <c r="A583" s="521" t="s">
        <v>318</v>
      </c>
      <c r="B583" s="522" t="s">
        <v>700</v>
      </c>
      <c r="C583" s="423" t="s">
        <v>330</v>
      </c>
      <c r="D583" s="521" t="s">
        <v>701</v>
      </c>
      <c r="E583" s="522">
        <v>201604</v>
      </c>
      <c r="F583" s="523">
        <v>107.3</v>
      </c>
      <c r="G583" s="521">
        <v>12.5</v>
      </c>
      <c r="H583" s="524">
        <v>1.3083000000000001E-3</v>
      </c>
      <c r="I583" s="523">
        <v>1.75</v>
      </c>
      <c r="J583" s="448">
        <v>1.68</v>
      </c>
      <c r="N583" s="590"/>
      <c r="O583" s="590"/>
      <c r="R583" s="440"/>
    </row>
    <row r="584" spans="1:18" s="559" customFormat="1">
      <c r="A584" s="521" t="s">
        <v>318</v>
      </c>
      <c r="B584" s="522" t="s">
        <v>702</v>
      </c>
      <c r="C584" s="423" t="s">
        <v>330</v>
      </c>
      <c r="D584" s="521" t="s">
        <v>703</v>
      </c>
      <c r="E584" s="522">
        <v>201604</v>
      </c>
      <c r="F584" s="523">
        <v>15.43</v>
      </c>
      <c r="G584" s="521">
        <v>12.5</v>
      </c>
      <c r="H584" s="524">
        <v>1.3083000000000001E-3</v>
      </c>
      <c r="I584" s="523">
        <v>0.25</v>
      </c>
      <c r="J584" s="448">
        <v>0.24</v>
      </c>
      <c r="N584" s="590"/>
      <c r="O584" s="590"/>
      <c r="R584" s="440"/>
    </row>
    <row r="585" spans="1:18" s="559" customFormat="1">
      <c r="A585" s="521" t="s">
        <v>318</v>
      </c>
      <c r="B585" s="522" t="s">
        <v>826</v>
      </c>
      <c r="C585" s="423" t="s">
        <v>330</v>
      </c>
      <c r="D585" s="521" t="s">
        <v>827</v>
      </c>
      <c r="E585" s="522">
        <v>201604</v>
      </c>
      <c r="F585" s="523">
        <v>12969.2</v>
      </c>
      <c r="G585" s="521">
        <v>12.5</v>
      </c>
      <c r="H585" s="524">
        <v>1.3083000000000001E-3</v>
      </c>
      <c r="I585" s="523">
        <v>212.1</v>
      </c>
      <c r="J585" s="448">
        <v>203.61</v>
      </c>
      <c r="N585" s="590"/>
      <c r="O585" s="590"/>
      <c r="R585" s="440"/>
    </row>
    <row r="586" spans="1:18" s="559" customFormat="1">
      <c r="A586" s="521" t="s">
        <v>318</v>
      </c>
      <c r="B586" s="522" t="s">
        <v>826</v>
      </c>
      <c r="C586" s="423" t="s">
        <v>330</v>
      </c>
      <c r="D586" s="521" t="s">
        <v>827</v>
      </c>
      <c r="E586" s="522">
        <v>201604</v>
      </c>
      <c r="F586" s="523">
        <v>451.84</v>
      </c>
      <c r="G586" s="521">
        <v>12.5</v>
      </c>
      <c r="H586" s="524">
        <v>1.3083000000000001E-3</v>
      </c>
      <c r="I586" s="523">
        <v>7.39</v>
      </c>
      <c r="J586" s="448">
        <v>7.09</v>
      </c>
      <c r="N586" s="590"/>
      <c r="O586" s="590"/>
      <c r="R586" s="440"/>
    </row>
    <row r="587" spans="1:18" s="559" customFormat="1">
      <c r="A587" s="521" t="s">
        <v>322</v>
      </c>
      <c r="B587" s="522" t="s">
        <v>836</v>
      </c>
      <c r="C587" s="423" t="s">
        <v>330</v>
      </c>
      <c r="D587" s="521" t="s">
        <v>837</v>
      </c>
      <c r="E587" s="522">
        <v>201604</v>
      </c>
      <c r="F587" s="523">
        <v>8431.35</v>
      </c>
      <c r="G587" s="521">
        <v>12.5</v>
      </c>
      <c r="H587" s="524">
        <v>1.1999999999999999E-3</v>
      </c>
      <c r="I587" s="523">
        <v>126.47</v>
      </c>
      <c r="J587" s="448">
        <v>121.41</v>
      </c>
      <c r="N587" s="590"/>
      <c r="O587" s="590"/>
      <c r="R587" s="440"/>
    </row>
    <row r="588" spans="1:18" s="559" customFormat="1">
      <c r="A588" s="521" t="s">
        <v>318</v>
      </c>
      <c r="B588" s="522" t="s">
        <v>627</v>
      </c>
      <c r="C588" s="423" t="s">
        <v>330</v>
      </c>
      <c r="D588" s="521" t="s">
        <v>628</v>
      </c>
      <c r="E588" s="522">
        <v>201605</v>
      </c>
      <c r="F588" s="523">
        <v>491.43</v>
      </c>
      <c r="G588" s="521">
        <v>11.5</v>
      </c>
      <c r="H588" s="524">
        <v>1.3083000000000001E-3</v>
      </c>
      <c r="I588" s="523">
        <v>7.39</v>
      </c>
      <c r="J588" s="448">
        <v>7.72</v>
      </c>
      <c r="N588" s="590"/>
      <c r="O588" s="590"/>
      <c r="R588" s="440"/>
    </row>
    <row r="589" spans="1:18" s="559" customFormat="1">
      <c r="A589" s="521" t="s">
        <v>318</v>
      </c>
      <c r="B589" s="522" t="s">
        <v>320</v>
      </c>
      <c r="C589" s="423" t="s">
        <v>319</v>
      </c>
      <c r="D589" s="521" t="s">
        <v>321</v>
      </c>
      <c r="E589" s="522">
        <v>201605</v>
      </c>
      <c r="F589" s="523">
        <v>322.82</v>
      </c>
      <c r="G589" s="521">
        <v>11.5</v>
      </c>
      <c r="H589" s="524">
        <v>1.3083000000000001E-3</v>
      </c>
      <c r="I589" s="523">
        <v>4.8600000000000003</v>
      </c>
      <c r="J589" s="448">
        <v>5.07</v>
      </c>
      <c r="N589" s="590"/>
      <c r="O589" s="590"/>
      <c r="R589" s="440"/>
    </row>
    <row r="590" spans="1:18" s="559" customFormat="1">
      <c r="A590" s="521" t="s">
        <v>318</v>
      </c>
      <c r="B590" s="522" t="s">
        <v>323</v>
      </c>
      <c r="C590" s="423" t="s">
        <v>319</v>
      </c>
      <c r="D590" s="521" t="s">
        <v>324</v>
      </c>
      <c r="E590" s="522">
        <v>201605</v>
      </c>
      <c r="F590" s="523">
        <v>15271.77</v>
      </c>
      <c r="G590" s="521">
        <v>11.5</v>
      </c>
      <c r="H590" s="524">
        <v>1.3083000000000001E-3</v>
      </c>
      <c r="I590" s="523">
        <v>229.77</v>
      </c>
      <c r="J590" s="448">
        <v>239.76</v>
      </c>
      <c r="N590" s="590"/>
      <c r="O590" s="590"/>
      <c r="R590" s="440"/>
    </row>
    <row r="591" spans="1:18" s="559" customFormat="1">
      <c r="A591" s="521" t="s">
        <v>322</v>
      </c>
      <c r="B591" s="522" t="s">
        <v>325</v>
      </c>
      <c r="C591" s="423" t="s">
        <v>319</v>
      </c>
      <c r="D591" s="521" t="s">
        <v>326</v>
      </c>
      <c r="E591" s="522">
        <v>201605</v>
      </c>
      <c r="F591" s="523">
        <v>5561.94</v>
      </c>
      <c r="G591" s="521">
        <v>11.5</v>
      </c>
      <c r="H591" s="524">
        <v>1.1999999999999999E-3</v>
      </c>
      <c r="I591" s="523">
        <v>76.75</v>
      </c>
      <c r="J591" s="448">
        <v>80.09</v>
      </c>
      <c r="N591" s="590"/>
      <c r="O591" s="590"/>
      <c r="R591" s="440"/>
    </row>
    <row r="592" spans="1:18" s="559" customFormat="1">
      <c r="A592" s="521" t="s">
        <v>318</v>
      </c>
      <c r="B592" s="522" t="s">
        <v>327</v>
      </c>
      <c r="C592" s="423" t="s">
        <v>319</v>
      </c>
      <c r="D592" s="521" t="s">
        <v>328</v>
      </c>
      <c r="E592" s="522">
        <v>201605</v>
      </c>
      <c r="F592" s="523">
        <v>68040.83</v>
      </c>
      <c r="G592" s="521">
        <v>11.5</v>
      </c>
      <c r="H592" s="524">
        <v>1.3083000000000001E-3</v>
      </c>
      <c r="I592" s="523">
        <v>1023.7</v>
      </c>
      <c r="J592" s="448">
        <v>1068.21</v>
      </c>
      <c r="N592" s="590"/>
      <c r="O592" s="590"/>
      <c r="R592" s="440"/>
    </row>
    <row r="593" spans="1:18" s="559" customFormat="1">
      <c r="A593" s="521" t="s">
        <v>318</v>
      </c>
      <c r="B593" s="522" t="s">
        <v>546</v>
      </c>
      <c r="C593" s="423" t="s">
        <v>330</v>
      </c>
      <c r="D593" s="521" t="s">
        <v>547</v>
      </c>
      <c r="E593" s="522">
        <v>201605</v>
      </c>
      <c r="F593" s="523">
        <v>-1.72</v>
      </c>
      <c r="G593" s="521">
        <v>11.5</v>
      </c>
      <c r="H593" s="524">
        <v>1.3083000000000001E-3</v>
      </c>
      <c r="I593" s="523">
        <v>-0.03</v>
      </c>
      <c r="J593" s="448">
        <v>-0.03</v>
      </c>
      <c r="N593" s="590"/>
      <c r="O593" s="590"/>
      <c r="R593" s="440"/>
    </row>
    <row r="594" spans="1:18" s="559" customFormat="1">
      <c r="A594" s="521" t="s">
        <v>318</v>
      </c>
      <c r="B594" s="522" t="s">
        <v>546</v>
      </c>
      <c r="C594" s="423" t="s">
        <v>330</v>
      </c>
      <c r="D594" s="521" t="s">
        <v>547</v>
      </c>
      <c r="E594" s="522">
        <v>201605</v>
      </c>
      <c r="F594" s="523">
        <v>-0.06</v>
      </c>
      <c r="G594" s="521">
        <v>11.5</v>
      </c>
      <c r="H594" s="524">
        <v>1.3083000000000001E-3</v>
      </c>
      <c r="I594" s="523">
        <v>0</v>
      </c>
      <c r="J594" s="448">
        <v>0</v>
      </c>
      <c r="N594" s="590"/>
      <c r="O594" s="590"/>
      <c r="R594" s="440"/>
    </row>
    <row r="595" spans="1:18" s="559" customFormat="1">
      <c r="A595" s="521" t="s">
        <v>318</v>
      </c>
      <c r="B595" s="522" t="s">
        <v>589</v>
      </c>
      <c r="C595" s="423" t="s">
        <v>330</v>
      </c>
      <c r="D595" s="521" t="s">
        <v>590</v>
      </c>
      <c r="E595" s="522">
        <v>201605</v>
      </c>
      <c r="F595" s="523">
        <v>126590.08</v>
      </c>
      <c r="G595" s="521">
        <v>11.5</v>
      </c>
      <c r="H595" s="524">
        <v>1.3083000000000001E-3</v>
      </c>
      <c r="I595" s="523">
        <v>1904.6</v>
      </c>
      <c r="J595" s="448">
        <v>1987.41</v>
      </c>
      <c r="N595" s="590"/>
      <c r="O595" s="590"/>
      <c r="R595" s="440"/>
    </row>
    <row r="596" spans="1:18" s="559" customFormat="1">
      <c r="A596" s="521" t="s">
        <v>318</v>
      </c>
      <c r="B596" s="522" t="s">
        <v>589</v>
      </c>
      <c r="C596" s="423" t="s">
        <v>330</v>
      </c>
      <c r="D596" s="521" t="s">
        <v>590</v>
      </c>
      <c r="E596" s="522">
        <v>201605</v>
      </c>
      <c r="F596" s="523">
        <v>4772.04</v>
      </c>
      <c r="G596" s="521">
        <v>11.5</v>
      </c>
      <c r="H596" s="524">
        <v>1.3083000000000001E-3</v>
      </c>
      <c r="I596" s="523">
        <v>71.8</v>
      </c>
      <c r="J596" s="448">
        <v>74.92</v>
      </c>
      <c r="N596" s="590"/>
      <c r="O596" s="590"/>
      <c r="R596" s="440"/>
    </row>
    <row r="597" spans="1:18" s="559" customFormat="1">
      <c r="A597" s="521" t="s">
        <v>322</v>
      </c>
      <c r="B597" s="522" t="s">
        <v>643</v>
      </c>
      <c r="C597" s="423" t="s">
        <v>330</v>
      </c>
      <c r="D597" s="521" t="s">
        <v>644</v>
      </c>
      <c r="E597" s="522">
        <v>201605</v>
      </c>
      <c r="F597" s="523">
        <v>64.959999999999994</v>
      </c>
      <c r="G597" s="521">
        <v>11.5</v>
      </c>
      <c r="H597" s="524">
        <v>1.1999999999999999E-3</v>
      </c>
      <c r="I597" s="523">
        <v>0.9</v>
      </c>
      <c r="J597" s="448">
        <v>0.94</v>
      </c>
      <c r="N597" s="590"/>
      <c r="O597" s="590"/>
      <c r="R597" s="440"/>
    </row>
    <row r="598" spans="1:18" s="559" customFormat="1">
      <c r="A598" s="521" t="s">
        <v>318</v>
      </c>
      <c r="B598" s="522" t="s">
        <v>643</v>
      </c>
      <c r="C598" s="423" t="s">
        <v>330</v>
      </c>
      <c r="D598" s="521" t="s">
        <v>644</v>
      </c>
      <c r="E598" s="522">
        <v>201605</v>
      </c>
      <c r="F598" s="523">
        <v>4461.34</v>
      </c>
      <c r="G598" s="521">
        <v>11.5</v>
      </c>
      <c r="H598" s="524">
        <v>1.3083000000000001E-3</v>
      </c>
      <c r="I598" s="523">
        <v>67.12</v>
      </c>
      <c r="J598" s="448">
        <v>70.040000000000006</v>
      </c>
      <c r="N598" s="590"/>
      <c r="O598" s="590"/>
      <c r="R598" s="440"/>
    </row>
    <row r="599" spans="1:18" s="559" customFormat="1">
      <c r="A599" s="521" t="s">
        <v>318</v>
      </c>
      <c r="B599" s="522" t="s">
        <v>643</v>
      </c>
      <c r="C599" s="423" t="s">
        <v>330</v>
      </c>
      <c r="D599" s="521" t="s">
        <v>644</v>
      </c>
      <c r="E599" s="522">
        <v>201605</v>
      </c>
      <c r="F599" s="523">
        <v>312.12</v>
      </c>
      <c r="G599" s="521">
        <v>11.5</v>
      </c>
      <c r="H599" s="524">
        <v>1.3083000000000001E-3</v>
      </c>
      <c r="I599" s="523">
        <v>4.7</v>
      </c>
      <c r="J599" s="448">
        <v>4.9000000000000004</v>
      </c>
      <c r="N599" s="590"/>
      <c r="O599" s="590"/>
      <c r="R599" s="440"/>
    </row>
    <row r="600" spans="1:18" s="559" customFormat="1">
      <c r="A600" s="521" t="s">
        <v>318</v>
      </c>
      <c r="B600" s="522" t="s">
        <v>800</v>
      </c>
      <c r="C600" s="423" t="s">
        <v>330</v>
      </c>
      <c r="D600" s="521" t="s">
        <v>830</v>
      </c>
      <c r="E600" s="522">
        <v>201605</v>
      </c>
      <c r="F600" s="523">
        <v>8123.01</v>
      </c>
      <c r="G600" s="521">
        <v>11.5</v>
      </c>
      <c r="H600" s="524">
        <v>1.3083000000000001E-3</v>
      </c>
      <c r="I600" s="523">
        <v>122.21</v>
      </c>
      <c r="J600" s="448">
        <v>127.53</v>
      </c>
      <c r="N600" s="590"/>
      <c r="O600" s="590"/>
      <c r="R600" s="440"/>
    </row>
    <row r="601" spans="1:18" s="559" customFormat="1">
      <c r="A601" s="521" t="s">
        <v>318</v>
      </c>
      <c r="B601" s="522" t="s">
        <v>800</v>
      </c>
      <c r="C601" s="423" t="s">
        <v>330</v>
      </c>
      <c r="D601" s="521" t="s">
        <v>830</v>
      </c>
      <c r="E601" s="522">
        <v>201605</v>
      </c>
      <c r="F601" s="523">
        <v>455.3</v>
      </c>
      <c r="G601" s="521">
        <v>11.5</v>
      </c>
      <c r="H601" s="524">
        <v>1.3083000000000001E-3</v>
      </c>
      <c r="I601" s="523">
        <v>6.85</v>
      </c>
      <c r="J601" s="448">
        <v>7.15</v>
      </c>
      <c r="N601" s="590"/>
      <c r="O601" s="590"/>
      <c r="R601" s="440"/>
    </row>
    <row r="602" spans="1:18" s="559" customFormat="1">
      <c r="A602" s="521" t="s">
        <v>318</v>
      </c>
      <c r="B602" s="522" t="s">
        <v>451</v>
      </c>
      <c r="C602" s="423" t="s">
        <v>330</v>
      </c>
      <c r="D602" s="521" t="s">
        <v>452</v>
      </c>
      <c r="E602" s="522">
        <v>201605</v>
      </c>
      <c r="F602" s="523">
        <v>4.12</v>
      </c>
      <c r="G602" s="521">
        <v>11.5</v>
      </c>
      <c r="H602" s="524">
        <v>1.3083000000000001E-3</v>
      </c>
      <c r="I602" s="523">
        <v>0.06</v>
      </c>
      <c r="J602" s="448">
        <v>0.06</v>
      </c>
      <c r="N602" s="590"/>
      <c r="O602" s="590"/>
      <c r="R602" s="440"/>
    </row>
    <row r="603" spans="1:18" s="559" customFormat="1">
      <c r="A603" s="521" t="s">
        <v>318</v>
      </c>
      <c r="B603" s="522" t="s">
        <v>451</v>
      </c>
      <c r="C603" s="423" t="s">
        <v>330</v>
      </c>
      <c r="D603" s="521" t="s">
        <v>452</v>
      </c>
      <c r="E603" s="522">
        <v>201605</v>
      </c>
      <c r="F603" s="523">
        <v>0.11</v>
      </c>
      <c r="G603" s="521">
        <v>11.5</v>
      </c>
      <c r="H603" s="524">
        <v>1.3083000000000001E-3</v>
      </c>
      <c r="I603" s="523">
        <v>0</v>
      </c>
      <c r="J603" s="448">
        <v>0</v>
      </c>
      <c r="N603" s="590"/>
      <c r="O603" s="590"/>
      <c r="R603" s="440"/>
    </row>
    <row r="604" spans="1:18" s="559" customFormat="1">
      <c r="A604" s="521" t="s">
        <v>318</v>
      </c>
      <c r="B604" s="522" t="s">
        <v>645</v>
      </c>
      <c r="C604" s="423" t="s">
        <v>330</v>
      </c>
      <c r="D604" s="521" t="s">
        <v>646</v>
      </c>
      <c r="E604" s="522">
        <v>201605</v>
      </c>
      <c r="F604" s="523">
        <v>-8.34</v>
      </c>
      <c r="G604" s="521">
        <v>11.5</v>
      </c>
      <c r="H604" s="524">
        <v>1.3083000000000001E-3</v>
      </c>
      <c r="I604" s="523">
        <v>-0.13</v>
      </c>
      <c r="J604" s="448">
        <v>-0.13</v>
      </c>
      <c r="N604" s="590"/>
      <c r="O604" s="590"/>
      <c r="R604" s="440"/>
    </row>
    <row r="605" spans="1:18" s="559" customFormat="1">
      <c r="A605" s="521" t="s">
        <v>318</v>
      </c>
      <c r="B605" s="522" t="s">
        <v>645</v>
      </c>
      <c r="C605" s="423" t="s">
        <v>330</v>
      </c>
      <c r="D605" s="521" t="s">
        <v>646</v>
      </c>
      <c r="E605" s="522">
        <v>201605</v>
      </c>
      <c r="F605" s="523">
        <v>-0.19</v>
      </c>
      <c r="G605" s="521">
        <v>11.5</v>
      </c>
      <c r="H605" s="524">
        <v>1.3083000000000001E-3</v>
      </c>
      <c r="I605" s="523">
        <v>0</v>
      </c>
      <c r="J605" s="448">
        <v>0</v>
      </c>
      <c r="N605" s="590"/>
      <c r="O605" s="590"/>
      <c r="R605" s="440"/>
    </row>
    <row r="606" spans="1:18" s="559" customFormat="1">
      <c r="A606" s="521" t="s">
        <v>318</v>
      </c>
      <c r="B606" s="522" t="s">
        <v>647</v>
      </c>
      <c r="C606" s="423" t="s">
        <v>330</v>
      </c>
      <c r="D606" s="521" t="s">
        <v>648</v>
      </c>
      <c r="E606" s="522">
        <v>201605</v>
      </c>
      <c r="F606" s="523">
        <v>201.96</v>
      </c>
      <c r="G606" s="521">
        <v>11.5</v>
      </c>
      <c r="H606" s="524">
        <v>1.3083000000000001E-3</v>
      </c>
      <c r="I606" s="523">
        <v>3.04</v>
      </c>
      <c r="J606" s="448">
        <v>3.17</v>
      </c>
      <c r="N606" s="590"/>
      <c r="O606" s="590"/>
      <c r="R606" s="440"/>
    </row>
    <row r="607" spans="1:18" s="559" customFormat="1">
      <c r="A607" s="521" t="s">
        <v>318</v>
      </c>
      <c r="B607" s="522" t="s">
        <v>647</v>
      </c>
      <c r="C607" s="423" t="s">
        <v>330</v>
      </c>
      <c r="D607" s="521" t="s">
        <v>648</v>
      </c>
      <c r="E607" s="522">
        <v>201605</v>
      </c>
      <c r="F607" s="523">
        <v>0.94</v>
      </c>
      <c r="G607" s="521">
        <v>11.5</v>
      </c>
      <c r="H607" s="524">
        <v>1.3083000000000001E-3</v>
      </c>
      <c r="I607" s="523">
        <v>0.01</v>
      </c>
      <c r="J607" s="448">
        <v>0.01</v>
      </c>
      <c r="N607" s="590"/>
      <c r="O607" s="590"/>
      <c r="R607" s="440"/>
    </row>
    <row r="608" spans="1:18" s="559" customFormat="1">
      <c r="A608" s="521" t="s">
        <v>318</v>
      </c>
      <c r="B608" s="522" t="s">
        <v>784</v>
      </c>
      <c r="C608" s="423" t="s">
        <v>330</v>
      </c>
      <c r="D608" s="521" t="s">
        <v>785</v>
      </c>
      <c r="E608" s="522">
        <v>201605</v>
      </c>
      <c r="F608" s="523">
        <v>8461.58</v>
      </c>
      <c r="G608" s="521">
        <v>11.5</v>
      </c>
      <c r="H608" s="524">
        <v>1.3083000000000001E-3</v>
      </c>
      <c r="I608" s="523">
        <v>127.31</v>
      </c>
      <c r="J608" s="448">
        <v>132.84</v>
      </c>
      <c r="N608" s="590"/>
      <c r="O608" s="590"/>
      <c r="R608" s="440"/>
    </row>
    <row r="609" spans="1:18" s="559" customFormat="1">
      <c r="A609" s="521" t="s">
        <v>318</v>
      </c>
      <c r="B609" s="522" t="s">
        <v>784</v>
      </c>
      <c r="C609" s="423" t="s">
        <v>330</v>
      </c>
      <c r="D609" s="521" t="s">
        <v>785</v>
      </c>
      <c r="E609" s="522">
        <v>201605</v>
      </c>
      <c r="F609" s="523">
        <v>53.25</v>
      </c>
      <c r="G609" s="521">
        <v>11.5</v>
      </c>
      <c r="H609" s="524">
        <v>1.3083000000000001E-3</v>
      </c>
      <c r="I609" s="523">
        <v>0.8</v>
      </c>
      <c r="J609" s="448">
        <v>0.84</v>
      </c>
      <c r="N609" s="590"/>
      <c r="O609" s="590"/>
      <c r="R609" s="440"/>
    </row>
    <row r="610" spans="1:18" s="559" customFormat="1">
      <c r="A610" s="521" t="s">
        <v>318</v>
      </c>
      <c r="B610" s="522" t="s">
        <v>629</v>
      </c>
      <c r="C610" s="423" t="s">
        <v>330</v>
      </c>
      <c r="D610" s="521" t="s">
        <v>630</v>
      </c>
      <c r="E610" s="522">
        <v>201605</v>
      </c>
      <c r="F610" s="523">
        <v>6.61</v>
      </c>
      <c r="G610" s="521">
        <v>11.5</v>
      </c>
      <c r="H610" s="524">
        <v>1.3083000000000001E-3</v>
      </c>
      <c r="I610" s="523">
        <v>0.1</v>
      </c>
      <c r="J610" s="448">
        <v>0.1</v>
      </c>
      <c r="N610" s="590"/>
      <c r="O610" s="590"/>
      <c r="R610" s="440"/>
    </row>
    <row r="611" spans="1:18" s="559" customFormat="1">
      <c r="A611" s="521" t="s">
        <v>318</v>
      </c>
      <c r="B611" s="522" t="s">
        <v>629</v>
      </c>
      <c r="C611" s="423" t="s">
        <v>330</v>
      </c>
      <c r="D611" s="521" t="s">
        <v>630</v>
      </c>
      <c r="E611" s="522">
        <v>201605</v>
      </c>
      <c r="F611" s="523">
        <v>0.16</v>
      </c>
      <c r="G611" s="521">
        <v>11.5</v>
      </c>
      <c r="H611" s="524">
        <v>1.3083000000000001E-3</v>
      </c>
      <c r="I611" s="523">
        <v>0</v>
      </c>
      <c r="J611" s="448">
        <v>0</v>
      </c>
      <c r="N611" s="590"/>
      <c r="O611" s="590"/>
      <c r="R611" s="440"/>
    </row>
    <row r="612" spans="1:18" s="559" customFormat="1">
      <c r="A612" s="521" t="s">
        <v>318</v>
      </c>
      <c r="B612" s="522" t="s">
        <v>592</v>
      </c>
      <c r="C612" s="423" t="s">
        <v>329</v>
      </c>
      <c r="D612" s="521" t="s">
        <v>593</v>
      </c>
      <c r="E612" s="522">
        <v>201605</v>
      </c>
      <c r="F612" s="523">
        <v>-1.53</v>
      </c>
      <c r="G612" s="521">
        <v>11.5</v>
      </c>
      <c r="H612" s="524">
        <v>1.3083000000000001E-3</v>
      </c>
      <c r="I612" s="523">
        <v>-0.02</v>
      </c>
      <c r="J612" s="448">
        <v>-0.02</v>
      </c>
      <c r="N612" s="590"/>
      <c r="O612" s="590"/>
      <c r="R612" s="440"/>
    </row>
    <row r="613" spans="1:18" s="559" customFormat="1">
      <c r="A613" s="521" t="s">
        <v>318</v>
      </c>
      <c r="B613" s="522" t="s">
        <v>592</v>
      </c>
      <c r="C613" s="423" t="s">
        <v>329</v>
      </c>
      <c r="D613" s="521" t="s">
        <v>593</v>
      </c>
      <c r="E613" s="522">
        <v>201605</v>
      </c>
      <c r="F613" s="523">
        <v>-0.16</v>
      </c>
      <c r="G613" s="521">
        <v>11.5</v>
      </c>
      <c r="H613" s="524">
        <v>1.3083000000000001E-3</v>
      </c>
      <c r="I613" s="523">
        <v>0</v>
      </c>
      <c r="J613" s="448">
        <v>0</v>
      </c>
      <c r="N613" s="590"/>
      <c r="O613" s="590"/>
      <c r="R613" s="440"/>
    </row>
    <row r="614" spans="1:18" s="559" customFormat="1">
      <c r="A614" s="521" t="s">
        <v>318</v>
      </c>
      <c r="B614" s="522" t="s">
        <v>631</v>
      </c>
      <c r="C614" s="423" t="s">
        <v>330</v>
      </c>
      <c r="D614" s="521" t="s">
        <v>632</v>
      </c>
      <c r="E614" s="522">
        <v>201605</v>
      </c>
      <c r="F614" s="523">
        <v>36.380000000000003</v>
      </c>
      <c r="G614" s="521">
        <v>11.5</v>
      </c>
      <c r="H614" s="524">
        <v>1.3083000000000001E-3</v>
      </c>
      <c r="I614" s="523">
        <v>0.55000000000000004</v>
      </c>
      <c r="J614" s="448">
        <v>0.56999999999999995</v>
      </c>
      <c r="N614" s="590"/>
      <c r="O614" s="590"/>
      <c r="R614" s="440"/>
    </row>
    <row r="615" spans="1:18" s="559" customFormat="1">
      <c r="A615" s="521" t="s">
        <v>318</v>
      </c>
      <c r="B615" s="522" t="s">
        <v>631</v>
      </c>
      <c r="C615" s="423" t="s">
        <v>330</v>
      </c>
      <c r="D615" s="521" t="s">
        <v>632</v>
      </c>
      <c r="E615" s="522">
        <v>201605</v>
      </c>
      <c r="F615" s="523">
        <v>0.66</v>
      </c>
      <c r="G615" s="521">
        <v>11.5</v>
      </c>
      <c r="H615" s="524">
        <v>1.3083000000000001E-3</v>
      </c>
      <c r="I615" s="523">
        <v>0.01</v>
      </c>
      <c r="J615" s="448">
        <v>0.01</v>
      </c>
      <c r="N615" s="590"/>
      <c r="O615" s="590"/>
      <c r="R615" s="440"/>
    </row>
    <row r="616" spans="1:18" s="559" customFormat="1">
      <c r="A616" s="521" t="s">
        <v>318</v>
      </c>
      <c r="B616" s="522" t="s">
        <v>649</v>
      </c>
      <c r="C616" s="423" t="s">
        <v>330</v>
      </c>
      <c r="D616" s="521" t="s">
        <v>650</v>
      </c>
      <c r="E616" s="522">
        <v>201605</v>
      </c>
      <c r="F616" s="523">
        <v>-61823.74</v>
      </c>
      <c r="G616" s="521">
        <v>11.5</v>
      </c>
      <c r="H616" s="524">
        <v>1.3083000000000001E-3</v>
      </c>
      <c r="I616" s="523">
        <v>-930.17</v>
      </c>
      <c r="J616" s="448">
        <v>-970.61</v>
      </c>
      <c r="N616" s="590"/>
      <c r="O616" s="590"/>
      <c r="R616" s="440"/>
    </row>
    <row r="617" spans="1:18" s="559" customFormat="1">
      <c r="A617" s="521" t="s">
        <v>318</v>
      </c>
      <c r="B617" s="522" t="s">
        <v>649</v>
      </c>
      <c r="C617" s="423" t="s">
        <v>330</v>
      </c>
      <c r="D617" s="521" t="s">
        <v>650</v>
      </c>
      <c r="E617" s="522">
        <v>201605</v>
      </c>
      <c r="F617" s="523">
        <v>40028.519999999997</v>
      </c>
      <c r="G617" s="521">
        <v>11.5</v>
      </c>
      <c r="H617" s="524">
        <v>1.3083000000000001E-3</v>
      </c>
      <c r="I617" s="523">
        <v>602.25</v>
      </c>
      <c r="J617" s="448">
        <v>628.42999999999995</v>
      </c>
      <c r="N617" s="590"/>
      <c r="O617" s="590"/>
      <c r="R617" s="440"/>
    </row>
    <row r="618" spans="1:18" s="559" customFormat="1">
      <c r="A618" s="521" t="s">
        <v>318</v>
      </c>
      <c r="B618" s="522" t="s">
        <v>838</v>
      </c>
      <c r="C618" s="423" t="s">
        <v>330</v>
      </c>
      <c r="D618" s="521" t="s">
        <v>839</v>
      </c>
      <c r="E618" s="522">
        <v>201605</v>
      </c>
      <c r="F618" s="523">
        <v>497742.08000000002</v>
      </c>
      <c r="G618" s="521">
        <v>11.5</v>
      </c>
      <c r="H618" s="524">
        <v>1.3083000000000001E-3</v>
      </c>
      <c r="I618" s="523">
        <v>7488.75</v>
      </c>
      <c r="J618" s="448">
        <v>7814.35</v>
      </c>
      <c r="N618" s="590"/>
      <c r="O618" s="590"/>
      <c r="R618" s="440"/>
    </row>
    <row r="619" spans="1:18" s="559" customFormat="1">
      <c r="A619" s="521" t="s">
        <v>318</v>
      </c>
      <c r="B619" s="522" t="s">
        <v>838</v>
      </c>
      <c r="C619" s="423" t="s">
        <v>330</v>
      </c>
      <c r="D619" s="521" t="s">
        <v>839</v>
      </c>
      <c r="E619" s="522">
        <v>201605</v>
      </c>
      <c r="F619" s="523">
        <v>10347.459999999999</v>
      </c>
      <c r="G619" s="521">
        <v>11.5</v>
      </c>
      <c r="H619" s="524">
        <v>1.3083000000000001E-3</v>
      </c>
      <c r="I619" s="523">
        <v>155.68</v>
      </c>
      <c r="J619" s="448">
        <v>162.44999999999999</v>
      </c>
      <c r="N619" s="590"/>
      <c r="O619" s="590"/>
      <c r="R619" s="440"/>
    </row>
    <row r="620" spans="1:18" s="559" customFormat="1">
      <c r="A620" s="521" t="s">
        <v>318</v>
      </c>
      <c r="B620" s="522" t="s">
        <v>651</v>
      </c>
      <c r="C620" s="423" t="s">
        <v>330</v>
      </c>
      <c r="D620" s="521" t="s">
        <v>652</v>
      </c>
      <c r="E620" s="522">
        <v>201605</v>
      </c>
      <c r="F620" s="523">
        <v>11063.4</v>
      </c>
      <c r="G620" s="521">
        <v>11.5</v>
      </c>
      <c r="H620" s="524">
        <v>1.3083000000000001E-3</v>
      </c>
      <c r="I620" s="523">
        <v>166.45</v>
      </c>
      <c r="J620" s="448">
        <v>173.69</v>
      </c>
      <c r="N620" s="590"/>
      <c r="O620" s="590"/>
      <c r="R620" s="440"/>
    </row>
    <row r="621" spans="1:18" s="559" customFormat="1">
      <c r="A621" s="521" t="s">
        <v>318</v>
      </c>
      <c r="B621" s="522" t="s">
        <v>651</v>
      </c>
      <c r="C621" s="423" t="s">
        <v>330</v>
      </c>
      <c r="D621" s="521" t="s">
        <v>652</v>
      </c>
      <c r="E621" s="522">
        <v>201605</v>
      </c>
      <c r="F621" s="523">
        <v>824</v>
      </c>
      <c r="G621" s="521">
        <v>11.5</v>
      </c>
      <c r="H621" s="524">
        <v>1.3083000000000001E-3</v>
      </c>
      <c r="I621" s="523">
        <v>12.4</v>
      </c>
      <c r="J621" s="448">
        <v>12.94</v>
      </c>
      <c r="N621" s="590"/>
      <c r="O621" s="590"/>
      <c r="R621" s="440"/>
    </row>
    <row r="622" spans="1:18" s="559" customFormat="1">
      <c r="A622" s="521" t="s">
        <v>318</v>
      </c>
      <c r="B622" s="522" t="s">
        <v>786</v>
      </c>
      <c r="C622" s="423" t="s">
        <v>330</v>
      </c>
      <c r="D622" s="521" t="s">
        <v>787</v>
      </c>
      <c r="E622" s="522">
        <v>201605</v>
      </c>
      <c r="F622" s="523">
        <v>-137830.10999999999</v>
      </c>
      <c r="G622" s="521">
        <v>11.5</v>
      </c>
      <c r="H622" s="524">
        <v>1.3083000000000001E-3</v>
      </c>
      <c r="I622" s="523">
        <v>-2073.7199999999998</v>
      </c>
      <c r="J622" s="448">
        <v>-2163.88</v>
      </c>
      <c r="N622" s="590"/>
      <c r="O622" s="590"/>
      <c r="R622" s="440"/>
    </row>
    <row r="623" spans="1:18" s="559" customFormat="1">
      <c r="A623" s="521" t="s">
        <v>318</v>
      </c>
      <c r="B623" s="522" t="s">
        <v>786</v>
      </c>
      <c r="C623" s="423" t="s">
        <v>330</v>
      </c>
      <c r="D623" s="521" t="s">
        <v>787</v>
      </c>
      <c r="E623" s="522">
        <v>201605</v>
      </c>
      <c r="F623" s="523">
        <v>-27445.52</v>
      </c>
      <c r="G623" s="521">
        <v>11.5</v>
      </c>
      <c r="H623" s="524">
        <v>1.3083000000000001E-3</v>
      </c>
      <c r="I623" s="523">
        <v>-412.93</v>
      </c>
      <c r="J623" s="448">
        <v>-430.88</v>
      </c>
      <c r="N623" s="590"/>
      <c r="O623" s="590"/>
      <c r="R623" s="440"/>
    </row>
    <row r="624" spans="1:18" s="559" customFormat="1">
      <c r="A624" s="521" t="s">
        <v>318</v>
      </c>
      <c r="B624" s="522" t="s">
        <v>653</v>
      </c>
      <c r="C624" s="423" t="s">
        <v>330</v>
      </c>
      <c r="D624" s="521" t="s">
        <v>654</v>
      </c>
      <c r="E624" s="522">
        <v>201605</v>
      </c>
      <c r="F624" s="523">
        <v>-15914.78</v>
      </c>
      <c r="G624" s="521">
        <v>11.5</v>
      </c>
      <c r="H624" s="524">
        <v>1.3083000000000001E-3</v>
      </c>
      <c r="I624" s="523">
        <v>-239.45</v>
      </c>
      <c r="J624" s="448">
        <v>-249.86</v>
      </c>
      <c r="N624" s="590"/>
      <c r="O624" s="590"/>
      <c r="R624" s="440"/>
    </row>
    <row r="625" spans="1:18" s="559" customFormat="1">
      <c r="A625" s="521" t="s">
        <v>318</v>
      </c>
      <c r="B625" s="522" t="s">
        <v>653</v>
      </c>
      <c r="C625" s="423" t="s">
        <v>330</v>
      </c>
      <c r="D625" s="521" t="s">
        <v>654</v>
      </c>
      <c r="E625" s="522">
        <v>201605</v>
      </c>
      <c r="F625" s="523">
        <v>13053.87</v>
      </c>
      <c r="G625" s="521">
        <v>11.5</v>
      </c>
      <c r="H625" s="524">
        <v>1.3083000000000001E-3</v>
      </c>
      <c r="I625" s="523">
        <v>196.4</v>
      </c>
      <c r="J625" s="448">
        <v>204.94</v>
      </c>
      <c r="N625" s="590"/>
      <c r="O625" s="590"/>
      <c r="R625" s="440"/>
    </row>
    <row r="626" spans="1:18" s="559" customFormat="1">
      <c r="A626" s="521" t="s">
        <v>318</v>
      </c>
      <c r="B626" s="522" t="s">
        <v>655</v>
      </c>
      <c r="C626" s="423" t="s">
        <v>330</v>
      </c>
      <c r="D626" s="521" t="s">
        <v>656</v>
      </c>
      <c r="E626" s="522">
        <v>201605</v>
      </c>
      <c r="F626" s="523">
        <v>17.98</v>
      </c>
      <c r="G626" s="521">
        <v>11.5</v>
      </c>
      <c r="H626" s="524">
        <v>1.3083000000000001E-3</v>
      </c>
      <c r="I626" s="523">
        <v>0.27</v>
      </c>
      <c r="J626" s="448">
        <v>0.28000000000000003</v>
      </c>
      <c r="N626" s="590"/>
      <c r="O626" s="590"/>
      <c r="R626" s="440"/>
    </row>
    <row r="627" spans="1:18" s="559" customFormat="1">
      <c r="A627" s="521" t="s">
        <v>318</v>
      </c>
      <c r="B627" s="522" t="s">
        <v>655</v>
      </c>
      <c r="C627" s="423" t="s">
        <v>330</v>
      </c>
      <c r="D627" s="521" t="s">
        <v>656</v>
      </c>
      <c r="E627" s="522">
        <v>201605</v>
      </c>
      <c r="F627" s="523">
        <v>0.26</v>
      </c>
      <c r="G627" s="521">
        <v>11.5</v>
      </c>
      <c r="H627" s="524">
        <v>1.3083000000000001E-3</v>
      </c>
      <c r="I627" s="523">
        <v>0</v>
      </c>
      <c r="J627" s="448">
        <v>0</v>
      </c>
      <c r="N627" s="590"/>
      <c r="O627" s="590"/>
      <c r="R627" s="440"/>
    </row>
    <row r="628" spans="1:18" s="559" customFormat="1">
      <c r="A628" s="521" t="s">
        <v>318</v>
      </c>
      <c r="B628" s="522" t="s">
        <v>594</v>
      </c>
      <c r="C628" s="423" t="s">
        <v>330</v>
      </c>
      <c r="D628" s="521" t="s">
        <v>595</v>
      </c>
      <c r="E628" s="522">
        <v>201605</v>
      </c>
      <c r="F628" s="523">
        <v>1.75</v>
      </c>
      <c r="G628" s="521">
        <v>11.5</v>
      </c>
      <c r="H628" s="524">
        <v>1.3083000000000001E-3</v>
      </c>
      <c r="I628" s="523">
        <v>0.03</v>
      </c>
      <c r="J628" s="448">
        <v>0.03</v>
      </c>
      <c r="N628" s="590"/>
      <c r="O628" s="590"/>
      <c r="R628" s="440"/>
    </row>
    <row r="629" spans="1:18" s="559" customFormat="1">
      <c r="A629" s="521" t="s">
        <v>318</v>
      </c>
      <c r="B629" s="522" t="s">
        <v>594</v>
      </c>
      <c r="C629" s="423" t="s">
        <v>330</v>
      </c>
      <c r="D629" s="521" t="s">
        <v>595</v>
      </c>
      <c r="E629" s="522">
        <v>201605</v>
      </c>
      <c r="F629" s="523">
        <v>0.05</v>
      </c>
      <c r="G629" s="521">
        <v>11.5</v>
      </c>
      <c r="H629" s="524">
        <v>1.3083000000000001E-3</v>
      </c>
      <c r="I629" s="523">
        <v>0</v>
      </c>
      <c r="J629" s="448">
        <v>0</v>
      </c>
      <c r="N629" s="590"/>
      <c r="O629" s="590"/>
      <c r="R629" s="440"/>
    </row>
    <row r="630" spans="1:18" s="559" customFormat="1">
      <c r="A630" s="521" t="s">
        <v>318</v>
      </c>
      <c r="B630" s="522" t="s">
        <v>596</v>
      </c>
      <c r="C630" s="423" t="s">
        <v>330</v>
      </c>
      <c r="D630" s="521" t="s">
        <v>597</v>
      </c>
      <c r="E630" s="522">
        <v>201605</v>
      </c>
      <c r="F630" s="523">
        <v>2.87</v>
      </c>
      <c r="G630" s="521">
        <v>11.5</v>
      </c>
      <c r="H630" s="524">
        <v>1.3083000000000001E-3</v>
      </c>
      <c r="I630" s="523">
        <v>0.04</v>
      </c>
      <c r="J630" s="448">
        <v>0.05</v>
      </c>
      <c r="N630" s="590"/>
      <c r="O630" s="590"/>
      <c r="R630" s="440"/>
    </row>
    <row r="631" spans="1:18" s="559" customFormat="1">
      <c r="A631" s="521" t="s">
        <v>318</v>
      </c>
      <c r="B631" s="522" t="s">
        <v>596</v>
      </c>
      <c r="C631" s="423" t="s">
        <v>330</v>
      </c>
      <c r="D631" s="521" t="s">
        <v>597</v>
      </c>
      <c r="E631" s="522">
        <v>201605</v>
      </c>
      <c r="F631" s="523">
        <v>0.05</v>
      </c>
      <c r="G631" s="521">
        <v>11.5</v>
      </c>
      <c r="H631" s="524">
        <v>1.3083000000000001E-3</v>
      </c>
      <c r="I631" s="523">
        <v>0</v>
      </c>
      <c r="J631" s="448">
        <v>0</v>
      </c>
      <c r="N631" s="590"/>
      <c r="O631" s="590"/>
      <c r="R631" s="440"/>
    </row>
    <row r="632" spans="1:18" s="559" customFormat="1">
      <c r="A632" s="521" t="s">
        <v>318</v>
      </c>
      <c r="B632" s="522" t="s">
        <v>657</v>
      </c>
      <c r="C632" s="423" t="s">
        <v>330</v>
      </c>
      <c r="D632" s="521" t="s">
        <v>658</v>
      </c>
      <c r="E632" s="522">
        <v>201605</v>
      </c>
      <c r="F632" s="523">
        <v>-25.05</v>
      </c>
      <c r="G632" s="521">
        <v>11.5</v>
      </c>
      <c r="H632" s="524">
        <v>1.3083000000000001E-3</v>
      </c>
      <c r="I632" s="523">
        <v>-0.38</v>
      </c>
      <c r="J632" s="448">
        <v>-0.39</v>
      </c>
      <c r="N632" s="590"/>
      <c r="O632" s="590"/>
      <c r="R632" s="440"/>
    </row>
    <row r="633" spans="1:18" s="559" customFormat="1">
      <c r="A633" s="521" t="s">
        <v>318</v>
      </c>
      <c r="B633" s="522" t="s">
        <v>657</v>
      </c>
      <c r="C633" s="423" t="s">
        <v>330</v>
      </c>
      <c r="D633" s="521" t="s">
        <v>658</v>
      </c>
      <c r="E633" s="522">
        <v>201605</v>
      </c>
      <c r="F633" s="523">
        <v>-0.21</v>
      </c>
      <c r="G633" s="521">
        <v>11.5</v>
      </c>
      <c r="H633" s="524">
        <v>1.3083000000000001E-3</v>
      </c>
      <c r="I633" s="523">
        <v>0</v>
      </c>
      <c r="J633" s="448">
        <v>0</v>
      </c>
      <c r="N633" s="590"/>
      <c r="O633" s="590"/>
      <c r="R633" s="440"/>
    </row>
    <row r="634" spans="1:18" s="559" customFormat="1">
      <c r="A634" s="521" t="s">
        <v>318</v>
      </c>
      <c r="B634" s="522" t="s">
        <v>659</v>
      </c>
      <c r="C634" s="423" t="s">
        <v>330</v>
      </c>
      <c r="D634" s="521" t="s">
        <v>660</v>
      </c>
      <c r="E634" s="522">
        <v>201605</v>
      </c>
      <c r="F634" s="523">
        <v>-336458.14</v>
      </c>
      <c r="G634" s="521">
        <v>11.5</v>
      </c>
      <c r="H634" s="524">
        <v>1.3083000000000001E-3</v>
      </c>
      <c r="I634" s="523">
        <v>-5062.16</v>
      </c>
      <c r="J634" s="448">
        <v>-5282.26</v>
      </c>
      <c r="N634" s="590"/>
      <c r="O634" s="590"/>
      <c r="R634" s="440"/>
    </row>
    <row r="635" spans="1:18" s="559" customFormat="1">
      <c r="A635" s="521" t="s">
        <v>318</v>
      </c>
      <c r="B635" s="522" t="s">
        <v>659</v>
      </c>
      <c r="C635" s="423" t="s">
        <v>330</v>
      </c>
      <c r="D635" s="521" t="s">
        <v>660</v>
      </c>
      <c r="E635" s="522">
        <v>201605</v>
      </c>
      <c r="F635" s="523">
        <v>-131.37</v>
      </c>
      <c r="G635" s="521">
        <v>11.5</v>
      </c>
      <c r="H635" s="524">
        <v>1.3083000000000001E-3</v>
      </c>
      <c r="I635" s="523">
        <v>-1.98</v>
      </c>
      <c r="J635" s="448">
        <v>-2.06</v>
      </c>
      <c r="N635" s="590"/>
      <c r="O635" s="590"/>
      <c r="R635" s="440"/>
    </row>
    <row r="636" spans="1:18" s="559" customFormat="1">
      <c r="A636" s="521" t="s">
        <v>318</v>
      </c>
      <c r="B636" s="522" t="s">
        <v>661</v>
      </c>
      <c r="C636" s="423" t="s">
        <v>330</v>
      </c>
      <c r="D636" s="521" t="s">
        <v>662</v>
      </c>
      <c r="E636" s="522">
        <v>201605</v>
      </c>
      <c r="F636" s="523">
        <v>23134.92</v>
      </c>
      <c r="G636" s="521">
        <v>11.5</v>
      </c>
      <c r="H636" s="524">
        <v>1.3083000000000001E-3</v>
      </c>
      <c r="I636" s="523">
        <v>348.08</v>
      </c>
      <c r="J636" s="448">
        <v>363.21</v>
      </c>
      <c r="N636" s="590"/>
      <c r="O636" s="590"/>
      <c r="R636" s="440"/>
    </row>
    <row r="637" spans="1:18" s="559" customFormat="1">
      <c r="A637" s="521" t="s">
        <v>318</v>
      </c>
      <c r="B637" s="522" t="s">
        <v>661</v>
      </c>
      <c r="C637" s="423" t="s">
        <v>330</v>
      </c>
      <c r="D637" s="521" t="s">
        <v>662</v>
      </c>
      <c r="E637" s="522">
        <v>201605</v>
      </c>
      <c r="F637" s="523">
        <v>1531.48</v>
      </c>
      <c r="G637" s="521">
        <v>11.5</v>
      </c>
      <c r="H637" s="524">
        <v>1.3083000000000001E-3</v>
      </c>
      <c r="I637" s="523">
        <v>23.04</v>
      </c>
      <c r="J637" s="448">
        <v>24.04</v>
      </c>
      <c r="N637" s="590"/>
      <c r="O637" s="590"/>
      <c r="R637" s="440"/>
    </row>
    <row r="638" spans="1:18" s="559" customFormat="1">
      <c r="A638" s="521" t="s">
        <v>318</v>
      </c>
      <c r="B638" s="522" t="s">
        <v>663</v>
      </c>
      <c r="C638" s="423" t="s">
        <v>330</v>
      </c>
      <c r="D638" s="521" t="s">
        <v>664</v>
      </c>
      <c r="E638" s="522">
        <v>201605</v>
      </c>
      <c r="F638" s="523">
        <v>1521.67</v>
      </c>
      <c r="G638" s="521">
        <v>11.5</v>
      </c>
      <c r="H638" s="524">
        <v>1.3083000000000001E-3</v>
      </c>
      <c r="I638" s="523">
        <v>22.89</v>
      </c>
      <c r="J638" s="448">
        <v>23.89</v>
      </c>
      <c r="N638" s="590"/>
      <c r="O638" s="590"/>
      <c r="R638" s="440"/>
    </row>
    <row r="639" spans="1:18" s="559" customFormat="1">
      <c r="A639" s="521" t="s">
        <v>318</v>
      </c>
      <c r="B639" s="522" t="s">
        <v>663</v>
      </c>
      <c r="C639" s="423" t="s">
        <v>330</v>
      </c>
      <c r="D639" s="521" t="s">
        <v>664</v>
      </c>
      <c r="E639" s="522">
        <v>201605</v>
      </c>
      <c r="F639" s="523">
        <v>-11305.21</v>
      </c>
      <c r="G639" s="521">
        <v>11.5</v>
      </c>
      <c r="H639" s="524">
        <v>1.3083000000000001E-3</v>
      </c>
      <c r="I639" s="523">
        <v>-170.09</v>
      </c>
      <c r="J639" s="448">
        <v>-177.49</v>
      </c>
      <c r="N639" s="590"/>
      <c r="O639" s="590"/>
      <c r="R639" s="440"/>
    </row>
    <row r="640" spans="1:18" s="559" customFormat="1">
      <c r="A640" s="521" t="s">
        <v>318</v>
      </c>
      <c r="B640" s="522" t="s">
        <v>665</v>
      </c>
      <c r="C640" s="423" t="s">
        <v>330</v>
      </c>
      <c r="D640" s="521" t="s">
        <v>666</v>
      </c>
      <c r="E640" s="522">
        <v>201605</v>
      </c>
      <c r="F640" s="523">
        <v>364.86</v>
      </c>
      <c r="G640" s="521">
        <v>11.5</v>
      </c>
      <c r="H640" s="524">
        <v>1.3083000000000001E-3</v>
      </c>
      <c r="I640" s="523">
        <v>5.49</v>
      </c>
      <c r="J640" s="448">
        <v>5.73</v>
      </c>
      <c r="N640" s="590"/>
      <c r="O640" s="590"/>
      <c r="R640" s="440"/>
    </row>
    <row r="641" spans="1:18" s="559" customFormat="1">
      <c r="A641" s="521" t="s">
        <v>318</v>
      </c>
      <c r="B641" s="522" t="s">
        <v>665</v>
      </c>
      <c r="C641" s="423" t="s">
        <v>330</v>
      </c>
      <c r="D641" s="521" t="s">
        <v>666</v>
      </c>
      <c r="E641" s="522">
        <v>201605</v>
      </c>
      <c r="F641" s="523">
        <v>3.74</v>
      </c>
      <c r="G641" s="521">
        <v>11.5</v>
      </c>
      <c r="H641" s="524">
        <v>1.3083000000000001E-3</v>
      </c>
      <c r="I641" s="523">
        <v>0.06</v>
      </c>
      <c r="J641" s="448">
        <v>0.06</v>
      </c>
      <c r="N641" s="590"/>
      <c r="O641" s="590"/>
      <c r="R641" s="440"/>
    </row>
    <row r="642" spans="1:18" s="559" customFormat="1">
      <c r="A642" s="521" t="s">
        <v>318</v>
      </c>
      <c r="B642" s="522" t="s">
        <v>801</v>
      </c>
      <c r="C642" s="423" t="s">
        <v>330</v>
      </c>
      <c r="D642" s="521" t="s">
        <v>802</v>
      </c>
      <c r="E642" s="522">
        <v>201605</v>
      </c>
      <c r="F642" s="523">
        <v>15645.91</v>
      </c>
      <c r="G642" s="521">
        <v>11.5</v>
      </c>
      <c r="H642" s="524">
        <v>1.3083000000000001E-3</v>
      </c>
      <c r="I642" s="523">
        <v>235.4</v>
      </c>
      <c r="J642" s="448">
        <v>245.63</v>
      </c>
      <c r="N642" s="590"/>
      <c r="O642" s="590"/>
      <c r="R642" s="440"/>
    </row>
    <row r="643" spans="1:18" s="559" customFormat="1">
      <c r="A643" s="521" t="s">
        <v>318</v>
      </c>
      <c r="B643" s="522" t="s">
        <v>801</v>
      </c>
      <c r="C643" s="423" t="s">
        <v>330</v>
      </c>
      <c r="D643" s="521" t="s">
        <v>802</v>
      </c>
      <c r="E643" s="522">
        <v>201605</v>
      </c>
      <c r="F643" s="523">
        <v>1169.97</v>
      </c>
      <c r="G643" s="521">
        <v>11.5</v>
      </c>
      <c r="H643" s="524">
        <v>1.3083000000000001E-3</v>
      </c>
      <c r="I643" s="523">
        <v>17.600000000000001</v>
      </c>
      <c r="J643" s="448">
        <v>18.37</v>
      </c>
      <c r="N643" s="590"/>
      <c r="O643" s="590"/>
      <c r="R643" s="440"/>
    </row>
    <row r="644" spans="1:18" s="559" customFormat="1">
      <c r="A644" s="521" t="s">
        <v>318</v>
      </c>
      <c r="B644" s="522" t="s">
        <v>803</v>
      </c>
      <c r="C644" s="423" t="s">
        <v>330</v>
      </c>
      <c r="D644" s="521" t="s">
        <v>804</v>
      </c>
      <c r="E644" s="522">
        <v>201605</v>
      </c>
      <c r="F644" s="523">
        <v>14822.15</v>
      </c>
      <c r="G644" s="521">
        <v>11.5</v>
      </c>
      <c r="H644" s="524">
        <v>1.3083000000000001E-3</v>
      </c>
      <c r="I644" s="523">
        <v>223.01</v>
      </c>
      <c r="J644" s="448">
        <v>232.7</v>
      </c>
      <c r="N644" s="590"/>
      <c r="O644" s="590"/>
      <c r="R644" s="440"/>
    </row>
    <row r="645" spans="1:18" s="559" customFormat="1">
      <c r="A645" s="521" t="s">
        <v>318</v>
      </c>
      <c r="B645" s="522" t="s">
        <v>803</v>
      </c>
      <c r="C645" s="423" t="s">
        <v>330</v>
      </c>
      <c r="D645" s="521" t="s">
        <v>804</v>
      </c>
      <c r="E645" s="522">
        <v>201605</v>
      </c>
      <c r="F645" s="523">
        <v>1094.04</v>
      </c>
      <c r="G645" s="521">
        <v>11.5</v>
      </c>
      <c r="H645" s="524">
        <v>1.3083000000000001E-3</v>
      </c>
      <c r="I645" s="523">
        <v>16.46</v>
      </c>
      <c r="J645" s="448">
        <v>17.18</v>
      </c>
      <c r="N645" s="590"/>
      <c r="O645" s="590"/>
      <c r="R645" s="440"/>
    </row>
    <row r="646" spans="1:18" s="559" customFormat="1">
      <c r="A646" s="521" t="s">
        <v>318</v>
      </c>
      <c r="B646" s="522" t="s">
        <v>805</v>
      </c>
      <c r="C646" s="423" t="s">
        <v>330</v>
      </c>
      <c r="D646" s="521" t="s">
        <v>806</v>
      </c>
      <c r="E646" s="522">
        <v>201605</v>
      </c>
      <c r="F646" s="523">
        <v>22655.02</v>
      </c>
      <c r="G646" s="521">
        <v>11.5</v>
      </c>
      <c r="H646" s="524">
        <v>1.3083000000000001E-3</v>
      </c>
      <c r="I646" s="523">
        <v>340.85</v>
      </c>
      <c r="J646" s="448">
        <v>355.67</v>
      </c>
      <c r="N646" s="590"/>
      <c r="O646" s="590"/>
      <c r="R646" s="440"/>
    </row>
    <row r="647" spans="1:18" s="559" customFormat="1">
      <c r="A647" s="521" t="s">
        <v>318</v>
      </c>
      <c r="B647" s="522" t="s">
        <v>805</v>
      </c>
      <c r="C647" s="423" t="s">
        <v>330</v>
      </c>
      <c r="D647" s="521" t="s">
        <v>806</v>
      </c>
      <c r="E647" s="522">
        <v>201605</v>
      </c>
      <c r="F647" s="523">
        <v>863.2</v>
      </c>
      <c r="G647" s="521">
        <v>11.5</v>
      </c>
      <c r="H647" s="524">
        <v>1.3083000000000001E-3</v>
      </c>
      <c r="I647" s="523">
        <v>12.99</v>
      </c>
      <c r="J647" s="448">
        <v>13.55</v>
      </c>
      <c r="N647" s="590"/>
      <c r="O647" s="590"/>
      <c r="R647" s="440"/>
    </row>
    <row r="648" spans="1:18" s="559" customFormat="1">
      <c r="A648" s="521" t="s">
        <v>318</v>
      </c>
      <c r="B648" s="522" t="s">
        <v>633</v>
      </c>
      <c r="C648" s="423" t="s">
        <v>329</v>
      </c>
      <c r="D648" s="521" t="s">
        <v>807</v>
      </c>
      <c r="E648" s="522">
        <v>201605</v>
      </c>
      <c r="F648" s="523">
        <v>-71834.59</v>
      </c>
      <c r="G648" s="521">
        <v>11.5</v>
      </c>
      <c r="H648" s="524">
        <v>1.3083000000000001E-3</v>
      </c>
      <c r="I648" s="523">
        <v>-1080.78</v>
      </c>
      <c r="J648" s="448">
        <v>-1127.77</v>
      </c>
      <c r="N648" s="590"/>
      <c r="O648" s="590"/>
      <c r="R648" s="440"/>
    </row>
    <row r="649" spans="1:18" s="559" customFormat="1">
      <c r="A649" s="521" t="s">
        <v>318</v>
      </c>
      <c r="B649" s="522" t="s">
        <v>633</v>
      </c>
      <c r="C649" s="423" t="s">
        <v>329</v>
      </c>
      <c r="D649" s="521" t="s">
        <v>807</v>
      </c>
      <c r="E649" s="522">
        <v>201605</v>
      </c>
      <c r="F649" s="523">
        <v>80170.8</v>
      </c>
      <c r="G649" s="521">
        <v>11.5</v>
      </c>
      <c r="H649" s="524">
        <v>1.3083000000000001E-3</v>
      </c>
      <c r="I649" s="523">
        <v>1206.21</v>
      </c>
      <c r="J649" s="448">
        <v>1258.6500000000001</v>
      </c>
      <c r="N649" s="590"/>
      <c r="O649" s="590"/>
      <c r="R649" s="440"/>
    </row>
    <row r="650" spans="1:18" s="559" customFormat="1">
      <c r="A650" s="521" t="s">
        <v>318</v>
      </c>
      <c r="B650" s="522" t="s">
        <v>808</v>
      </c>
      <c r="C650" s="423" t="s">
        <v>329</v>
      </c>
      <c r="D650" s="521" t="s">
        <v>809</v>
      </c>
      <c r="E650" s="522">
        <v>201605</v>
      </c>
      <c r="F650" s="523">
        <v>34766.230000000003</v>
      </c>
      <c r="G650" s="521">
        <v>11.5</v>
      </c>
      <c r="H650" s="524">
        <v>1.3083000000000001E-3</v>
      </c>
      <c r="I650" s="523">
        <v>523.07000000000005</v>
      </c>
      <c r="J650" s="448">
        <v>545.82000000000005</v>
      </c>
      <c r="N650" s="590"/>
      <c r="O650" s="590"/>
      <c r="R650" s="440"/>
    </row>
    <row r="651" spans="1:18" s="559" customFormat="1">
      <c r="A651" s="521" t="s">
        <v>318</v>
      </c>
      <c r="B651" s="522" t="s">
        <v>808</v>
      </c>
      <c r="C651" s="423" t="s">
        <v>329</v>
      </c>
      <c r="D651" s="521" t="s">
        <v>809</v>
      </c>
      <c r="E651" s="522">
        <v>201605</v>
      </c>
      <c r="F651" s="523">
        <v>8682.6</v>
      </c>
      <c r="G651" s="521">
        <v>11.5</v>
      </c>
      <c r="H651" s="524">
        <v>1.3083000000000001E-3</v>
      </c>
      <c r="I651" s="523">
        <v>130.63</v>
      </c>
      <c r="J651" s="448">
        <v>136.31</v>
      </c>
      <c r="N651" s="590"/>
      <c r="O651" s="590"/>
      <c r="R651" s="440"/>
    </row>
    <row r="652" spans="1:18" s="559" customFormat="1">
      <c r="A652" s="521" t="s">
        <v>322</v>
      </c>
      <c r="B652" s="522" t="s">
        <v>667</v>
      </c>
      <c r="C652" s="423" t="s">
        <v>329</v>
      </c>
      <c r="D652" s="521" t="s">
        <v>668</v>
      </c>
      <c r="E652" s="522">
        <v>201605</v>
      </c>
      <c r="F652" s="523">
        <v>170.49</v>
      </c>
      <c r="G652" s="521">
        <v>11.5</v>
      </c>
      <c r="H652" s="524">
        <v>1.1999999999999999E-3</v>
      </c>
      <c r="I652" s="523">
        <v>2.35</v>
      </c>
      <c r="J652" s="448">
        <v>2.46</v>
      </c>
      <c r="N652" s="590"/>
      <c r="O652" s="590"/>
      <c r="R652" s="440"/>
    </row>
    <row r="653" spans="1:18" s="559" customFormat="1">
      <c r="A653" s="521" t="s">
        <v>318</v>
      </c>
      <c r="B653" s="522" t="s">
        <v>667</v>
      </c>
      <c r="C653" s="423" t="s">
        <v>329</v>
      </c>
      <c r="D653" s="521" t="s">
        <v>668</v>
      </c>
      <c r="E653" s="522">
        <v>201605</v>
      </c>
      <c r="F653" s="523">
        <v>2766.29</v>
      </c>
      <c r="G653" s="521">
        <v>11.5</v>
      </c>
      <c r="H653" s="524">
        <v>1.3083000000000001E-3</v>
      </c>
      <c r="I653" s="523">
        <v>41.62</v>
      </c>
      <c r="J653" s="448">
        <v>43.43</v>
      </c>
      <c r="N653" s="590"/>
      <c r="O653" s="590"/>
      <c r="R653" s="440"/>
    </row>
    <row r="654" spans="1:18" s="559" customFormat="1">
      <c r="A654" s="521" t="s">
        <v>318</v>
      </c>
      <c r="B654" s="522" t="s">
        <v>667</v>
      </c>
      <c r="C654" s="423" t="s">
        <v>329</v>
      </c>
      <c r="D654" s="521" t="s">
        <v>668</v>
      </c>
      <c r="E654" s="522">
        <v>201605</v>
      </c>
      <c r="F654" s="523">
        <v>448.42</v>
      </c>
      <c r="G654" s="521">
        <v>11.5</v>
      </c>
      <c r="H654" s="524">
        <v>1.3083000000000001E-3</v>
      </c>
      <c r="I654" s="523">
        <v>6.75</v>
      </c>
      <c r="J654" s="448">
        <v>7.04</v>
      </c>
      <c r="N654" s="590"/>
      <c r="O654" s="590"/>
      <c r="R654" s="440"/>
    </row>
    <row r="655" spans="1:18" s="559" customFormat="1">
      <c r="A655" s="521" t="s">
        <v>318</v>
      </c>
      <c r="B655" s="522" t="s">
        <v>598</v>
      </c>
      <c r="C655" s="423" t="s">
        <v>330</v>
      </c>
      <c r="D655" s="521" t="s">
        <v>599</v>
      </c>
      <c r="E655" s="522">
        <v>201605</v>
      </c>
      <c r="F655" s="523">
        <v>-0.54</v>
      </c>
      <c r="G655" s="521">
        <v>11.5</v>
      </c>
      <c r="H655" s="524">
        <v>1.3083000000000001E-3</v>
      </c>
      <c r="I655" s="523">
        <v>-0.01</v>
      </c>
      <c r="J655" s="448">
        <v>-0.01</v>
      </c>
      <c r="N655" s="590"/>
      <c r="O655" s="590"/>
      <c r="R655" s="440"/>
    </row>
    <row r="656" spans="1:18" s="559" customFormat="1">
      <c r="A656" s="521" t="s">
        <v>318</v>
      </c>
      <c r="B656" s="522" t="s">
        <v>598</v>
      </c>
      <c r="C656" s="423" t="s">
        <v>330</v>
      </c>
      <c r="D656" s="521" t="s">
        <v>599</v>
      </c>
      <c r="E656" s="522">
        <v>201605</v>
      </c>
      <c r="F656" s="523">
        <v>-0.04</v>
      </c>
      <c r="G656" s="521">
        <v>11.5</v>
      </c>
      <c r="H656" s="524">
        <v>1.3083000000000001E-3</v>
      </c>
      <c r="I656" s="523">
        <v>0</v>
      </c>
      <c r="J656" s="448">
        <v>0</v>
      </c>
      <c r="N656" s="590"/>
      <c r="O656" s="590"/>
      <c r="R656" s="440"/>
    </row>
    <row r="657" spans="1:18" s="559" customFormat="1">
      <c r="A657" s="521" t="s">
        <v>318</v>
      </c>
      <c r="B657" s="522" t="s">
        <v>600</v>
      </c>
      <c r="C657" s="423" t="s">
        <v>330</v>
      </c>
      <c r="D657" s="521" t="s">
        <v>601</v>
      </c>
      <c r="E657" s="522">
        <v>201605</v>
      </c>
      <c r="F657" s="523">
        <v>2.57</v>
      </c>
      <c r="G657" s="521">
        <v>11.5</v>
      </c>
      <c r="H657" s="524">
        <v>1.3083000000000001E-3</v>
      </c>
      <c r="I657" s="523">
        <v>0.04</v>
      </c>
      <c r="J657" s="448">
        <v>0.04</v>
      </c>
      <c r="N657" s="590"/>
      <c r="O657" s="590"/>
      <c r="R657" s="440"/>
    </row>
    <row r="658" spans="1:18" s="559" customFormat="1">
      <c r="A658" s="521" t="s">
        <v>318</v>
      </c>
      <c r="B658" s="522" t="s">
        <v>600</v>
      </c>
      <c r="C658" s="423" t="s">
        <v>330</v>
      </c>
      <c r="D658" s="521" t="s">
        <v>601</v>
      </c>
      <c r="E658" s="522">
        <v>201605</v>
      </c>
      <c r="F658" s="523">
        <v>0.03</v>
      </c>
      <c r="G658" s="521">
        <v>11.5</v>
      </c>
      <c r="H658" s="524">
        <v>1.3083000000000001E-3</v>
      </c>
      <c r="I658" s="523">
        <v>0</v>
      </c>
      <c r="J658" s="448">
        <v>0</v>
      </c>
      <c r="N658" s="590"/>
      <c r="O658" s="590"/>
      <c r="R658" s="440"/>
    </row>
    <row r="659" spans="1:18" s="559" customFormat="1">
      <c r="A659" s="521" t="s">
        <v>318</v>
      </c>
      <c r="B659" s="522" t="s">
        <v>554</v>
      </c>
      <c r="C659" s="423" t="s">
        <v>330</v>
      </c>
      <c r="D659" s="521" t="s">
        <v>555</v>
      </c>
      <c r="E659" s="522">
        <v>201605</v>
      </c>
      <c r="F659" s="523">
        <v>2.23</v>
      </c>
      <c r="G659" s="521">
        <v>11.5</v>
      </c>
      <c r="H659" s="524">
        <v>1.3083000000000001E-3</v>
      </c>
      <c r="I659" s="523">
        <v>0.03</v>
      </c>
      <c r="J659" s="448">
        <v>0.04</v>
      </c>
      <c r="N659" s="590"/>
      <c r="O659" s="590"/>
      <c r="R659" s="440"/>
    </row>
    <row r="660" spans="1:18" s="559" customFormat="1">
      <c r="A660" s="521" t="s">
        <v>318</v>
      </c>
      <c r="B660" s="522" t="s">
        <v>554</v>
      </c>
      <c r="C660" s="423" t="s">
        <v>330</v>
      </c>
      <c r="D660" s="521" t="s">
        <v>555</v>
      </c>
      <c r="E660" s="522">
        <v>201605</v>
      </c>
      <c r="F660" s="523">
        <v>0.13</v>
      </c>
      <c r="G660" s="521">
        <v>11.5</v>
      </c>
      <c r="H660" s="524">
        <v>1.3083000000000001E-3</v>
      </c>
      <c r="I660" s="523">
        <v>0</v>
      </c>
      <c r="J660" s="448">
        <v>0</v>
      </c>
      <c r="N660" s="590"/>
      <c r="O660" s="590"/>
      <c r="R660" s="440"/>
    </row>
    <row r="661" spans="1:18" s="559" customFormat="1">
      <c r="A661" s="521" t="s">
        <v>318</v>
      </c>
      <c r="B661" s="522" t="s">
        <v>556</v>
      </c>
      <c r="C661" s="423" t="s">
        <v>330</v>
      </c>
      <c r="D661" s="521" t="s">
        <v>557</v>
      </c>
      <c r="E661" s="522">
        <v>201605</v>
      </c>
      <c r="F661" s="523">
        <v>7.74</v>
      </c>
      <c r="G661" s="521">
        <v>11.5</v>
      </c>
      <c r="H661" s="524">
        <v>1.3083000000000001E-3</v>
      </c>
      <c r="I661" s="523">
        <v>0.12</v>
      </c>
      <c r="J661" s="448">
        <v>0.12</v>
      </c>
      <c r="N661" s="590"/>
      <c r="O661" s="590"/>
      <c r="R661" s="440"/>
    </row>
    <row r="662" spans="1:18" s="559" customFormat="1">
      <c r="A662" s="521" t="s">
        <v>318</v>
      </c>
      <c r="B662" s="522" t="s">
        <v>556</v>
      </c>
      <c r="C662" s="423" t="s">
        <v>330</v>
      </c>
      <c r="D662" s="521" t="s">
        <v>557</v>
      </c>
      <c r="E662" s="522">
        <v>201605</v>
      </c>
      <c r="F662" s="523">
        <v>0.22</v>
      </c>
      <c r="G662" s="521">
        <v>11.5</v>
      </c>
      <c r="H662" s="524">
        <v>1.3083000000000001E-3</v>
      </c>
      <c r="I662" s="523">
        <v>0</v>
      </c>
      <c r="J662" s="448">
        <v>0</v>
      </c>
      <c r="N662" s="590"/>
      <c r="O662" s="590"/>
      <c r="R662" s="440"/>
    </row>
    <row r="663" spans="1:18" s="559" customFormat="1">
      <c r="A663" s="521" t="s">
        <v>318</v>
      </c>
      <c r="B663" s="522" t="s">
        <v>560</v>
      </c>
      <c r="C663" s="423" t="s">
        <v>330</v>
      </c>
      <c r="D663" s="521" t="s">
        <v>561</v>
      </c>
      <c r="E663" s="522">
        <v>201605</v>
      </c>
      <c r="F663" s="523">
        <v>-8.57</v>
      </c>
      <c r="G663" s="521">
        <v>11.5</v>
      </c>
      <c r="H663" s="524">
        <v>1.3083000000000001E-3</v>
      </c>
      <c r="I663" s="523">
        <v>-0.13</v>
      </c>
      <c r="J663" s="448">
        <v>-0.13</v>
      </c>
      <c r="N663" s="590"/>
      <c r="O663" s="590"/>
      <c r="R663" s="440"/>
    </row>
    <row r="664" spans="1:18" s="559" customFormat="1">
      <c r="A664" s="521" t="s">
        <v>318</v>
      </c>
      <c r="B664" s="522" t="s">
        <v>560</v>
      </c>
      <c r="C664" s="423" t="s">
        <v>330</v>
      </c>
      <c r="D664" s="521" t="s">
        <v>561</v>
      </c>
      <c r="E664" s="522">
        <v>201605</v>
      </c>
      <c r="F664" s="523">
        <v>-0.68</v>
      </c>
      <c r="G664" s="521">
        <v>11.5</v>
      </c>
      <c r="H664" s="524">
        <v>1.3083000000000001E-3</v>
      </c>
      <c r="I664" s="523">
        <v>-0.01</v>
      </c>
      <c r="J664" s="448">
        <v>-0.01</v>
      </c>
      <c r="N664" s="590"/>
      <c r="O664" s="590"/>
      <c r="R664" s="440"/>
    </row>
    <row r="665" spans="1:18" s="559" customFormat="1">
      <c r="A665" s="521" t="s">
        <v>318</v>
      </c>
      <c r="B665" s="522" t="s">
        <v>562</v>
      </c>
      <c r="C665" s="423" t="s">
        <v>330</v>
      </c>
      <c r="D665" s="521" t="s">
        <v>563</v>
      </c>
      <c r="E665" s="522">
        <v>201605</v>
      </c>
      <c r="F665" s="523">
        <v>117.34</v>
      </c>
      <c r="G665" s="521">
        <v>11.5</v>
      </c>
      <c r="H665" s="524">
        <v>1.3083000000000001E-3</v>
      </c>
      <c r="I665" s="523">
        <v>1.77</v>
      </c>
      <c r="J665" s="448">
        <v>1.84</v>
      </c>
      <c r="N665" s="590"/>
      <c r="O665" s="590"/>
      <c r="R665" s="440"/>
    </row>
    <row r="666" spans="1:18" s="559" customFormat="1">
      <c r="A666" s="521" t="s">
        <v>318</v>
      </c>
      <c r="B666" s="522" t="s">
        <v>562</v>
      </c>
      <c r="C666" s="423" t="s">
        <v>330</v>
      </c>
      <c r="D666" s="521" t="s">
        <v>563</v>
      </c>
      <c r="E666" s="522">
        <v>201605</v>
      </c>
      <c r="F666" s="523">
        <v>7.17</v>
      </c>
      <c r="G666" s="521">
        <v>11.5</v>
      </c>
      <c r="H666" s="524">
        <v>1.3083000000000001E-3</v>
      </c>
      <c r="I666" s="523">
        <v>0.11</v>
      </c>
      <c r="J666" s="448">
        <v>0.11</v>
      </c>
      <c r="N666" s="590"/>
      <c r="O666" s="590"/>
      <c r="R666" s="440"/>
    </row>
    <row r="667" spans="1:18" s="559" customFormat="1">
      <c r="A667" s="521" t="s">
        <v>318</v>
      </c>
      <c r="B667" s="522" t="s">
        <v>602</v>
      </c>
      <c r="C667" s="423" t="s">
        <v>330</v>
      </c>
      <c r="D667" s="521" t="s">
        <v>603</v>
      </c>
      <c r="E667" s="522">
        <v>201605</v>
      </c>
      <c r="F667" s="523">
        <v>4.17</v>
      </c>
      <c r="G667" s="521">
        <v>11.5</v>
      </c>
      <c r="H667" s="524">
        <v>1.3083000000000001E-3</v>
      </c>
      <c r="I667" s="523">
        <v>0.06</v>
      </c>
      <c r="J667" s="448">
        <v>7.0000000000000007E-2</v>
      </c>
      <c r="N667" s="590"/>
      <c r="O667" s="590"/>
      <c r="R667" s="440"/>
    </row>
    <row r="668" spans="1:18" s="559" customFormat="1">
      <c r="A668" s="521" t="s">
        <v>318</v>
      </c>
      <c r="B668" s="522" t="s">
        <v>602</v>
      </c>
      <c r="C668" s="423" t="s">
        <v>330</v>
      </c>
      <c r="D668" s="521" t="s">
        <v>603</v>
      </c>
      <c r="E668" s="522">
        <v>201605</v>
      </c>
      <c r="F668" s="523">
        <v>0.24</v>
      </c>
      <c r="G668" s="521">
        <v>11.5</v>
      </c>
      <c r="H668" s="524">
        <v>1.3083000000000001E-3</v>
      </c>
      <c r="I668" s="523">
        <v>0</v>
      </c>
      <c r="J668" s="448">
        <v>0</v>
      </c>
      <c r="N668" s="590"/>
      <c r="O668" s="590"/>
      <c r="R668" s="440"/>
    </row>
    <row r="669" spans="1:18" s="559" customFormat="1">
      <c r="A669" s="521" t="s">
        <v>318</v>
      </c>
      <c r="B669" s="522" t="s">
        <v>810</v>
      </c>
      <c r="C669" s="423" t="s">
        <v>330</v>
      </c>
      <c r="D669" s="521" t="s">
        <v>811</v>
      </c>
      <c r="E669" s="522">
        <v>201605</v>
      </c>
      <c r="F669" s="523">
        <v>12778.18</v>
      </c>
      <c r="G669" s="521">
        <v>11.5</v>
      </c>
      <c r="H669" s="524">
        <v>1.3083000000000001E-3</v>
      </c>
      <c r="I669" s="523">
        <v>192.25</v>
      </c>
      <c r="J669" s="448">
        <v>200.61</v>
      </c>
      <c r="N669" s="590"/>
      <c r="O669" s="590"/>
      <c r="R669" s="440"/>
    </row>
    <row r="670" spans="1:18" s="559" customFormat="1">
      <c r="A670" s="521" t="s">
        <v>318</v>
      </c>
      <c r="B670" s="522" t="s">
        <v>810</v>
      </c>
      <c r="C670" s="423" t="s">
        <v>330</v>
      </c>
      <c r="D670" s="521" t="s">
        <v>811</v>
      </c>
      <c r="E670" s="522">
        <v>201605</v>
      </c>
      <c r="F670" s="523">
        <v>628.48</v>
      </c>
      <c r="G670" s="521">
        <v>11.5</v>
      </c>
      <c r="H670" s="524">
        <v>1.3083000000000001E-3</v>
      </c>
      <c r="I670" s="523">
        <v>9.4600000000000009</v>
      </c>
      <c r="J670" s="448">
        <v>9.8699999999999992</v>
      </c>
      <c r="N670" s="590"/>
      <c r="O670" s="590"/>
      <c r="R670" s="440"/>
    </row>
    <row r="671" spans="1:18" s="559" customFormat="1">
      <c r="A671" s="521" t="s">
        <v>318</v>
      </c>
      <c r="B671" s="522" t="s">
        <v>635</v>
      </c>
      <c r="C671" s="423" t="s">
        <v>329</v>
      </c>
      <c r="D671" s="521" t="s">
        <v>636</v>
      </c>
      <c r="E671" s="522">
        <v>201605</v>
      </c>
      <c r="F671" s="523">
        <v>18.399999999999999</v>
      </c>
      <c r="G671" s="521">
        <v>11.5</v>
      </c>
      <c r="H671" s="524">
        <v>1.3083000000000001E-3</v>
      </c>
      <c r="I671" s="523">
        <v>0.28000000000000003</v>
      </c>
      <c r="J671" s="448">
        <v>0.28999999999999998</v>
      </c>
      <c r="N671" s="590"/>
      <c r="O671" s="590"/>
      <c r="R671" s="440"/>
    </row>
    <row r="672" spans="1:18" s="559" customFormat="1">
      <c r="A672" s="521" t="s">
        <v>318</v>
      </c>
      <c r="B672" s="522" t="s">
        <v>635</v>
      </c>
      <c r="C672" s="423" t="s">
        <v>329</v>
      </c>
      <c r="D672" s="521" t="s">
        <v>636</v>
      </c>
      <c r="E672" s="522">
        <v>201605</v>
      </c>
      <c r="F672" s="523">
        <v>0.57999999999999996</v>
      </c>
      <c r="G672" s="521">
        <v>11.5</v>
      </c>
      <c r="H672" s="524">
        <v>1.3083000000000001E-3</v>
      </c>
      <c r="I672" s="523">
        <v>0.01</v>
      </c>
      <c r="J672" s="448">
        <v>0.01</v>
      </c>
      <c r="N672" s="590"/>
      <c r="O672" s="590"/>
      <c r="R672" s="440"/>
    </row>
    <row r="673" spans="1:18" s="559" customFormat="1">
      <c r="A673" s="521" t="s">
        <v>318</v>
      </c>
      <c r="B673" s="522" t="s">
        <v>812</v>
      </c>
      <c r="C673" s="423" t="s">
        <v>330</v>
      </c>
      <c r="D673" s="521" t="s">
        <v>813</v>
      </c>
      <c r="E673" s="522">
        <v>201605</v>
      </c>
      <c r="F673" s="523">
        <v>23722.43</v>
      </c>
      <c r="G673" s="521">
        <v>11.5</v>
      </c>
      <c r="H673" s="524">
        <v>1.3083000000000001E-3</v>
      </c>
      <c r="I673" s="523">
        <v>356.91</v>
      </c>
      <c r="J673" s="448">
        <v>372.43</v>
      </c>
      <c r="N673" s="590"/>
      <c r="O673" s="590"/>
      <c r="R673" s="440"/>
    </row>
    <row r="674" spans="1:18" s="559" customFormat="1">
      <c r="A674" s="521" t="s">
        <v>318</v>
      </c>
      <c r="B674" s="522" t="s">
        <v>812</v>
      </c>
      <c r="C674" s="423" t="s">
        <v>330</v>
      </c>
      <c r="D674" s="521" t="s">
        <v>813</v>
      </c>
      <c r="E674" s="522">
        <v>201605</v>
      </c>
      <c r="F674" s="523">
        <v>1319.61</v>
      </c>
      <c r="G674" s="521">
        <v>11.5</v>
      </c>
      <c r="H674" s="524">
        <v>1.3083000000000001E-3</v>
      </c>
      <c r="I674" s="523">
        <v>19.850000000000001</v>
      </c>
      <c r="J674" s="448">
        <v>20.72</v>
      </c>
      <c r="N674" s="590"/>
      <c r="O674" s="590"/>
      <c r="R674" s="440"/>
    </row>
    <row r="675" spans="1:18" s="559" customFormat="1">
      <c r="A675" s="521" t="s">
        <v>318</v>
      </c>
      <c r="B675" s="522" t="s">
        <v>788</v>
      </c>
      <c r="C675" s="423" t="s">
        <v>330</v>
      </c>
      <c r="D675" s="521" t="s">
        <v>789</v>
      </c>
      <c r="E675" s="522">
        <v>201605</v>
      </c>
      <c r="F675" s="523">
        <v>7013.97</v>
      </c>
      <c r="G675" s="521">
        <v>11.5</v>
      </c>
      <c r="H675" s="524">
        <v>1.3083000000000001E-3</v>
      </c>
      <c r="I675" s="523">
        <v>105.53</v>
      </c>
      <c r="J675" s="448">
        <v>110.12</v>
      </c>
      <c r="N675" s="590"/>
      <c r="O675" s="590"/>
      <c r="R675" s="440"/>
    </row>
    <row r="676" spans="1:18" s="559" customFormat="1">
      <c r="A676" s="521" t="s">
        <v>318</v>
      </c>
      <c r="B676" s="522" t="s">
        <v>788</v>
      </c>
      <c r="C676" s="423" t="s">
        <v>330</v>
      </c>
      <c r="D676" s="521" t="s">
        <v>789</v>
      </c>
      <c r="E676" s="522">
        <v>201605</v>
      </c>
      <c r="F676" s="523">
        <v>32.49</v>
      </c>
      <c r="G676" s="521">
        <v>11.5</v>
      </c>
      <c r="H676" s="524">
        <v>1.3083000000000001E-3</v>
      </c>
      <c r="I676" s="523">
        <v>0.49</v>
      </c>
      <c r="J676" s="448">
        <v>0.51</v>
      </c>
      <c r="N676" s="590"/>
      <c r="O676" s="590"/>
      <c r="R676" s="440"/>
    </row>
    <row r="677" spans="1:18" s="559" customFormat="1">
      <c r="A677" s="521" t="s">
        <v>318</v>
      </c>
      <c r="B677" s="522" t="s">
        <v>564</v>
      </c>
      <c r="C677" s="423" t="s">
        <v>330</v>
      </c>
      <c r="D677" s="521" t="s">
        <v>669</v>
      </c>
      <c r="E677" s="522">
        <v>201605</v>
      </c>
      <c r="F677" s="523">
        <v>-4.6100000000000003</v>
      </c>
      <c r="G677" s="521">
        <v>11.5</v>
      </c>
      <c r="H677" s="524">
        <v>1.3083000000000001E-3</v>
      </c>
      <c r="I677" s="523">
        <v>-7.0000000000000007E-2</v>
      </c>
      <c r="J677" s="448">
        <v>-7.0000000000000007E-2</v>
      </c>
      <c r="N677" s="590"/>
      <c r="O677" s="590"/>
      <c r="R677" s="440"/>
    </row>
    <row r="678" spans="1:18" s="559" customFormat="1">
      <c r="A678" s="521" t="s">
        <v>318</v>
      </c>
      <c r="B678" s="522" t="s">
        <v>564</v>
      </c>
      <c r="C678" s="423" t="s">
        <v>330</v>
      </c>
      <c r="D678" s="521" t="s">
        <v>669</v>
      </c>
      <c r="E678" s="522">
        <v>201605</v>
      </c>
      <c r="F678" s="523">
        <v>-0.39</v>
      </c>
      <c r="G678" s="521">
        <v>11.5</v>
      </c>
      <c r="H678" s="524">
        <v>1.3083000000000001E-3</v>
      </c>
      <c r="I678" s="523">
        <v>-0.01</v>
      </c>
      <c r="J678" s="448">
        <v>-0.01</v>
      </c>
      <c r="N678" s="590"/>
      <c r="O678" s="590"/>
      <c r="R678" s="440"/>
    </row>
    <row r="679" spans="1:18" s="559" customFormat="1">
      <c r="A679" s="521" t="s">
        <v>318</v>
      </c>
      <c r="B679" s="522" t="s">
        <v>829</v>
      </c>
      <c r="C679" s="423" t="s">
        <v>330</v>
      </c>
      <c r="D679" s="521" t="s">
        <v>831</v>
      </c>
      <c r="E679" s="522">
        <v>201605</v>
      </c>
      <c r="F679" s="523">
        <v>1979.93</v>
      </c>
      <c r="G679" s="521">
        <v>11.5</v>
      </c>
      <c r="H679" s="524">
        <v>1.3083000000000001E-3</v>
      </c>
      <c r="I679" s="523">
        <v>29.79</v>
      </c>
      <c r="J679" s="448">
        <v>31.08</v>
      </c>
      <c r="N679" s="590"/>
      <c r="O679" s="590"/>
      <c r="R679" s="440"/>
    </row>
    <row r="680" spans="1:18" s="559" customFormat="1">
      <c r="A680" s="521" t="s">
        <v>318</v>
      </c>
      <c r="B680" s="522" t="s">
        <v>829</v>
      </c>
      <c r="C680" s="423" t="s">
        <v>330</v>
      </c>
      <c r="D680" s="521" t="s">
        <v>831</v>
      </c>
      <c r="E680" s="522">
        <v>201605</v>
      </c>
      <c r="F680" s="523">
        <v>147.83000000000001</v>
      </c>
      <c r="G680" s="521">
        <v>11.5</v>
      </c>
      <c r="H680" s="524">
        <v>1.3083000000000001E-3</v>
      </c>
      <c r="I680" s="523">
        <v>2.2200000000000002</v>
      </c>
      <c r="J680" s="448">
        <v>2.3199999999999998</v>
      </c>
      <c r="N680" s="590"/>
      <c r="O680" s="590"/>
      <c r="R680" s="440"/>
    </row>
    <row r="681" spans="1:18" s="559" customFormat="1">
      <c r="A681" s="521" t="s">
        <v>318</v>
      </c>
      <c r="B681" s="522" t="s">
        <v>832</v>
      </c>
      <c r="C681" s="423" t="s">
        <v>330</v>
      </c>
      <c r="D681" s="521" t="s">
        <v>833</v>
      </c>
      <c r="E681" s="522">
        <v>201605</v>
      </c>
      <c r="F681" s="523">
        <v>7325.48</v>
      </c>
      <c r="G681" s="521">
        <v>11.5</v>
      </c>
      <c r="H681" s="524">
        <v>1.3083000000000001E-3</v>
      </c>
      <c r="I681" s="523">
        <v>110.22</v>
      </c>
      <c r="J681" s="448">
        <v>115.01</v>
      </c>
      <c r="N681" s="590"/>
      <c r="O681" s="590"/>
      <c r="R681" s="440"/>
    </row>
    <row r="682" spans="1:18" s="559" customFormat="1">
      <c r="A682" s="521" t="s">
        <v>318</v>
      </c>
      <c r="B682" s="522" t="s">
        <v>832</v>
      </c>
      <c r="C682" s="423" t="s">
        <v>330</v>
      </c>
      <c r="D682" s="521" t="s">
        <v>833</v>
      </c>
      <c r="E682" s="522">
        <v>201605</v>
      </c>
      <c r="F682" s="523">
        <v>153.13999999999999</v>
      </c>
      <c r="G682" s="521">
        <v>11.5</v>
      </c>
      <c r="H682" s="524">
        <v>1.3083000000000001E-3</v>
      </c>
      <c r="I682" s="523">
        <v>2.2999999999999998</v>
      </c>
      <c r="J682" s="448">
        <v>2.4</v>
      </c>
      <c r="N682" s="590"/>
      <c r="O682" s="590"/>
      <c r="R682" s="440"/>
    </row>
    <row r="683" spans="1:18" s="559" customFormat="1">
      <c r="A683" s="521" t="s">
        <v>318</v>
      </c>
      <c r="B683" s="522" t="s">
        <v>670</v>
      </c>
      <c r="C683" s="423" t="s">
        <v>330</v>
      </c>
      <c r="D683" s="521" t="s">
        <v>671</v>
      </c>
      <c r="E683" s="522">
        <v>201605</v>
      </c>
      <c r="F683" s="523">
        <v>4789.79</v>
      </c>
      <c r="G683" s="521">
        <v>11.5</v>
      </c>
      <c r="H683" s="524">
        <v>1.3083000000000001E-3</v>
      </c>
      <c r="I683" s="523">
        <v>72.06</v>
      </c>
      <c r="J683" s="448">
        <v>75.2</v>
      </c>
      <c r="N683" s="590"/>
      <c r="O683" s="590"/>
      <c r="R683" s="440"/>
    </row>
    <row r="684" spans="1:18" s="559" customFormat="1">
      <c r="A684" s="521" t="s">
        <v>318</v>
      </c>
      <c r="B684" s="522" t="s">
        <v>670</v>
      </c>
      <c r="C684" s="423" t="s">
        <v>330</v>
      </c>
      <c r="D684" s="521" t="s">
        <v>671</v>
      </c>
      <c r="E684" s="522">
        <v>201605</v>
      </c>
      <c r="F684" s="523">
        <v>29.56</v>
      </c>
      <c r="G684" s="521">
        <v>11.5</v>
      </c>
      <c r="H684" s="524">
        <v>1.3083000000000001E-3</v>
      </c>
      <c r="I684" s="523">
        <v>0.44</v>
      </c>
      <c r="J684" s="448">
        <v>0.46</v>
      </c>
      <c r="N684" s="590"/>
      <c r="O684" s="590"/>
      <c r="R684" s="440"/>
    </row>
    <row r="685" spans="1:18" s="559" customFormat="1">
      <c r="A685" s="521" t="s">
        <v>318</v>
      </c>
      <c r="B685" s="522" t="s">
        <v>606</v>
      </c>
      <c r="C685" s="423" t="s">
        <v>330</v>
      </c>
      <c r="D685" s="521" t="s">
        <v>607</v>
      </c>
      <c r="E685" s="522">
        <v>201605</v>
      </c>
      <c r="F685" s="523">
        <v>23.24</v>
      </c>
      <c r="G685" s="521">
        <v>11.5</v>
      </c>
      <c r="H685" s="524">
        <v>1.3083000000000001E-3</v>
      </c>
      <c r="I685" s="523">
        <v>0.35</v>
      </c>
      <c r="J685" s="448">
        <v>0.36</v>
      </c>
      <c r="N685" s="590"/>
      <c r="O685" s="590"/>
      <c r="R685" s="440"/>
    </row>
    <row r="686" spans="1:18" s="559" customFormat="1">
      <c r="A686" s="521" t="s">
        <v>318</v>
      </c>
      <c r="B686" s="522" t="s">
        <v>606</v>
      </c>
      <c r="C686" s="423" t="s">
        <v>330</v>
      </c>
      <c r="D686" s="521" t="s">
        <v>607</v>
      </c>
      <c r="E686" s="522">
        <v>201605</v>
      </c>
      <c r="F686" s="523">
        <v>0.35</v>
      </c>
      <c r="G686" s="521">
        <v>11.5</v>
      </c>
      <c r="H686" s="524">
        <v>1.3083000000000001E-3</v>
      </c>
      <c r="I686" s="523">
        <v>0.01</v>
      </c>
      <c r="J686" s="448">
        <v>0.01</v>
      </c>
      <c r="N686" s="590"/>
      <c r="O686" s="590"/>
      <c r="R686" s="440"/>
    </row>
    <row r="687" spans="1:18" s="559" customFormat="1">
      <c r="A687" s="521" t="s">
        <v>318</v>
      </c>
      <c r="B687" s="522" t="s">
        <v>834</v>
      </c>
      <c r="C687" s="423" t="s">
        <v>330</v>
      </c>
      <c r="D687" s="521" t="s">
        <v>835</v>
      </c>
      <c r="E687" s="522">
        <v>201605</v>
      </c>
      <c r="F687" s="523">
        <v>48095.51</v>
      </c>
      <c r="G687" s="521">
        <v>11.5</v>
      </c>
      <c r="H687" s="524">
        <v>1.3083000000000001E-3</v>
      </c>
      <c r="I687" s="523">
        <v>723.62</v>
      </c>
      <c r="J687" s="448">
        <v>755.08</v>
      </c>
      <c r="N687" s="590"/>
      <c r="O687" s="590"/>
      <c r="R687" s="440"/>
    </row>
    <row r="688" spans="1:18" s="559" customFormat="1">
      <c r="A688" s="521" t="s">
        <v>318</v>
      </c>
      <c r="B688" s="522" t="s">
        <v>834</v>
      </c>
      <c r="C688" s="423" t="s">
        <v>330</v>
      </c>
      <c r="D688" s="521" t="s">
        <v>835</v>
      </c>
      <c r="E688" s="522">
        <v>201605</v>
      </c>
      <c r="F688" s="523">
        <v>4252.75</v>
      </c>
      <c r="G688" s="521">
        <v>11.5</v>
      </c>
      <c r="H688" s="524">
        <v>1.3083000000000001E-3</v>
      </c>
      <c r="I688" s="523">
        <v>63.98</v>
      </c>
      <c r="J688" s="448">
        <v>66.77</v>
      </c>
      <c r="N688" s="590"/>
      <c r="O688" s="590"/>
      <c r="R688" s="440"/>
    </row>
    <row r="689" spans="1:18" s="559" customFormat="1">
      <c r="A689" s="521" t="s">
        <v>318</v>
      </c>
      <c r="B689" s="522" t="s">
        <v>608</v>
      </c>
      <c r="C689" s="423" t="s">
        <v>330</v>
      </c>
      <c r="D689" s="521" t="s">
        <v>609</v>
      </c>
      <c r="E689" s="522">
        <v>201605</v>
      </c>
      <c r="F689" s="523">
        <v>2.2000000000000002</v>
      </c>
      <c r="G689" s="521">
        <v>11.5</v>
      </c>
      <c r="H689" s="524">
        <v>1.3083000000000001E-3</v>
      </c>
      <c r="I689" s="523">
        <v>0.03</v>
      </c>
      <c r="J689" s="448">
        <v>0.03</v>
      </c>
      <c r="N689" s="590"/>
      <c r="O689" s="590"/>
      <c r="R689" s="440"/>
    </row>
    <row r="690" spans="1:18" s="559" customFormat="1">
      <c r="A690" s="521" t="s">
        <v>318</v>
      </c>
      <c r="B690" s="522" t="s">
        <v>608</v>
      </c>
      <c r="C690" s="423" t="s">
        <v>330</v>
      </c>
      <c r="D690" s="521" t="s">
        <v>609</v>
      </c>
      <c r="E690" s="522">
        <v>201605</v>
      </c>
      <c r="F690" s="523">
        <v>0.17</v>
      </c>
      <c r="G690" s="521">
        <v>11.5</v>
      </c>
      <c r="H690" s="524">
        <v>1.3083000000000001E-3</v>
      </c>
      <c r="I690" s="523">
        <v>0</v>
      </c>
      <c r="J690" s="448">
        <v>0</v>
      </c>
      <c r="N690" s="590"/>
      <c r="O690" s="590"/>
      <c r="R690" s="440"/>
    </row>
    <row r="691" spans="1:18" s="559" customFormat="1">
      <c r="A691" s="521" t="s">
        <v>318</v>
      </c>
      <c r="B691" s="522" t="s">
        <v>565</v>
      </c>
      <c r="C691" s="423" t="s">
        <v>330</v>
      </c>
      <c r="D691" s="521" t="s">
        <v>566</v>
      </c>
      <c r="E691" s="522">
        <v>201605</v>
      </c>
      <c r="F691" s="523">
        <v>7.0000000000000007E-2</v>
      </c>
      <c r="G691" s="521">
        <v>11.5</v>
      </c>
      <c r="H691" s="524">
        <v>1.3083000000000001E-3</v>
      </c>
      <c r="I691" s="523">
        <v>0</v>
      </c>
      <c r="J691" s="448">
        <v>0</v>
      </c>
      <c r="N691" s="590"/>
      <c r="O691" s="590"/>
      <c r="R691" s="440"/>
    </row>
    <row r="692" spans="1:18" s="559" customFormat="1">
      <c r="A692" s="521" t="s">
        <v>318</v>
      </c>
      <c r="B692" s="522" t="s">
        <v>610</v>
      </c>
      <c r="C692" s="423" t="s">
        <v>330</v>
      </c>
      <c r="D692" s="521" t="s">
        <v>611</v>
      </c>
      <c r="E692" s="522">
        <v>201605</v>
      </c>
      <c r="F692" s="523">
        <v>7.86</v>
      </c>
      <c r="G692" s="521">
        <v>11.5</v>
      </c>
      <c r="H692" s="524">
        <v>1.3083000000000001E-3</v>
      </c>
      <c r="I692" s="523">
        <v>0.12</v>
      </c>
      <c r="J692" s="448">
        <v>0.12</v>
      </c>
      <c r="N692" s="590"/>
      <c r="O692" s="590"/>
      <c r="R692" s="440"/>
    </row>
    <row r="693" spans="1:18" s="559" customFormat="1">
      <c r="A693" s="521" t="s">
        <v>318</v>
      </c>
      <c r="B693" s="522" t="s">
        <v>610</v>
      </c>
      <c r="C693" s="423" t="s">
        <v>330</v>
      </c>
      <c r="D693" s="521" t="s">
        <v>611</v>
      </c>
      <c r="E693" s="522">
        <v>201605</v>
      </c>
      <c r="F693" s="523">
        <v>0.39</v>
      </c>
      <c r="G693" s="521">
        <v>11.5</v>
      </c>
      <c r="H693" s="524">
        <v>1.3083000000000001E-3</v>
      </c>
      <c r="I693" s="523">
        <v>0.01</v>
      </c>
      <c r="J693" s="448">
        <v>0.01</v>
      </c>
      <c r="N693" s="590"/>
      <c r="O693" s="590"/>
      <c r="R693" s="440"/>
    </row>
    <row r="694" spans="1:18" s="559" customFormat="1">
      <c r="A694" s="521" t="s">
        <v>318</v>
      </c>
      <c r="B694" s="522" t="s">
        <v>672</v>
      </c>
      <c r="C694" s="423" t="s">
        <v>330</v>
      </c>
      <c r="D694" s="521" t="s">
        <v>673</v>
      </c>
      <c r="E694" s="522">
        <v>201605</v>
      </c>
      <c r="F694" s="523">
        <v>249.74</v>
      </c>
      <c r="G694" s="521">
        <v>11.5</v>
      </c>
      <c r="H694" s="524">
        <v>1.3083000000000001E-3</v>
      </c>
      <c r="I694" s="523">
        <v>3.76</v>
      </c>
      <c r="J694" s="448">
        <v>3.92</v>
      </c>
      <c r="N694" s="590"/>
      <c r="O694" s="590"/>
      <c r="R694" s="440"/>
    </row>
    <row r="695" spans="1:18" s="559" customFormat="1">
      <c r="A695" s="521" t="s">
        <v>318</v>
      </c>
      <c r="B695" s="522" t="s">
        <v>637</v>
      </c>
      <c r="C695" s="423" t="s">
        <v>329</v>
      </c>
      <c r="D695" s="521" t="s">
        <v>638</v>
      </c>
      <c r="E695" s="522">
        <v>201605</v>
      </c>
      <c r="F695" s="523">
        <v>9.0500000000000007</v>
      </c>
      <c r="G695" s="521">
        <v>11.5</v>
      </c>
      <c r="H695" s="524">
        <v>1.3083000000000001E-3</v>
      </c>
      <c r="I695" s="523">
        <v>0.14000000000000001</v>
      </c>
      <c r="J695" s="448">
        <v>0.14000000000000001</v>
      </c>
      <c r="N695" s="590"/>
      <c r="O695" s="590"/>
      <c r="R695" s="440"/>
    </row>
    <row r="696" spans="1:18" s="559" customFormat="1">
      <c r="A696" s="521" t="s">
        <v>318</v>
      </c>
      <c r="B696" s="522" t="s">
        <v>637</v>
      </c>
      <c r="C696" s="423" t="s">
        <v>329</v>
      </c>
      <c r="D696" s="521" t="s">
        <v>638</v>
      </c>
      <c r="E696" s="522">
        <v>201605</v>
      </c>
      <c r="F696" s="523">
        <v>0.72</v>
      </c>
      <c r="G696" s="521">
        <v>11.5</v>
      </c>
      <c r="H696" s="524">
        <v>1.3083000000000001E-3</v>
      </c>
      <c r="I696" s="523">
        <v>0.01</v>
      </c>
      <c r="J696" s="448">
        <v>0.01</v>
      </c>
      <c r="N696" s="590"/>
      <c r="O696" s="590"/>
      <c r="R696" s="440"/>
    </row>
    <row r="697" spans="1:18" s="559" customFormat="1">
      <c r="A697" s="521" t="s">
        <v>318</v>
      </c>
      <c r="B697" s="522" t="s">
        <v>814</v>
      </c>
      <c r="C697" s="423" t="s">
        <v>330</v>
      </c>
      <c r="D697" s="521" t="s">
        <v>815</v>
      </c>
      <c r="E697" s="522">
        <v>201605</v>
      </c>
      <c r="F697" s="523">
        <v>18627.75</v>
      </c>
      <c r="G697" s="521">
        <v>11.5</v>
      </c>
      <c r="H697" s="524">
        <v>1.3083000000000001E-3</v>
      </c>
      <c r="I697" s="523">
        <v>280.26</v>
      </c>
      <c r="J697" s="448">
        <v>292.45</v>
      </c>
      <c r="N697" s="590"/>
      <c r="O697" s="590"/>
      <c r="R697" s="440"/>
    </row>
    <row r="698" spans="1:18" s="559" customFormat="1">
      <c r="A698" s="521" t="s">
        <v>318</v>
      </c>
      <c r="B698" s="522" t="s">
        <v>814</v>
      </c>
      <c r="C698" s="423" t="s">
        <v>330</v>
      </c>
      <c r="D698" s="521" t="s">
        <v>815</v>
      </c>
      <c r="E698" s="522">
        <v>201605</v>
      </c>
      <c r="F698" s="523">
        <v>799.29</v>
      </c>
      <c r="G698" s="521">
        <v>11.5</v>
      </c>
      <c r="H698" s="524">
        <v>1.3083000000000001E-3</v>
      </c>
      <c r="I698" s="523">
        <v>12.03</v>
      </c>
      <c r="J698" s="448">
        <v>12.55</v>
      </c>
      <c r="N698" s="590"/>
      <c r="O698" s="590"/>
      <c r="R698" s="440"/>
    </row>
    <row r="699" spans="1:18" s="559" customFormat="1">
      <c r="A699" s="521" t="s">
        <v>318</v>
      </c>
      <c r="B699" s="522" t="s">
        <v>674</v>
      </c>
      <c r="C699" s="423" t="s">
        <v>330</v>
      </c>
      <c r="D699" s="521" t="s">
        <v>675</v>
      </c>
      <c r="E699" s="522">
        <v>201605</v>
      </c>
      <c r="F699" s="523">
        <v>-82761.649999999994</v>
      </c>
      <c r="G699" s="521">
        <v>11.5</v>
      </c>
      <c r="H699" s="524">
        <v>1.3083000000000001E-3</v>
      </c>
      <c r="I699" s="523">
        <v>-1245.19</v>
      </c>
      <c r="J699" s="448">
        <v>-1299.32</v>
      </c>
      <c r="N699" s="590"/>
      <c r="O699" s="590"/>
      <c r="R699" s="440"/>
    </row>
    <row r="700" spans="1:18" s="559" customFormat="1">
      <c r="A700" s="521" t="s">
        <v>318</v>
      </c>
      <c r="B700" s="522" t="s">
        <v>674</v>
      </c>
      <c r="C700" s="423" t="s">
        <v>330</v>
      </c>
      <c r="D700" s="521" t="s">
        <v>675</v>
      </c>
      <c r="E700" s="522">
        <v>201605</v>
      </c>
      <c r="F700" s="523">
        <v>3810.52</v>
      </c>
      <c r="G700" s="521">
        <v>11.5</v>
      </c>
      <c r="H700" s="524">
        <v>1.3083000000000001E-3</v>
      </c>
      <c r="I700" s="523">
        <v>57.33</v>
      </c>
      <c r="J700" s="448">
        <v>59.82</v>
      </c>
      <c r="N700" s="590"/>
      <c r="O700" s="590"/>
      <c r="R700" s="440"/>
    </row>
    <row r="701" spans="1:18" s="559" customFormat="1">
      <c r="A701" s="521" t="s">
        <v>318</v>
      </c>
      <c r="B701" s="522" t="s">
        <v>790</v>
      </c>
      <c r="C701" s="423" t="s">
        <v>330</v>
      </c>
      <c r="D701" s="521" t="s">
        <v>791</v>
      </c>
      <c r="E701" s="522">
        <v>201605</v>
      </c>
      <c r="F701" s="523">
        <v>42838.21</v>
      </c>
      <c r="G701" s="521">
        <v>11.5</v>
      </c>
      <c r="H701" s="524">
        <v>1.3083000000000001E-3</v>
      </c>
      <c r="I701" s="523">
        <v>644.52</v>
      </c>
      <c r="J701" s="448">
        <v>672.54</v>
      </c>
      <c r="N701" s="590"/>
      <c r="O701" s="590"/>
      <c r="R701" s="440"/>
    </row>
    <row r="702" spans="1:18" s="559" customFormat="1">
      <c r="A702" s="521" t="s">
        <v>318</v>
      </c>
      <c r="B702" s="522" t="s">
        <v>790</v>
      </c>
      <c r="C702" s="423" t="s">
        <v>330</v>
      </c>
      <c r="D702" s="521" t="s">
        <v>791</v>
      </c>
      <c r="E702" s="522">
        <v>201605</v>
      </c>
      <c r="F702" s="523">
        <v>1819.06</v>
      </c>
      <c r="G702" s="521">
        <v>11.5</v>
      </c>
      <c r="H702" s="524">
        <v>1.3083000000000001E-3</v>
      </c>
      <c r="I702" s="523">
        <v>27.37</v>
      </c>
      <c r="J702" s="448">
        <v>28.56</v>
      </c>
      <c r="N702" s="590"/>
      <c r="O702" s="590"/>
      <c r="R702" s="440"/>
    </row>
    <row r="703" spans="1:18" s="559" customFormat="1">
      <c r="A703" s="521" t="s">
        <v>318</v>
      </c>
      <c r="B703" s="522" t="s">
        <v>840</v>
      </c>
      <c r="C703" s="423" t="s">
        <v>330</v>
      </c>
      <c r="D703" s="521" t="s">
        <v>841</v>
      </c>
      <c r="E703" s="522">
        <v>201605</v>
      </c>
      <c r="F703" s="523">
        <v>451199.6</v>
      </c>
      <c r="G703" s="521">
        <v>11.5</v>
      </c>
      <c r="H703" s="524">
        <v>1.3083000000000001E-3</v>
      </c>
      <c r="I703" s="523">
        <v>6788.5</v>
      </c>
      <c r="J703" s="448">
        <v>7083.65</v>
      </c>
      <c r="N703" s="590"/>
      <c r="O703" s="590"/>
      <c r="R703" s="440"/>
    </row>
    <row r="704" spans="1:18" s="559" customFormat="1">
      <c r="A704" s="521" t="s">
        <v>318</v>
      </c>
      <c r="B704" s="522" t="s">
        <v>840</v>
      </c>
      <c r="C704" s="423" t="s">
        <v>330</v>
      </c>
      <c r="D704" s="521" t="s">
        <v>841</v>
      </c>
      <c r="E704" s="522">
        <v>201605</v>
      </c>
      <c r="F704" s="523">
        <v>42496.2</v>
      </c>
      <c r="G704" s="521">
        <v>11.5</v>
      </c>
      <c r="H704" s="524">
        <v>1.3083000000000001E-3</v>
      </c>
      <c r="I704" s="523">
        <v>639.37</v>
      </c>
      <c r="J704" s="448">
        <v>667.17</v>
      </c>
      <c r="N704" s="590"/>
      <c r="O704" s="590"/>
      <c r="R704" s="440"/>
    </row>
    <row r="705" spans="1:18" s="559" customFormat="1">
      <c r="A705" s="521" t="s">
        <v>318</v>
      </c>
      <c r="B705" s="522" t="s">
        <v>842</v>
      </c>
      <c r="C705" s="423" t="s">
        <v>330</v>
      </c>
      <c r="D705" s="521" t="s">
        <v>843</v>
      </c>
      <c r="E705" s="522">
        <v>201605</v>
      </c>
      <c r="F705" s="523">
        <v>822412.32</v>
      </c>
      <c r="G705" s="521">
        <v>11.5</v>
      </c>
      <c r="H705" s="524">
        <v>1.3083000000000001E-3</v>
      </c>
      <c r="I705" s="523">
        <v>12373.56</v>
      </c>
      <c r="J705" s="448">
        <v>12911.54</v>
      </c>
      <c r="N705" s="590"/>
      <c r="O705" s="590"/>
      <c r="R705" s="440"/>
    </row>
    <row r="706" spans="1:18" s="559" customFormat="1">
      <c r="A706" s="521" t="s">
        <v>318</v>
      </c>
      <c r="B706" s="522" t="s">
        <v>842</v>
      </c>
      <c r="C706" s="423" t="s">
        <v>330</v>
      </c>
      <c r="D706" s="521" t="s">
        <v>843</v>
      </c>
      <c r="E706" s="522">
        <v>201605</v>
      </c>
      <c r="F706" s="523">
        <v>56889.56</v>
      </c>
      <c r="G706" s="521">
        <v>11.5</v>
      </c>
      <c r="H706" s="524">
        <v>1.3083000000000001E-3</v>
      </c>
      <c r="I706" s="523">
        <v>855.93</v>
      </c>
      <c r="J706" s="448">
        <v>893.14</v>
      </c>
      <c r="N706" s="590"/>
      <c r="O706" s="590"/>
      <c r="R706" s="440"/>
    </row>
    <row r="707" spans="1:18" s="559" customFormat="1">
      <c r="A707" s="521" t="s">
        <v>318</v>
      </c>
      <c r="B707" s="522" t="s">
        <v>639</v>
      </c>
      <c r="C707" s="423" t="s">
        <v>329</v>
      </c>
      <c r="D707" s="521" t="s">
        <v>640</v>
      </c>
      <c r="E707" s="522">
        <v>201605</v>
      </c>
      <c r="F707" s="523">
        <v>9.43</v>
      </c>
      <c r="G707" s="521">
        <v>11.5</v>
      </c>
      <c r="H707" s="524">
        <v>1.3083000000000001E-3</v>
      </c>
      <c r="I707" s="523">
        <v>0.14000000000000001</v>
      </c>
      <c r="J707" s="448">
        <v>0.15</v>
      </c>
      <c r="N707" s="590"/>
      <c r="O707" s="590"/>
      <c r="R707" s="440"/>
    </row>
    <row r="708" spans="1:18" s="559" customFormat="1">
      <c r="A708" s="521" t="s">
        <v>318</v>
      </c>
      <c r="B708" s="522" t="s">
        <v>639</v>
      </c>
      <c r="C708" s="423" t="s">
        <v>329</v>
      </c>
      <c r="D708" s="521" t="s">
        <v>640</v>
      </c>
      <c r="E708" s="522">
        <v>201605</v>
      </c>
      <c r="F708" s="523">
        <v>2.2400000000000002</v>
      </c>
      <c r="G708" s="521">
        <v>11.5</v>
      </c>
      <c r="H708" s="524">
        <v>1.3083000000000001E-3</v>
      </c>
      <c r="I708" s="523">
        <v>0.03</v>
      </c>
      <c r="J708" s="448">
        <v>0.04</v>
      </c>
      <c r="N708" s="590"/>
      <c r="O708" s="590"/>
      <c r="R708" s="440"/>
    </row>
    <row r="709" spans="1:18" s="559" customFormat="1">
      <c r="A709" s="521" t="s">
        <v>318</v>
      </c>
      <c r="B709" s="522" t="s">
        <v>676</v>
      </c>
      <c r="C709" s="423" t="s">
        <v>329</v>
      </c>
      <c r="D709" s="521" t="s">
        <v>677</v>
      </c>
      <c r="E709" s="522">
        <v>201605</v>
      </c>
      <c r="F709" s="523">
        <v>-498.44</v>
      </c>
      <c r="G709" s="521">
        <v>11.5</v>
      </c>
      <c r="H709" s="524">
        <v>1.3083000000000001E-3</v>
      </c>
      <c r="I709" s="523">
        <v>-7.5</v>
      </c>
      <c r="J709" s="448">
        <v>-7.83</v>
      </c>
      <c r="N709" s="590"/>
      <c r="O709" s="590"/>
      <c r="R709" s="440"/>
    </row>
    <row r="710" spans="1:18" s="559" customFormat="1">
      <c r="A710" s="521" t="s">
        <v>318</v>
      </c>
      <c r="B710" s="522" t="s">
        <v>676</v>
      </c>
      <c r="C710" s="423" t="s">
        <v>329</v>
      </c>
      <c r="D710" s="521" t="s">
        <v>677</v>
      </c>
      <c r="E710" s="522">
        <v>201605</v>
      </c>
      <c r="F710" s="523">
        <v>-81.78</v>
      </c>
      <c r="G710" s="521">
        <v>11.5</v>
      </c>
      <c r="H710" s="524">
        <v>1.3083000000000001E-3</v>
      </c>
      <c r="I710" s="523">
        <v>-1.23</v>
      </c>
      <c r="J710" s="448">
        <v>-1.28</v>
      </c>
      <c r="N710" s="590"/>
      <c r="O710" s="590"/>
      <c r="R710" s="440"/>
    </row>
    <row r="711" spans="1:18" s="559" customFormat="1">
      <c r="A711" s="521" t="s">
        <v>318</v>
      </c>
      <c r="B711" s="522" t="s">
        <v>844</v>
      </c>
      <c r="C711" s="423" t="s">
        <v>329</v>
      </c>
      <c r="D711" s="521" t="s">
        <v>845</v>
      </c>
      <c r="E711" s="522">
        <v>201605</v>
      </c>
      <c r="F711" s="523">
        <v>550136.38</v>
      </c>
      <c r="G711" s="521">
        <v>11.5</v>
      </c>
      <c r="H711" s="524">
        <v>1.3083000000000001E-3</v>
      </c>
      <c r="I711" s="523">
        <v>8277.0499999999993</v>
      </c>
      <c r="J711" s="448">
        <v>8636.92</v>
      </c>
      <c r="N711" s="590"/>
      <c r="O711" s="590"/>
      <c r="R711" s="440"/>
    </row>
    <row r="712" spans="1:18" s="559" customFormat="1">
      <c r="A712" s="521" t="s">
        <v>318</v>
      </c>
      <c r="B712" s="522" t="s">
        <v>844</v>
      </c>
      <c r="C712" s="423" t="s">
        <v>329</v>
      </c>
      <c r="D712" s="521" t="s">
        <v>845</v>
      </c>
      <c r="E712" s="522">
        <v>201605</v>
      </c>
      <c r="F712" s="523">
        <v>28593.95</v>
      </c>
      <c r="G712" s="521">
        <v>11.5</v>
      </c>
      <c r="H712" s="524">
        <v>1.3083000000000001E-3</v>
      </c>
      <c r="I712" s="523">
        <v>430.21</v>
      </c>
      <c r="J712" s="448">
        <v>448.91</v>
      </c>
      <c r="N712" s="590"/>
      <c r="O712" s="590"/>
      <c r="R712" s="440"/>
    </row>
    <row r="713" spans="1:18" s="559" customFormat="1">
      <c r="A713" s="521" t="s">
        <v>318</v>
      </c>
      <c r="B713" s="522" t="s">
        <v>678</v>
      </c>
      <c r="C713" s="423" t="s">
        <v>330</v>
      </c>
      <c r="D713" s="521" t="s">
        <v>679</v>
      </c>
      <c r="E713" s="522">
        <v>201605</v>
      </c>
      <c r="F713" s="523">
        <v>-163474.07</v>
      </c>
      <c r="G713" s="521">
        <v>11.5</v>
      </c>
      <c r="H713" s="524">
        <v>1.3083000000000001E-3</v>
      </c>
      <c r="I713" s="523">
        <v>-2459.54</v>
      </c>
      <c r="J713" s="448">
        <v>-2566.48</v>
      </c>
      <c r="N713" s="590"/>
      <c r="O713" s="590"/>
      <c r="R713" s="440"/>
    </row>
    <row r="714" spans="1:18" s="559" customFormat="1">
      <c r="A714" s="521" t="s">
        <v>318</v>
      </c>
      <c r="B714" s="522" t="s">
        <v>678</v>
      </c>
      <c r="C714" s="423" t="s">
        <v>330</v>
      </c>
      <c r="D714" s="521" t="s">
        <v>679</v>
      </c>
      <c r="E714" s="522">
        <v>201605</v>
      </c>
      <c r="F714" s="523">
        <v>6321.65</v>
      </c>
      <c r="G714" s="521">
        <v>11.5</v>
      </c>
      <c r="H714" s="524">
        <v>1.3083000000000001E-3</v>
      </c>
      <c r="I714" s="523">
        <v>95.11</v>
      </c>
      <c r="J714" s="448">
        <v>99.25</v>
      </c>
      <c r="N714" s="590"/>
      <c r="O714" s="590"/>
      <c r="R714" s="440"/>
    </row>
    <row r="715" spans="1:18" s="559" customFormat="1">
      <c r="A715" s="521" t="s">
        <v>318</v>
      </c>
      <c r="B715" s="522" t="s">
        <v>680</v>
      </c>
      <c r="C715" s="423" t="s">
        <v>330</v>
      </c>
      <c r="D715" s="521" t="s">
        <v>681</v>
      </c>
      <c r="E715" s="522">
        <v>201605</v>
      </c>
      <c r="F715" s="523">
        <v>-80.64</v>
      </c>
      <c r="G715" s="521">
        <v>11.5</v>
      </c>
      <c r="H715" s="524">
        <v>1.3083000000000001E-3</v>
      </c>
      <c r="I715" s="523">
        <v>-1.21</v>
      </c>
      <c r="J715" s="448">
        <v>-1.27</v>
      </c>
      <c r="N715" s="590"/>
      <c r="O715" s="590"/>
      <c r="R715" s="440"/>
    </row>
    <row r="716" spans="1:18" s="559" customFormat="1">
      <c r="A716" s="521" t="s">
        <v>318</v>
      </c>
      <c r="B716" s="522" t="s">
        <v>680</v>
      </c>
      <c r="C716" s="423" t="s">
        <v>330</v>
      </c>
      <c r="D716" s="521" t="s">
        <v>681</v>
      </c>
      <c r="E716" s="522">
        <v>201605</v>
      </c>
      <c r="F716" s="523">
        <v>-2.0099999999999998</v>
      </c>
      <c r="G716" s="521">
        <v>11.5</v>
      </c>
      <c r="H716" s="524">
        <v>1.3083000000000001E-3</v>
      </c>
      <c r="I716" s="523">
        <v>-0.03</v>
      </c>
      <c r="J716" s="448">
        <v>-0.03</v>
      </c>
      <c r="N716" s="590"/>
      <c r="O716" s="590"/>
      <c r="R716" s="440"/>
    </row>
    <row r="717" spans="1:18" s="559" customFormat="1">
      <c r="A717" s="521" t="s">
        <v>318</v>
      </c>
      <c r="B717" s="522" t="s">
        <v>682</v>
      </c>
      <c r="C717" s="423" t="s">
        <v>330</v>
      </c>
      <c r="D717" s="521" t="s">
        <v>683</v>
      </c>
      <c r="E717" s="522">
        <v>201605</v>
      </c>
      <c r="F717" s="523">
        <v>18191.2</v>
      </c>
      <c r="G717" s="521">
        <v>11.5</v>
      </c>
      <c r="H717" s="524">
        <v>1.3083000000000001E-3</v>
      </c>
      <c r="I717" s="523">
        <v>273.69</v>
      </c>
      <c r="J717" s="448">
        <v>285.58999999999997</v>
      </c>
      <c r="N717" s="590"/>
      <c r="O717" s="590"/>
      <c r="R717" s="440"/>
    </row>
    <row r="718" spans="1:18" s="559" customFormat="1">
      <c r="A718" s="521" t="s">
        <v>318</v>
      </c>
      <c r="B718" s="522" t="s">
        <v>682</v>
      </c>
      <c r="C718" s="423" t="s">
        <v>330</v>
      </c>
      <c r="D718" s="521" t="s">
        <v>683</v>
      </c>
      <c r="E718" s="522">
        <v>201605</v>
      </c>
      <c r="F718" s="523">
        <v>758.87</v>
      </c>
      <c r="G718" s="521">
        <v>11.5</v>
      </c>
      <c r="H718" s="524">
        <v>1.3083000000000001E-3</v>
      </c>
      <c r="I718" s="523">
        <v>11.42</v>
      </c>
      <c r="J718" s="448">
        <v>11.91</v>
      </c>
      <c r="N718" s="590"/>
      <c r="O718" s="590"/>
      <c r="R718" s="440"/>
    </row>
    <row r="719" spans="1:18" s="559" customFormat="1">
      <c r="A719" s="521" t="s">
        <v>318</v>
      </c>
      <c r="B719" s="522" t="s">
        <v>641</v>
      </c>
      <c r="C719" s="423" t="s">
        <v>330</v>
      </c>
      <c r="D719" s="521" t="s">
        <v>642</v>
      </c>
      <c r="E719" s="522">
        <v>201605</v>
      </c>
      <c r="F719" s="523">
        <v>1.1399999999999999</v>
      </c>
      <c r="G719" s="521">
        <v>11.5</v>
      </c>
      <c r="H719" s="524">
        <v>1.3083000000000001E-3</v>
      </c>
      <c r="I719" s="523">
        <v>0.02</v>
      </c>
      <c r="J719" s="448">
        <v>0.02</v>
      </c>
      <c r="N719" s="590"/>
      <c r="O719" s="590"/>
      <c r="R719" s="440"/>
    </row>
    <row r="720" spans="1:18" s="559" customFormat="1">
      <c r="A720" s="521" t="s">
        <v>318</v>
      </c>
      <c r="B720" s="522" t="s">
        <v>641</v>
      </c>
      <c r="C720" s="423" t="s">
        <v>330</v>
      </c>
      <c r="D720" s="521" t="s">
        <v>642</v>
      </c>
      <c r="E720" s="522">
        <v>201605</v>
      </c>
      <c r="F720" s="523">
        <v>0.1</v>
      </c>
      <c r="G720" s="521">
        <v>11.5</v>
      </c>
      <c r="H720" s="524">
        <v>1.3083000000000001E-3</v>
      </c>
      <c r="I720" s="523">
        <v>0</v>
      </c>
      <c r="J720" s="448">
        <v>0</v>
      </c>
      <c r="N720" s="590"/>
      <c r="O720" s="590"/>
      <c r="R720" s="440"/>
    </row>
    <row r="721" spans="1:18" s="559" customFormat="1">
      <c r="A721" s="521" t="s">
        <v>318</v>
      </c>
      <c r="B721" s="522" t="s">
        <v>816</v>
      </c>
      <c r="C721" s="423" t="s">
        <v>329</v>
      </c>
      <c r="D721" s="521" t="s">
        <v>817</v>
      </c>
      <c r="E721" s="522">
        <v>201605</v>
      </c>
      <c r="F721" s="523">
        <v>27342.16</v>
      </c>
      <c r="G721" s="521">
        <v>11.5</v>
      </c>
      <c r="H721" s="524">
        <v>1.3083000000000001E-3</v>
      </c>
      <c r="I721" s="523">
        <v>411.38</v>
      </c>
      <c r="J721" s="448">
        <v>429.26</v>
      </c>
      <c r="N721" s="590"/>
      <c r="O721" s="590"/>
      <c r="R721" s="440"/>
    </row>
    <row r="722" spans="1:18" s="559" customFormat="1">
      <c r="A722" s="521" t="s">
        <v>318</v>
      </c>
      <c r="B722" s="522" t="s">
        <v>816</v>
      </c>
      <c r="C722" s="423" t="s">
        <v>329</v>
      </c>
      <c r="D722" s="521" t="s">
        <v>817</v>
      </c>
      <c r="E722" s="522">
        <v>201605</v>
      </c>
      <c r="F722" s="523">
        <v>2443.46</v>
      </c>
      <c r="G722" s="521">
        <v>11.5</v>
      </c>
      <c r="H722" s="524">
        <v>1.3083000000000001E-3</v>
      </c>
      <c r="I722" s="523">
        <v>36.76</v>
      </c>
      <c r="J722" s="448">
        <v>38.36</v>
      </c>
      <c r="N722" s="590"/>
      <c r="O722" s="590"/>
      <c r="R722" s="440"/>
    </row>
    <row r="723" spans="1:18" s="559" customFormat="1">
      <c r="A723" s="521" t="s">
        <v>318</v>
      </c>
      <c r="B723" s="522" t="s">
        <v>846</v>
      </c>
      <c r="C723" s="423" t="s">
        <v>330</v>
      </c>
      <c r="D723" s="521" t="s">
        <v>847</v>
      </c>
      <c r="E723" s="522">
        <v>201605</v>
      </c>
      <c r="F723" s="523">
        <v>275405.8</v>
      </c>
      <c r="G723" s="521">
        <v>11.5</v>
      </c>
      <c r="H723" s="524">
        <v>1.3083000000000001E-3</v>
      </c>
      <c r="I723" s="523">
        <v>4143.6000000000004</v>
      </c>
      <c r="J723" s="448">
        <v>4323.76</v>
      </c>
      <c r="N723" s="590"/>
      <c r="O723" s="590"/>
      <c r="R723" s="440"/>
    </row>
    <row r="724" spans="1:18" s="559" customFormat="1">
      <c r="A724" s="521" t="s">
        <v>318</v>
      </c>
      <c r="B724" s="522" t="s">
        <v>846</v>
      </c>
      <c r="C724" s="423" t="s">
        <v>330</v>
      </c>
      <c r="D724" s="521" t="s">
        <v>847</v>
      </c>
      <c r="E724" s="522">
        <v>201605</v>
      </c>
      <c r="F724" s="523">
        <v>10435.540000000001</v>
      </c>
      <c r="G724" s="521">
        <v>11.5</v>
      </c>
      <c r="H724" s="524">
        <v>1.3083000000000001E-3</v>
      </c>
      <c r="I724" s="523">
        <v>157.01</v>
      </c>
      <c r="J724" s="448">
        <v>163.83000000000001</v>
      </c>
      <c r="N724" s="590"/>
      <c r="O724" s="590"/>
      <c r="R724" s="440"/>
    </row>
    <row r="725" spans="1:18" s="559" customFormat="1">
      <c r="A725" s="521" t="s">
        <v>318</v>
      </c>
      <c r="B725" s="522" t="s">
        <v>848</v>
      </c>
      <c r="C725" s="423" t="s">
        <v>330</v>
      </c>
      <c r="D725" s="521" t="s">
        <v>849</v>
      </c>
      <c r="E725" s="522">
        <v>201605</v>
      </c>
      <c r="F725" s="523">
        <v>656116.14</v>
      </c>
      <c r="G725" s="521">
        <v>11.5</v>
      </c>
      <c r="H725" s="524">
        <v>1.3083000000000001E-3</v>
      </c>
      <c r="I725" s="523">
        <v>9871.56</v>
      </c>
      <c r="J725" s="448">
        <v>10300.76</v>
      </c>
      <c r="N725" s="590"/>
      <c r="O725" s="590"/>
      <c r="R725" s="440"/>
    </row>
    <row r="726" spans="1:18" s="559" customFormat="1">
      <c r="A726" s="521" t="s">
        <v>318</v>
      </c>
      <c r="B726" s="522" t="s">
        <v>848</v>
      </c>
      <c r="C726" s="423" t="s">
        <v>330</v>
      </c>
      <c r="D726" s="521" t="s">
        <v>849</v>
      </c>
      <c r="E726" s="522">
        <v>201605</v>
      </c>
      <c r="F726" s="523">
        <v>31359.85</v>
      </c>
      <c r="G726" s="521">
        <v>11.5</v>
      </c>
      <c r="H726" s="524">
        <v>1.3083000000000001E-3</v>
      </c>
      <c r="I726" s="523">
        <v>471.82</v>
      </c>
      <c r="J726" s="448">
        <v>492.34</v>
      </c>
      <c r="N726" s="590"/>
      <c r="O726" s="590"/>
      <c r="R726" s="440"/>
    </row>
    <row r="727" spans="1:18" s="559" customFormat="1">
      <c r="A727" s="521" t="s">
        <v>318</v>
      </c>
      <c r="B727" s="522" t="s">
        <v>684</v>
      </c>
      <c r="C727" s="423" t="s">
        <v>330</v>
      </c>
      <c r="D727" s="521" t="s">
        <v>685</v>
      </c>
      <c r="E727" s="522">
        <v>201605</v>
      </c>
      <c r="F727" s="523">
        <v>-1.72</v>
      </c>
      <c r="G727" s="521">
        <v>11.5</v>
      </c>
      <c r="H727" s="524">
        <v>1.3083000000000001E-3</v>
      </c>
      <c r="I727" s="523">
        <v>-0.03</v>
      </c>
      <c r="J727" s="448">
        <v>-0.03</v>
      </c>
      <c r="N727" s="590"/>
      <c r="O727" s="590"/>
      <c r="R727" s="440"/>
    </row>
    <row r="728" spans="1:18" s="559" customFormat="1">
      <c r="A728" s="521" t="s">
        <v>318</v>
      </c>
      <c r="B728" s="522" t="s">
        <v>684</v>
      </c>
      <c r="C728" s="423" t="s">
        <v>330</v>
      </c>
      <c r="D728" s="521" t="s">
        <v>685</v>
      </c>
      <c r="E728" s="522">
        <v>201605</v>
      </c>
      <c r="F728" s="523">
        <v>-0.01</v>
      </c>
      <c r="G728" s="521">
        <v>11.5</v>
      </c>
      <c r="H728" s="524">
        <v>1.3083000000000001E-3</v>
      </c>
      <c r="I728" s="523">
        <v>0</v>
      </c>
      <c r="J728" s="448">
        <v>0</v>
      </c>
      <c r="N728" s="590"/>
      <c r="O728" s="590"/>
      <c r="R728" s="440"/>
    </row>
    <row r="729" spans="1:18" s="559" customFormat="1">
      <c r="A729" s="521" t="s">
        <v>318</v>
      </c>
      <c r="B729" s="522" t="s">
        <v>792</v>
      </c>
      <c r="C729" s="423" t="s">
        <v>329</v>
      </c>
      <c r="D729" s="521" t="s">
        <v>793</v>
      </c>
      <c r="E729" s="522">
        <v>201605</v>
      </c>
      <c r="F729" s="523">
        <v>9599</v>
      </c>
      <c r="G729" s="521">
        <v>11.5</v>
      </c>
      <c r="H729" s="524">
        <v>1.3083000000000001E-3</v>
      </c>
      <c r="I729" s="523">
        <v>144.41999999999999</v>
      </c>
      <c r="J729" s="448">
        <v>150.69999999999999</v>
      </c>
      <c r="N729" s="590"/>
      <c r="O729" s="590"/>
      <c r="R729" s="440"/>
    </row>
    <row r="730" spans="1:18" s="559" customFormat="1">
      <c r="A730" s="521" t="s">
        <v>318</v>
      </c>
      <c r="B730" s="522" t="s">
        <v>792</v>
      </c>
      <c r="C730" s="423" t="s">
        <v>329</v>
      </c>
      <c r="D730" s="521" t="s">
        <v>793</v>
      </c>
      <c r="E730" s="522">
        <v>201605</v>
      </c>
      <c r="F730" s="523">
        <v>38349.39</v>
      </c>
      <c r="G730" s="521">
        <v>11.5</v>
      </c>
      <c r="H730" s="524">
        <v>1.3083000000000001E-3</v>
      </c>
      <c r="I730" s="523">
        <v>576.98</v>
      </c>
      <c r="J730" s="448">
        <v>602.07000000000005</v>
      </c>
      <c r="N730" s="590"/>
      <c r="O730" s="590"/>
      <c r="R730" s="440"/>
    </row>
    <row r="731" spans="1:18" s="559" customFormat="1">
      <c r="A731" s="521" t="s">
        <v>318</v>
      </c>
      <c r="B731" s="522" t="s">
        <v>686</v>
      </c>
      <c r="C731" s="423" t="s">
        <v>329</v>
      </c>
      <c r="D731" s="521" t="s">
        <v>687</v>
      </c>
      <c r="E731" s="522">
        <v>201605</v>
      </c>
      <c r="F731" s="523">
        <v>10241.18</v>
      </c>
      <c r="G731" s="521">
        <v>11.5</v>
      </c>
      <c r="H731" s="524">
        <v>1.3083000000000001E-3</v>
      </c>
      <c r="I731" s="523">
        <v>154.08000000000001</v>
      </c>
      <c r="J731" s="448">
        <v>160.78</v>
      </c>
      <c r="N731" s="590"/>
      <c r="O731" s="590"/>
      <c r="R731" s="440"/>
    </row>
    <row r="732" spans="1:18" s="559" customFormat="1">
      <c r="A732" s="521" t="s">
        <v>318</v>
      </c>
      <c r="B732" s="522" t="s">
        <v>686</v>
      </c>
      <c r="C732" s="423" t="s">
        <v>329</v>
      </c>
      <c r="D732" s="521" t="s">
        <v>687</v>
      </c>
      <c r="E732" s="522">
        <v>201605</v>
      </c>
      <c r="F732" s="523">
        <v>10768.98</v>
      </c>
      <c r="G732" s="521">
        <v>11.5</v>
      </c>
      <c r="H732" s="524">
        <v>1.3083000000000001E-3</v>
      </c>
      <c r="I732" s="523">
        <v>162.02000000000001</v>
      </c>
      <c r="J732" s="448">
        <v>169.07</v>
      </c>
      <c r="N732" s="590"/>
      <c r="O732" s="590"/>
      <c r="R732" s="440"/>
    </row>
    <row r="733" spans="1:18" s="559" customFormat="1">
      <c r="A733" s="521" t="s">
        <v>318</v>
      </c>
      <c r="B733" s="522" t="s">
        <v>818</v>
      </c>
      <c r="C733" s="423" t="s">
        <v>329</v>
      </c>
      <c r="D733" s="521" t="s">
        <v>819</v>
      </c>
      <c r="E733" s="522">
        <v>201605</v>
      </c>
      <c r="F733" s="523">
        <v>32524.39</v>
      </c>
      <c r="G733" s="521">
        <v>11.5</v>
      </c>
      <c r="H733" s="524">
        <v>1.3083000000000001E-3</v>
      </c>
      <c r="I733" s="523">
        <v>489.34</v>
      </c>
      <c r="J733" s="448">
        <v>510.62</v>
      </c>
      <c r="N733" s="590"/>
      <c r="O733" s="590"/>
      <c r="R733" s="440"/>
    </row>
    <row r="734" spans="1:18" s="559" customFormat="1">
      <c r="A734" s="521" t="s">
        <v>318</v>
      </c>
      <c r="B734" s="522" t="s">
        <v>818</v>
      </c>
      <c r="C734" s="423" t="s">
        <v>329</v>
      </c>
      <c r="D734" s="521" t="s">
        <v>819</v>
      </c>
      <c r="E734" s="522">
        <v>201605</v>
      </c>
      <c r="F734" s="523">
        <v>4496.24</v>
      </c>
      <c r="G734" s="521">
        <v>11.5</v>
      </c>
      <c r="H734" s="524">
        <v>1.3083000000000001E-3</v>
      </c>
      <c r="I734" s="523">
        <v>67.650000000000006</v>
      </c>
      <c r="J734" s="448">
        <v>70.59</v>
      </c>
      <c r="N734" s="590"/>
      <c r="O734" s="590"/>
      <c r="R734" s="440"/>
    </row>
    <row r="735" spans="1:18" s="559" customFormat="1">
      <c r="A735" s="521" t="s">
        <v>318</v>
      </c>
      <c r="B735" s="522" t="s">
        <v>820</v>
      </c>
      <c r="C735" s="423" t="s">
        <v>329</v>
      </c>
      <c r="D735" s="521" t="s">
        <v>821</v>
      </c>
      <c r="E735" s="522">
        <v>201605</v>
      </c>
      <c r="F735" s="523">
        <v>20277.34</v>
      </c>
      <c r="G735" s="521">
        <v>11.5</v>
      </c>
      <c r="H735" s="524">
        <v>1.3083000000000001E-3</v>
      </c>
      <c r="I735" s="523">
        <v>305.08</v>
      </c>
      <c r="J735" s="448">
        <v>318.35000000000002</v>
      </c>
      <c r="N735" s="590"/>
      <c r="O735" s="590"/>
      <c r="R735" s="440"/>
    </row>
    <row r="736" spans="1:18" s="559" customFormat="1">
      <c r="A736" s="521" t="s">
        <v>318</v>
      </c>
      <c r="B736" s="522" t="s">
        <v>820</v>
      </c>
      <c r="C736" s="423" t="s">
        <v>329</v>
      </c>
      <c r="D736" s="521" t="s">
        <v>821</v>
      </c>
      <c r="E736" s="522">
        <v>201605</v>
      </c>
      <c r="F736" s="523">
        <v>1580.09</v>
      </c>
      <c r="G736" s="521">
        <v>11.5</v>
      </c>
      <c r="H736" s="524">
        <v>1.3083000000000001E-3</v>
      </c>
      <c r="I736" s="523">
        <v>23.77</v>
      </c>
      <c r="J736" s="448">
        <v>24.81</v>
      </c>
      <c r="N736" s="590"/>
      <c r="O736" s="590"/>
      <c r="R736" s="440"/>
    </row>
    <row r="737" spans="1:18" s="559" customFormat="1">
      <c r="A737" s="521" t="s">
        <v>318</v>
      </c>
      <c r="B737" s="522" t="s">
        <v>688</v>
      </c>
      <c r="C737" s="423" t="s">
        <v>329</v>
      </c>
      <c r="D737" s="521" t="s">
        <v>689</v>
      </c>
      <c r="E737" s="522">
        <v>201605</v>
      </c>
      <c r="F737" s="523">
        <v>-515.66</v>
      </c>
      <c r="G737" s="521">
        <v>11.5</v>
      </c>
      <c r="H737" s="524">
        <v>1.3083000000000001E-3</v>
      </c>
      <c r="I737" s="523">
        <v>-7.76</v>
      </c>
      <c r="J737" s="448">
        <v>-8.1</v>
      </c>
      <c r="N737" s="590"/>
      <c r="O737" s="590"/>
      <c r="R737" s="440"/>
    </row>
    <row r="738" spans="1:18" s="559" customFormat="1">
      <c r="A738" s="521" t="s">
        <v>322</v>
      </c>
      <c r="B738" s="522" t="s">
        <v>688</v>
      </c>
      <c r="C738" s="423" t="s">
        <v>329</v>
      </c>
      <c r="D738" s="521" t="s">
        <v>689</v>
      </c>
      <c r="E738" s="522">
        <v>201605</v>
      </c>
      <c r="F738" s="523">
        <v>-9.15</v>
      </c>
      <c r="G738" s="521">
        <v>11.5</v>
      </c>
      <c r="H738" s="524">
        <v>1.1999999999999999E-3</v>
      </c>
      <c r="I738" s="523">
        <v>-0.13</v>
      </c>
      <c r="J738" s="448">
        <v>-0.13</v>
      </c>
      <c r="N738" s="590"/>
      <c r="O738" s="590"/>
      <c r="R738" s="440"/>
    </row>
    <row r="739" spans="1:18" s="559" customFormat="1">
      <c r="A739" s="521" t="s">
        <v>318</v>
      </c>
      <c r="B739" s="522" t="s">
        <v>688</v>
      </c>
      <c r="C739" s="423" t="s">
        <v>329</v>
      </c>
      <c r="D739" s="521" t="s">
        <v>689</v>
      </c>
      <c r="E739" s="522">
        <v>201605</v>
      </c>
      <c r="F739" s="523">
        <v>-96.65</v>
      </c>
      <c r="G739" s="521">
        <v>11.5</v>
      </c>
      <c r="H739" s="524">
        <v>1.3083000000000001E-3</v>
      </c>
      <c r="I739" s="523">
        <v>-1.45</v>
      </c>
      <c r="J739" s="448">
        <v>-1.52</v>
      </c>
      <c r="N739" s="590"/>
      <c r="O739" s="590"/>
      <c r="R739" s="440"/>
    </row>
    <row r="740" spans="1:18" s="559" customFormat="1">
      <c r="A740" s="521" t="s">
        <v>318</v>
      </c>
      <c r="B740" s="522" t="s">
        <v>822</v>
      </c>
      <c r="C740" s="423" t="s">
        <v>330</v>
      </c>
      <c r="D740" s="521" t="s">
        <v>823</v>
      </c>
      <c r="E740" s="522">
        <v>201605</v>
      </c>
      <c r="F740" s="523">
        <v>16593.79</v>
      </c>
      <c r="G740" s="521">
        <v>11.5</v>
      </c>
      <c r="H740" s="524">
        <v>1.3083000000000001E-3</v>
      </c>
      <c r="I740" s="523">
        <v>249.66</v>
      </c>
      <c r="J740" s="448">
        <v>260.52</v>
      </c>
      <c r="N740" s="590"/>
      <c r="O740" s="590"/>
      <c r="R740" s="440"/>
    </row>
    <row r="741" spans="1:18" s="559" customFormat="1">
      <c r="A741" s="521" t="s">
        <v>318</v>
      </c>
      <c r="B741" s="522" t="s">
        <v>822</v>
      </c>
      <c r="C741" s="423" t="s">
        <v>330</v>
      </c>
      <c r="D741" s="521" t="s">
        <v>823</v>
      </c>
      <c r="E741" s="522">
        <v>201605</v>
      </c>
      <c r="F741" s="523">
        <v>1186.82</v>
      </c>
      <c r="G741" s="521">
        <v>11.5</v>
      </c>
      <c r="H741" s="524">
        <v>1.3083000000000001E-3</v>
      </c>
      <c r="I741" s="523">
        <v>17.86</v>
      </c>
      <c r="J741" s="448">
        <v>18.63</v>
      </c>
      <c r="N741" s="590"/>
      <c r="O741" s="590"/>
      <c r="R741" s="440"/>
    </row>
    <row r="742" spans="1:18" s="559" customFormat="1">
      <c r="A742" s="521" t="s">
        <v>318</v>
      </c>
      <c r="B742" s="522" t="s">
        <v>690</v>
      </c>
      <c r="C742" s="423" t="s">
        <v>330</v>
      </c>
      <c r="D742" s="521" t="s">
        <v>691</v>
      </c>
      <c r="E742" s="522">
        <v>201605</v>
      </c>
      <c r="F742" s="523">
        <v>-9309.69</v>
      </c>
      <c r="G742" s="521">
        <v>11.5</v>
      </c>
      <c r="H742" s="524">
        <v>1.3083000000000001E-3</v>
      </c>
      <c r="I742" s="523">
        <v>-140.07</v>
      </c>
      <c r="J742" s="448">
        <v>-146.16</v>
      </c>
      <c r="N742" s="590"/>
      <c r="O742" s="590"/>
      <c r="R742" s="440"/>
    </row>
    <row r="743" spans="1:18" s="559" customFormat="1">
      <c r="A743" s="521" t="s">
        <v>318</v>
      </c>
      <c r="B743" s="522" t="s">
        <v>690</v>
      </c>
      <c r="C743" s="423" t="s">
        <v>330</v>
      </c>
      <c r="D743" s="521" t="s">
        <v>691</v>
      </c>
      <c r="E743" s="522">
        <v>201605</v>
      </c>
      <c r="F743" s="523">
        <v>-9033.64</v>
      </c>
      <c r="G743" s="521">
        <v>11.5</v>
      </c>
      <c r="H743" s="524">
        <v>1.3083000000000001E-3</v>
      </c>
      <c r="I743" s="523">
        <v>-135.91999999999999</v>
      </c>
      <c r="J743" s="448">
        <v>-141.82</v>
      </c>
      <c r="N743" s="590"/>
      <c r="O743" s="590"/>
      <c r="R743" s="440"/>
    </row>
    <row r="744" spans="1:18" s="559" customFormat="1">
      <c r="A744" s="521" t="s">
        <v>318</v>
      </c>
      <c r="B744" s="522" t="s">
        <v>824</v>
      </c>
      <c r="C744" s="423" t="s">
        <v>329</v>
      </c>
      <c r="D744" s="521" t="s">
        <v>825</v>
      </c>
      <c r="E744" s="522">
        <v>201605</v>
      </c>
      <c r="F744" s="523">
        <v>18092.36</v>
      </c>
      <c r="G744" s="521">
        <v>11.5</v>
      </c>
      <c r="H744" s="524">
        <v>1.3083000000000001E-3</v>
      </c>
      <c r="I744" s="523">
        <v>272.20999999999998</v>
      </c>
      <c r="J744" s="448">
        <v>284.04000000000002</v>
      </c>
      <c r="N744" s="590"/>
      <c r="O744" s="590"/>
      <c r="R744" s="440"/>
    </row>
    <row r="745" spans="1:18" s="559" customFormat="1">
      <c r="A745" s="521" t="s">
        <v>318</v>
      </c>
      <c r="B745" s="522" t="s">
        <v>824</v>
      </c>
      <c r="C745" s="423" t="s">
        <v>329</v>
      </c>
      <c r="D745" s="521" t="s">
        <v>825</v>
      </c>
      <c r="E745" s="522">
        <v>201605</v>
      </c>
      <c r="F745" s="523">
        <v>8984.92</v>
      </c>
      <c r="G745" s="521">
        <v>11.5</v>
      </c>
      <c r="H745" s="524">
        <v>1.3083000000000001E-3</v>
      </c>
      <c r="I745" s="523">
        <v>135.18</v>
      </c>
      <c r="J745" s="448">
        <v>141.06</v>
      </c>
      <c r="N745" s="590"/>
      <c r="O745" s="590"/>
      <c r="R745" s="440"/>
    </row>
    <row r="746" spans="1:18" s="559" customFormat="1">
      <c r="A746" s="521" t="s">
        <v>318</v>
      </c>
      <c r="B746" s="522" t="s">
        <v>850</v>
      </c>
      <c r="C746" s="423" t="s">
        <v>329</v>
      </c>
      <c r="D746" s="521" t="s">
        <v>851</v>
      </c>
      <c r="E746" s="522">
        <v>201605</v>
      </c>
      <c r="F746" s="523">
        <v>1067045.1299999999</v>
      </c>
      <c r="G746" s="521">
        <v>11.5</v>
      </c>
      <c r="H746" s="524">
        <v>1.3083000000000001E-3</v>
      </c>
      <c r="I746" s="523">
        <v>16054.17</v>
      </c>
      <c r="J746" s="448">
        <v>16752.18</v>
      </c>
      <c r="N746" s="590"/>
      <c r="O746" s="590"/>
      <c r="R746" s="440"/>
    </row>
    <row r="747" spans="1:18" s="559" customFormat="1">
      <c r="A747" s="521" t="s">
        <v>318</v>
      </c>
      <c r="B747" s="522" t="s">
        <v>850</v>
      </c>
      <c r="C747" s="423" t="s">
        <v>329</v>
      </c>
      <c r="D747" s="521" t="s">
        <v>851</v>
      </c>
      <c r="E747" s="522">
        <v>201605</v>
      </c>
      <c r="F747" s="523">
        <v>87797.759999999995</v>
      </c>
      <c r="G747" s="521">
        <v>11.5</v>
      </c>
      <c r="H747" s="524">
        <v>1.3083000000000001E-3</v>
      </c>
      <c r="I747" s="523">
        <v>1320.96</v>
      </c>
      <c r="J747" s="448">
        <v>1378.39</v>
      </c>
      <c r="N747" s="590"/>
      <c r="O747" s="590"/>
      <c r="R747" s="440"/>
    </row>
    <row r="748" spans="1:18" s="559" customFormat="1">
      <c r="A748" s="521" t="s">
        <v>318</v>
      </c>
      <c r="B748" s="522" t="s">
        <v>692</v>
      </c>
      <c r="C748" s="423" t="s">
        <v>330</v>
      </c>
      <c r="D748" s="521" t="s">
        <v>693</v>
      </c>
      <c r="E748" s="522">
        <v>201605</v>
      </c>
      <c r="F748" s="523">
        <v>248.06</v>
      </c>
      <c r="G748" s="521">
        <v>11.5</v>
      </c>
      <c r="H748" s="524">
        <v>1.3083000000000001E-3</v>
      </c>
      <c r="I748" s="523">
        <v>3.73</v>
      </c>
      <c r="J748" s="448">
        <v>3.89</v>
      </c>
      <c r="N748" s="590"/>
      <c r="O748" s="590"/>
      <c r="R748" s="440"/>
    </row>
    <row r="749" spans="1:18" s="559" customFormat="1">
      <c r="A749" s="521" t="s">
        <v>318</v>
      </c>
      <c r="B749" s="522" t="s">
        <v>692</v>
      </c>
      <c r="C749" s="423" t="s">
        <v>330</v>
      </c>
      <c r="D749" s="521" t="s">
        <v>693</v>
      </c>
      <c r="E749" s="522">
        <v>201605</v>
      </c>
      <c r="F749" s="523">
        <v>5.83</v>
      </c>
      <c r="G749" s="521">
        <v>11.5</v>
      </c>
      <c r="H749" s="524">
        <v>1.3083000000000001E-3</v>
      </c>
      <c r="I749" s="523">
        <v>0.09</v>
      </c>
      <c r="J749" s="448">
        <v>0.09</v>
      </c>
      <c r="N749" s="590"/>
      <c r="O749" s="590"/>
      <c r="R749" s="440"/>
    </row>
    <row r="750" spans="1:18" s="559" customFormat="1">
      <c r="A750" s="521" t="s">
        <v>318</v>
      </c>
      <c r="B750" s="522" t="s">
        <v>694</v>
      </c>
      <c r="C750" s="423" t="s">
        <v>330</v>
      </c>
      <c r="D750" s="521" t="s">
        <v>695</v>
      </c>
      <c r="E750" s="522">
        <v>201605</v>
      </c>
      <c r="F750" s="523">
        <v>14.52</v>
      </c>
      <c r="G750" s="521">
        <v>11.5</v>
      </c>
      <c r="H750" s="524">
        <v>1.3083000000000001E-3</v>
      </c>
      <c r="I750" s="523">
        <v>0.22</v>
      </c>
      <c r="J750" s="448">
        <v>0.23</v>
      </c>
      <c r="N750" s="590"/>
      <c r="O750" s="590"/>
      <c r="R750" s="440"/>
    </row>
    <row r="751" spans="1:18" s="559" customFormat="1">
      <c r="A751" s="521" t="s">
        <v>318</v>
      </c>
      <c r="B751" s="522" t="s">
        <v>694</v>
      </c>
      <c r="C751" s="423" t="s">
        <v>330</v>
      </c>
      <c r="D751" s="521" t="s">
        <v>695</v>
      </c>
      <c r="E751" s="522">
        <v>201605</v>
      </c>
      <c r="F751" s="523">
        <v>0.5</v>
      </c>
      <c r="G751" s="521">
        <v>11.5</v>
      </c>
      <c r="H751" s="524">
        <v>1.3083000000000001E-3</v>
      </c>
      <c r="I751" s="523">
        <v>0.01</v>
      </c>
      <c r="J751" s="448">
        <v>0.01</v>
      </c>
      <c r="N751" s="590"/>
      <c r="O751" s="590"/>
      <c r="R751" s="440"/>
    </row>
    <row r="752" spans="1:18" s="559" customFormat="1">
      <c r="A752" s="521" t="s">
        <v>318</v>
      </c>
      <c r="B752" s="522" t="s">
        <v>696</v>
      </c>
      <c r="C752" s="423" t="s">
        <v>330</v>
      </c>
      <c r="D752" s="521" t="s">
        <v>697</v>
      </c>
      <c r="E752" s="522">
        <v>201605</v>
      </c>
      <c r="F752" s="523">
        <v>-6.09</v>
      </c>
      <c r="G752" s="521">
        <v>11.5</v>
      </c>
      <c r="H752" s="524">
        <v>1.3083000000000001E-3</v>
      </c>
      <c r="I752" s="523">
        <v>-0.09</v>
      </c>
      <c r="J752" s="448">
        <v>-0.1</v>
      </c>
      <c r="N752" s="590"/>
      <c r="O752" s="590"/>
      <c r="R752" s="440"/>
    </row>
    <row r="753" spans="1:18" s="559" customFormat="1">
      <c r="A753" s="521" t="s">
        <v>318</v>
      </c>
      <c r="B753" s="522" t="s">
        <v>696</v>
      </c>
      <c r="C753" s="423" t="s">
        <v>330</v>
      </c>
      <c r="D753" s="521" t="s">
        <v>697</v>
      </c>
      <c r="E753" s="522">
        <v>201605</v>
      </c>
      <c r="F753" s="523">
        <v>-0.56000000000000005</v>
      </c>
      <c r="G753" s="521">
        <v>11.5</v>
      </c>
      <c r="H753" s="524">
        <v>1.3083000000000001E-3</v>
      </c>
      <c r="I753" s="523">
        <v>-0.01</v>
      </c>
      <c r="J753" s="448">
        <v>-0.01</v>
      </c>
      <c r="N753" s="590"/>
      <c r="O753" s="590"/>
      <c r="R753" s="440"/>
    </row>
    <row r="754" spans="1:18" s="559" customFormat="1">
      <c r="A754" s="521" t="s">
        <v>318</v>
      </c>
      <c r="B754" s="522" t="s">
        <v>698</v>
      </c>
      <c r="C754" s="423" t="s">
        <v>330</v>
      </c>
      <c r="D754" s="521" t="s">
        <v>699</v>
      </c>
      <c r="E754" s="522">
        <v>201605</v>
      </c>
      <c r="F754" s="523">
        <v>4109.7700000000004</v>
      </c>
      <c r="G754" s="521">
        <v>11.5</v>
      </c>
      <c r="H754" s="524">
        <v>1.3083000000000001E-3</v>
      </c>
      <c r="I754" s="523">
        <v>61.83</v>
      </c>
      <c r="J754" s="448">
        <v>64.52</v>
      </c>
      <c r="N754" s="590"/>
      <c r="O754" s="590"/>
      <c r="R754" s="440"/>
    </row>
    <row r="755" spans="1:18" s="559" customFormat="1">
      <c r="A755" s="521" t="s">
        <v>318</v>
      </c>
      <c r="B755" s="522" t="s">
        <v>700</v>
      </c>
      <c r="C755" s="423" t="s">
        <v>330</v>
      </c>
      <c r="D755" s="521" t="s">
        <v>701</v>
      </c>
      <c r="E755" s="522">
        <v>201605</v>
      </c>
      <c r="F755" s="523">
        <v>13195.53</v>
      </c>
      <c r="G755" s="521">
        <v>11.5</v>
      </c>
      <c r="H755" s="524">
        <v>1.3083000000000001E-3</v>
      </c>
      <c r="I755" s="523">
        <v>198.53</v>
      </c>
      <c r="J755" s="448">
        <v>207.16</v>
      </c>
      <c r="N755" s="590"/>
      <c r="O755" s="590"/>
      <c r="R755" s="440"/>
    </row>
    <row r="756" spans="1:18" s="559" customFormat="1">
      <c r="A756" s="521" t="s">
        <v>318</v>
      </c>
      <c r="B756" s="522" t="s">
        <v>700</v>
      </c>
      <c r="C756" s="423" t="s">
        <v>330</v>
      </c>
      <c r="D756" s="521" t="s">
        <v>701</v>
      </c>
      <c r="E756" s="522">
        <v>201605</v>
      </c>
      <c r="F756" s="523">
        <v>946.51</v>
      </c>
      <c r="G756" s="521">
        <v>11.5</v>
      </c>
      <c r="H756" s="524">
        <v>1.3083000000000001E-3</v>
      </c>
      <c r="I756" s="523">
        <v>14.24</v>
      </c>
      <c r="J756" s="448">
        <v>14.86</v>
      </c>
      <c r="N756" s="590"/>
      <c r="O756" s="590"/>
      <c r="R756" s="440"/>
    </row>
    <row r="757" spans="1:18" s="559" customFormat="1">
      <c r="A757" s="521" t="s">
        <v>318</v>
      </c>
      <c r="B757" s="522" t="s">
        <v>702</v>
      </c>
      <c r="C757" s="423" t="s">
        <v>330</v>
      </c>
      <c r="D757" s="521" t="s">
        <v>703</v>
      </c>
      <c r="E757" s="522">
        <v>201605</v>
      </c>
      <c r="F757" s="523">
        <v>15.35</v>
      </c>
      <c r="G757" s="521">
        <v>11.5</v>
      </c>
      <c r="H757" s="524">
        <v>1.3083000000000001E-3</v>
      </c>
      <c r="I757" s="523">
        <v>0.23</v>
      </c>
      <c r="J757" s="448">
        <v>0.24</v>
      </c>
      <c r="N757" s="590"/>
      <c r="O757" s="590"/>
      <c r="R757" s="440"/>
    </row>
    <row r="758" spans="1:18" s="559" customFormat="1">
      <c r="A758" s="521" t="s">
        <v>318</v>
      </c>
      <c r="B758" s="522" t="s">
        <v>852</v>
      </c>
      <c r="C758" s="423" t="s">
        <v>330</v>
      </c>
      <c r="D758" s="521" t="s">
        <v>853</v>
      </c>
      <c r="E758" s="522">
        <v>201605</v>
      </c>
      <c r="F758" s="523">
        <v>135373.99</v>
      </c>
      <c r="G758" s="521">
        <v>11.5</v>
      </c>
      <c r="H758" s="524">
        <v>1.3083000000000001E-3</v>
      </c>
      <c r="I758" s="523">
        <v>2036.76</v>
      </c>
      <c r="J758" s="448">
        <v>2125.3200000000002</v>
      </c>
      <c r="N758" s="590"/>
      <c r="O758" s="590"/>
      <c r="R758" s="440"/>
    </row>
    <row r="759" spans="1:18" s="559" customFormat="1">
      <c r="A759" s="521" t="s">
        <v>318</v>
      </c>
      <c r="B759" s="522" t="s">
        <v>852</v>
      </c>
      <c r="C759" s="423" t="s">
        <v>330</v>
      </c>
      <c r="D759" s="521" t="s">
        <v>853</v>
      </c>
      <c r="E759" s="522">
        <v>201605</v>
      </c>
      <c r="F759" s="523">
        <v>9206.32</v>
      </c>
      <c r="G759" s="521">
        <v>11.5</v>
      </c>
      <c r="H759" s="524">
        <v>1.3083000000000001E-3</v>
      </c>
      <c r="I759" s="523">
        <v>138.51</v>
      </c>
      <c r="J759" s="448">
        <v>144.54</v>
      </c>
      <c r="N759" s="590"/>
      <c r="O759" s="590"/>
      <c r="R759" s="440"/>
    </row>
    <row r="760" spans="1:18" s="559" customFormat="1">
      <c r="A760" s="521" t="s">
        <v>318</v>
      </c>
      <c r="B760" s="522" t="s">
        <v>826</v>
      </c>
      <c r="C760" s="423" t="s">
        <v>330</v>
      </c>
      <c r="D760" s="521" t="s">
        <v>827</v>
      </c>
      <c r="E760" s="522">
        <v>201605</v>
      </c>
      <c r="F760" s="523">
        <v>11509.53</v>
      </c>
      <c r="G760" s="521">
        <v>11.5</v>
      </c>
      <c r="H760" s="524">
        <v>1.3083000000000001E-3</v>
      </c>
      <c r="I760" s="523">
        <v>173.17</v>
      </c>
      <c r="J760" s="448">
        <v>180.7</v>
      </c>
      <c r="N760" s="590"/>
      <c r="O760" s="590"/>
      <c r="R760" s="440"/>
    </row>
    <row r="761" spans="1:18" s="559" customFormat="1">
      <c r="A761" s="521" t="s">
        <v>318</v>
      </c>
      <c r="B761" s="522" t="s">
        <v>826</v>
      </c>
      <c r="C761" s="423" t="s">
        <v>330</v>
      </c>
      <c r="D761" s="521" t="s">
        <v>827</v>
      </c>
      <c r="E761" s="522">
        <v>201605</v>
      </c>
      <c r="F761" s="523">
        <v>401</v>
      </c>
      <c r="G761" s="521">
        <v>11.5</v>
      </c>
      <c r="H761" s="524">
        <v>1.3083000000000001E-3</v>
      </c>
      <c r="I761" s="523">
        <v>6.03</v>
      </c>
      <c r="J761" s="448">
        <v>6.3</v>
      </c>
      <c r="N761" s="590"/>
      <c r="O761" s="590"/>
      <c r="R761" s="440"/>
    </row>
    <row r="762" spans="1:18" s="559" customFormat="1">
      <c r="A762" s="521" t="s">
        <v>318</v>
      </c>
      <c r="B762" s="522" t="s">
        <v>854</v>
      </c>
      <c r="C762" s="423" t="s">
        <v>330</v>
      </c>
      <c r="D762" s="521" t="s">
        <v>855</v>
      </c>
      <c r="E762" s="522">
        <v>201605</v>
      </c>
      <c r="F762" s="523">
        <v>264522.48</v>
      </c>
      <c r="G762" s="521">
        <v>11.5</v>
      </c>
      <c r="H762" s="524">
        <v>1.3083000000000001E-3</v>
      </c>
      <c r="I762" s="523">
        <v>3979.86</v>
      </c>
      <c r="J762" s="448">
        <v>4152.8999999999996</v>
      </c>
      <c r="N762" s="590"/>
      <c r="O762" s="590"/>
      <c r="R762" s="440"/>
    </row>
    <row r="763" spans="1:18" s="559" customFormat="1">
      <c r="A763" s="521" t="s">
        <v>318</v>
      </c>
      <c r="B763" s="522" t="s">
        <v>854</v>
      </c>
      <c r="C763" s="423" t="s">
        <v>330</v>
      </c>
      <c r="D763" s="521" t="s">
        <v>855</v>
      </c>
      <c r="E763" s="522">
        <v>201605</v>
      </c>
      <c r="F763" s="523">
        <v>9070.3799999999992</v>
      </c>
      <c r="G763" s="521">
        <v>11.5</v>
      </c>
      <c r="H763" s="524">
        <v>1.3083000000000001E-3</v>
      </c>
      <c r="I763" s="523">
        <v>136.47</v>
      </c>
      <c r="J763" s="448">
        <v>142.4</v>
      </c>
      <c r="N763" s="590"/>
      <c r="O763" s="590"/>
      <c r="R763" s="440"/>
    </row>
    <row r="764" spans="1:18" s="559" customFormat="1">
      <c r="A764" s="521" t="s">
        <v>322</v>
      </c>
      <c r="B764" s="522" t="s">
        <v>836</v>
      </c>
      <c r="C764" s="423" t="s">
        <v>330</v>
      </c>
      <c r="D764" s="521" t="s">
        <v>837</v>
      </c>
      <c r="E764" s="522">
        <v>201605</v>
      </c>
      <c r="F764" s="523">
        <v>7798.21</v>
      </c>
      <c r="G764" s="521">
        <v>11.5</v>
      </c>
      <c r="H764" s="524">
        <v>1.1999999999999999E-3</v>
      </c>
      <c r="I764" s="523">
        <v>107.62</v>
      </c>
      <c r="J764" s="448">
        <v>112.29</v>
      </c>
      <c r="N764" s="590"/>
      <c r="O764" s="590"/>
      <c r="R764" s="440"/>
    </row>
    <row r="765" spans="1:18" s="559" customFormat="1">
      <c r="A765" s="521" t="s">
        <v>318</v>
      </c>
      <c r="B765" s="522" t="s">
        <v>627</v>
      </c>
      <c r="C765" s="423" t="s">
        <v>330</v>
      </c>
      <c r="D765" s="521" t="s">
        <v>628</v>
      </c>
      <c r="E765" s="522">
        <v>201606</v>
      </c>
      <c r="F765" s="523">
        <v>402.46</v>
      </c>
      <c r="G765" s="521">
        <v>10.5</v>
      </c>
      <c r="H765" s="524">
        <v>1.3083000000000001E-3</v>
      </c>
      <c r="I765" s="523">
        <v>5.53</v>
      </c>
      <c r="J765" s="448">
        <v>6.32</v>
      </c>
      <c r="N765" s="590"/>
      <c r="O765" s="590"/>
      <c r="R765" s="440"/>
    </row>
    <row r="766" spans="1:18" s="559" customFormat="1">
      <c r="A766" s="521" t="s">
        <v>318</v>
      </c>
      <c r="B766" s="522" t="s">
        <v>320</v>
      </c>
      <c r="C766" s="423" t="s">
        <v>319</v>
      </c>
      <c r="D766" s="521" t="s">
        <v>321</v>
      </c>
      <c r="E766" s="522">
        <v>201606</v>
      </c>
      <c r="F766" s="523">
        <v>237.95</v>
      </c>
      <c r="G766" s="521">
        <v>10.5</v>
      </c>
      <c r="H766" s="524">
        <v>1.3083000000000001E-3</v>
      </c>
      <c r="I766" s="523">
        <v>3.27</v>
      </c>
      <c r="J766" s="448">
        <v>3.74</v>
      </c>
      <c r="N766" s="590"/>
      <c r="O766" s="590"/>
      <c r="R766" s="440"/>
    </row>
    <row r="767" spans="1:18" s="559" customFormat="1">
      <c r="A767" s="521" t="s">
        <v>318</v>
      </c>
      <c r="B767" s="522" t="s">
        <v>323</v>
      </c>
      <c r="C767" s="423" t="s">
        <v>319</v>
      </c>
      <c r="D767" s="521" t="s">
        <v>324</v>
      </c>
      <c r="E767" s="522">
        <v>201606</v>
      </c>
      <c r="F767" s="523">
        <v>10684.48</v>
      </c>
      <c r="G767" s="521">
        <v>10.5</v>
      </c>
      <c r="H767" s="524">
        <v>1.3083000000000001E-3</v>
      </c>
      <c r="I767" s="523">
        <v>146.77000000000001</v>
      </c>
      <c r="J767" s="448">
        <v>167.74</v>
      </c>
      <c r="N767" s="590"/>
      <c r="O767" s="590"/>
      <c r="R767" s="440"/>
    </row>
    <row r="768" spans="1:18" s="559" customFormat="1">
      <c r="A768" s="521" t="s">
        <v>322</v>
      </c>
      <c r="B768" s="522" t="s">
        <v>325</v>
      </c>
      <c r="C768" s="423" t="s">
        <v>319</v>
      </c>
      <c r="D768" s="521" t="s">
        <v>326</v>
      </c>
      <c r="E768" s="522">
        <v>201606</v>
      </c>
      <c r="F768" s="523">
        <v>5185.42</v>
      </c>
      <c r="G768" s="521">
        <v>10.5</v>
      </c>
      <c r="H768" s="524">
        <v>1.1999999999999999E-3</v>
      </c>
      <c r="I768" s="523">
        <v>65.34</v>
      </c>
      <c r="J768" s="448">
        <v>74.67</v>
      </c>
      <c r="N768" s="590"/>
      <c r="O768" s="590"/>
      <c r="R768" s="440"/>
    </row>
    <row r="769" spans="1:18" s="559" customFormat="1">
      <c r="A769" s="521" t="s">
        <v>318</v>
      </c>
      <c r="B769" s="522" t="s">
        <v>327</v>
      </c>
      <c r="C769" s="423" t="s">
        <v>319</v>
      </c>
      <c r="D769" s="521" t="s">
        <v>328</v>
      </c>
      <c r="E769" s="522">
        <v>201606</v>
      </c>
      <c r="F769" s="523">
        <v>49859.9</v>
      </c>
      <c r="G769" s="521">
        <v>10.5</v>
      </c>
      <c r="H769" s="524">
        <v>1.3083000000000001E-3</v>
      </c>
      <c r="I769" s="523">
        <v>684.93</v>
      </c>
      <c r="J769" s="448">
        <v>782.78</v>
      </c>
      <c r="N769" s="590"/>
      <c r="O769" s="590"/>
      <c r="R769" s="440"/>
    </row>
    <row r="770" spans="1:18" s="559" customFormat="1">
      <c r="A770" s="521" t="s">
        <v>318</v>
      </c>
      <c r="B770" s="522" t="s">
        <v>546</v>
      </c>
      <c r="C770" s="423" t="s">
        <v>330</v>
      </c>
      <c r="D770" s="521" t="s">
        <v>547</v>
      </c>
      <c r="E770" s="522">
        <v>201606</v>
      </c>
      <c r="F770" s="523">
        <v>-1.22</v>
      </c>
      <c r="G770" s="521">
        <v>10.5</v>
      </c>
      <c r="H770" s="524">
        <v>1.3083000000000001E-3</v>
      </c>
      <c r="I770" s="523">
        <v>-0.02</v>
      </c>
      <c r="J770" s="448">
        <v>-0.02</v>
      </c>
      <c r="N770" s="590"/>
      <c r="O770" s="590"/>
      <c r="R770" s="440"/>
    </row>
    <row r="771" spans="1:18" s="559" customFormat="1">
      <c r="A771" s="521" t="s">
        <v>318</v>
      </c>
      <c r="B771" s="522" t="s">
        <v>546</v>
      </c>
      <c r="C771" s="423" t="s">
        <v>330</v>
      </c>
      <c r="D771" s="521" t="s">
        <v>547</v>
      </c>
      <c r="E771" s="522">
        <v>201606</v>
      </c>
      <c r="F771" s="523">
        <v>-0.04</v>
      </c>
      <c r="G771" s="521">
        <v>10.5</v>
      </c>
      <c r="H771" s="524">
        <v>1.3083000000000001E-3</v>
      </c>
      <c r="I771" s="523">
        <v>0</v>
      </c>
      <c r="J771" s="448">
        <v>0</v>
      </c>
      <c r="N771" s="590"/>
      <c r="O771" s="590"/>
      <c r="R771" s="440"/>
    </row>
    <row r="772" spans="1:18" s="559" customFormat="1">
      <c r="A772" s="521" t="s">
        <v>318</v>
      </c>
      <c r="B772" s="522" t="s">
        <v>589</v>
      </c>
      <c r="C772" s="423" t="s">
        <v>330</v>
      </c>
      <c r="D772" s="521" t="s">
        <v>590</v>
      </c>
      <c r="E772" s="522">
        <v>201606</v>
      </c>
      <c r="F772" s="523">
        <v>1.78</v>
      </c>
      <c r="G772" s="521">
        <v>10.5</v>
      </c>
      <c r="H772" s="524">
        <v>1.3083000000000001E-3</v>
      </c>
      <c r="I772" s="523">
        <v>0.02</v>
      </c>
      <c r="J772" s="448">
        <v>0.03</v>
      </c>
      <c r="N772" s="590"/>
      <c r="O772" s="590"/>
      <c r="R772" s="440"/>
    </row>
    <row r="773" spans="1:18" s="559" customFormat="1">
      <c r="A773" s="521" t="s">
        <v>318</v>
      </c>
      <c r="B773" s="522" t="s">
        <v>589</v>
      </c>
      <c r="C773" s="423" t="s">
        <v>330</v>
      </c>
      <c r="D773" s="521" t="s">
        <v>590</v>
      </c>
      <c r="E773" s="522">
        <v>201606</v>
      </c>
      <c r="F773" s="523">
        <v>57.79</v>
      </c>
      <c r="G773" s="521">
        <v>10.5</v>
      </c>
      <c r="H773" s="524">
        <v>1.3083000000000001E-3</v>
      </c>
      <c r="I773" s="523">
        <v>0.79</v>
      </c>
      <c r="J773" s="448">
        <v>0.91</v>
      </c>
      <c r="N773" s="590"/>
      <c r="O773" s="590"/>
      <c r="R773" s="440"/>
    </row>
    <row r="774" spans="1:18" s="559" customFormat="1">
      <c r="A774" s="521" t="s">
        <v>322</v>
      </c>
      <c r="B774" s="522" t="s">
        <v>643</v>
      </c>
      <c r="C774" s="423" t="s">
        <v>330</v>
      </c>
      <c r="D774" s="521" t="s">
        <v>644</v>
      </c>
      <c r="E774" s="522">
        <v>201606</v>
      </c>
      <c r="F774" s="523">
        <v>39.93</v>
      </c>
      <c r="G774" s="521">
        <v>10.5</v>
      </c>
      <c r="H774" s="524">
        <v>1.1999999999999999E-3</v>
      </c>
      <c r="I774" s="523">
        <v>0.5</v>
      </c>
      <c r="J774" s="448">
        <v>0.56999999999999995</v>
      </c>
      <c r="N774" s="590"/>
      <c r="O774" s="590"/>
      <c r="R774" s="440"/>
    </row>
    <row r="775" spans="1:18" s="559" customFormat="1">
      <c r="A775" s="521" t="s">
        <v>318</v>
      </c>
      <c r="B775" s="522" t="s">
        <v>643</v>
      </c>
      <c r="C775" s="423" t="s">
        <v>330</v>
      </c>
      <c r="D775" s="521" t="s">
        <v>644</v>
      </c>
      <c r="E775" s="522">
        <v>201606</v>
      </c>
      <c r="F775" s="523">
        <v>191.91</v>
      </c>
      <c r="G775" s="521">
        <v>10.5</v>
      </c>
      <c r="H775" s="524">
        <v>1.3083000000000001E-3</v>
      </c>
      <c r="I775" s="523">
        <v>2.64</v>
      </c>
      <c r="J775" s="448">
        <v>3.01</v>
      </c>
      <c r="N775" s="590"/>
      <c r="O775" s="590"/>
      <c r="R775" s="440"/>
    </row>
    <row r="776" spans="1:18" s="559" customFormat="1">
      <c r="A776" s="521" t="s">
        <v>318</v>
      </c>
      <c r="B776" s="522" t="s">
        <v>643</v>
      </c>
      <c r="C776" s="423" t="s">
        <v>330</v>
      </c>
      <c r="D776" s="521" t="s">
        <v>644</v>
      </c>
      <c r="E776" s="522">
        <v>201606</v>
      </c>
      <c r="F776" s="523">
        <v>2743.02</v>
      </c>
      <c r="G776" s="521">
        <v>10.5</v>
      </c>
      <c r="H776" s="524">
        <v>1.3083000000000001E-3</v>
      </c>
      <c r="I776" s="523">
        <v>37.68</v>
      </c>
      <c r="J776" s="448">
        <v>43.06</v>
      </c>
      <c r="N776" s="590"/>
      <c r="O776" s="590"/>
      <c r="R776" s="440"/>
    </row>
    <row r="777" spans="1:18" s="559" customFormat="1">
      <c r="A777" s="521" t="s">
        <v>322</v>
      </c>
      <c r="B777" s="522" t="s">
        <v>856</v>
      </c>
      <c r="C777" s="423" t="s">
        <v>330</v>
      </c>
      <c r="D777" s="521" t="s">
        <v>857</v>
      </c>
      <c r="E777" s="522">
        <v>201606</v>
      </c>
      <c r="F777" s="523">
        <v>5580.88</v>
      </c>
      <c r="G777" s="521">
        <v>10.5</v>
      </c>
      <c r="H777" s="524">
        <v>1.1999999999999999E-3</v>
      </c>
      <c r="I777" s="523">
        <v>70.319999999999993</v>
      </c>
      <c r="J777" s="448">
        <v>80.36</v>
      </c>
      <c r="N777" s="590"/>
      <c r="O777" s="590"/>
      <c r="R777" s="440"/>
    </row>
    <row r="778" spans="1:18" s="559" customFormat="1">
      <c r="A778" s="521" t="s">
        <v>318</v>
      </c>
      <c r="B778" s="522" t="s">
        <v>856</v>
      </c>
      <c r="C778" s="423" t="s">
        <v>330</v>
      </c>
      <c r="D778" s="521" t="s">
        <v>857</v>
      </c>
      <c r="E778" s="522">
        <v>201606</v>
      </c>
      <c r="F778" s="523">
        <v>26138.45</v>
      </c>
      <c r="G778" s="521">
        <v>10.5</v>
      </c>
      <c r="H778" s="524">
        <v>1.3083000000000001E-3</v>
      </c>
      <c r="I778" s="523">
        <v>359.07</v>
      </c>
      <c r="J778" s="448">
        <v>410.36</v>
      </c>
      <c r="N778" s="590"/>
      <c r="O778" s="590"/>
      <c r="R778" s="440"/>
    </row>
    <row r="779" spans="1:18" s="559" customFormat="1">
      <c r="A779" s="521" t="s">
        <v>318</v>
      </c>
      <c r="B779" s="522" t="s">
        <v>856</v>
      </c>
      <c r="C779" s="423" t="s">
        <v>330</v>
      </c>
      <c r="D779" s="521" t="s">
        <v>857</v>
      </c>
      <c r="E779" s="522">
        <v>201606</v>
      </c>
      <c r="F779" s="523">
        <v>610448.96</v>
      </c>
      <c r="G779" s="521">
        <v>10.5</v>
      </c>
      <c r="H779" s="524">
        <v>1.3083000000000001E-3</v>
      </c>
      <c r="I779" s="523">
        <v>8385.83</v>
      </c>
      <c r="J779" s="448">
        <v>9583.7999999999993</v>
      </c>
      <c r="N779" s="590"/>
      <c r="O779" s="590"/>
      <c r="R779" s="440"/>
    </row>
    <row r="780" spans="1:18" s="559" customFormat="1">
      <c r="A780" s="521" t="s">
        <v>318</v>
      </c>
      <c r="B780" s="522" t="s">
        <v>800</v>
      </c>
      <c r="C780" s="423" t="s">
        <v>330</v>
      </c>
      <c r="D780" s="521" t="s">
        <v>830</v>
      </c>
      <c r="E780" s="522">
        <v>201606</v>
      </c>
      <c r="F780" s="523">
        <v>370.77</v>
      </c>
      <c r="G780" s="521">
        <v>10.5</v>
      </c>
      <c r="H780" s="524">
        <v>1.3083000000000001E-3</v>
      </c>
      <c r="I780" s="523">
        <v>5.09</v>
      </c>
      <c r="J780" s="448">
        <v>5.82</v>
      </c>
      <c r="N780" s="590"/>
      <c r="O780" s="590"/>
      <c r="R780" s="440"/>
    </row>
    <row r="781" spans="1:18" s="559" customFormat="1">
      <c r="A781" s="521" t="s">
        <v>318</v>
      </c>
      <c r="B781" s="522" t="s">
        <v>800</v>
      </c>
      <c r="C781" s="423" t="s">
        <v>330</v>
      </c>
      <c r="D781" s="521" t="s">
        <v>830</v>
      </c>
      <c r="E781" s="522">
        <v>201606</v>
      </c>
      <c r="F781" s="523">
        <v>6615.01</v>
      </c>
      <c r="G781" s="521">
        <v>10.5</v>
      </c>
      <c r="H781" s="524">
        <v>1.3083000000000001E-3</v>
      </c>
      <c r="I781" s="523">
        <v>90.87</v>
      </c>
      <c r="J781" s="448">
        <v>103.85</v>
      </c>
      <c r="N781" s="590"/>
      <c r="O781" s="590"/>
      <c r="R781" s="440"/>
    </row>
    <row r="782" spans="1:18" s="559" customFormat="1">
      <c r="A782" s="521" t="s">
        <v>318</v>
      </c>
      <c r="B782" s="522" t="s">
        <v>451</v>
      </c>
      <c r="C782" s="423" t="s">
        <v>330</v>
      </c>
      <c r="D782" s="521" t="s">
        <v>452</v>
      </c>
      <c r="E782" s="522">
        <v>201606</v>
      </c>
      <c r="F782" s="523">
        <v>0.09</v>
      </c>
      <c r="G782" s="521">
        <v>10.5</v>
      </c>
      <c r="H782" s="524">
        <v>1.3083000000000001E-3</v>
      </c>
      <c r="I782" s="523">
        <v>0</v>
      </c>
      <c r="J782" s="448">
        <v>0</v>
      </c>
      <c r="N782" s="590"/>
      <c r="O782" s="590"/>
      <c r="R782" s="440"/>
    </row>
    <row r="783" spans="1:18" s="559" customFormat="1">
      <c r="A783" s="521" t="s">
        <v>318</v>
      </c>
      <c r="B783" s="522" t="s">
        <v>451</v>
      </c>
      <c r="C783" s="423" t="s">
        <v>330</v>
      </c>
      <c r="D783" s="521" t="s">
        <v>452</v>
      </c>
      <c r="E783" s="522">
        <v>201606</v>
      </c>
      <c r="F783" s="523">
        <v>3.21</v>
      </c>
      <c r="G783" s="521">
        <v>10.5</v>
      </c>
      <c r="H783" s="524">
        <v>1.3083000000000001E-3</v>
      </c>
      <c r="I783" s="523">
        <v>0.04</v>
      </c>
      <c r="J783" s="448">
        <v>0.05</v>
      </c>
      <c r="N783" s="590"/>
      <c r="O783" s="590"/>
      <c r="R783" s="440"/>
    </row>
    <row r="784" spans="1:18" s="559" customFormat="1">
      <c r="A784" s="521" t="s">
        <v>318</v>
      </c>
      <c r="B784" s="522" t="s">
        <v>645</v>
      </c>
      <c r="C784" s="423" t="s">
        <v>330</v>
      </c>
      <c r="D784" s="521" t="s">
        <v>646</v>
      </c>
      <c r="E784" s="522">
        <v>201606</v>
      </c>
      <c r="F784" s="523">
        <v>-3.78</v>
      </c>
      <c r="G784" s="521">
        <v>10.5</v>
      </c>
      <c r="H784" s="524">
        <v>1.3083000000000001E-3</v>
      </c>
      <c r="I784" s="523">
        <v>-0.05</v>
      </c>
      <c r="J784" s="448">
        <v>-0.06</v>
      </c>
      <c r="N784" s="590"/>
      <c r="O784" s="590"/>
      <c r="R784" s="440"/>
    </row>
    <row r="785" spans="1:18" s="559" customFormat="1">
      <c r="A785" s="521" t="s">
        <v>318</v>
      </c>
      <c r="B785" s="522" t="s">
        <v>645</v>
      </c>
      <c r="C785" s="423" t="s">
        <v>330</v>
      </c>
      <c r="D785" s="521" t="s">
        <v>646</v>
      </c>
      <c r="E785" s="522">
        <v>201606</v>
      </c>
      <c r="F785" s="523">
        <v>-0.11</v>
      </c>
      <c r="G785" s="521">
        <v>10.5</v>
      </c>
      <c r="H785" s="524">
        <v>1.3083000000000001E-3</v>
      </c>
      <c r="I785" s="523">
        <v>0</v>
      </c>
      <c r="J785" s="448">
        <v>0</v>
      </c>
      <c r="N785" s="590"/>
      <c r="O785" s="590"/>
      <c r="R785" s="440"/>
    </row>
    <row r="786" spans="1:18" s="559" customFormat="1">
      <c r="A786" s="521" t="s">
        <v>318</v>
      </c>
      <c r="B786" s="522" t="s">
        <v>647</v>
      </c>
      <c r="C786" s="423" t="s">
        <v>330</v>
      </c>
      <c r="D786" s="521" t="s">
        <v>648</v>
      </c>
      <c r="E786" s="522">
        <v>201606</v>
      </c>
      <c r="F786" s="523">
        <v>0.65</v>
      </c>
      <c r="G786" s="521">
        <v>10.5</v>
      </c>
      <c r="H786" s="524">
        <v>1.3083000000000001E-3</v>
      </c>
      <c r="I786" s="523">
        <v>0.01</v>
      </c>
      <c r="J786" s="448">
        <v>0.01</v>
      </c>
      <c r="N786" s="590"/>
      <c r="O786" s="590"/>
      <c r="R786" s="440"/>
    </row>
    <row r="787" spans="1:18" s="559" customFormat="1">
      <c r="A787" s="521" t="s">
        <v>318</v>
      </c>
      <c r="B787" s="522" t="s">
        <v>647</v>
      </c>
      <c r="C787" s="423" t="s">
        <v>330</v>
      </c>
      <c r="D787" s="521" t="s">
        <v>648</v>
      </c>
      <c r="E787" s="522">
        <v>201606</v>
      </c>
      <c r="F787" s="523">
        <v>144.24</v>
      </c>
      <c r="G787" s="521">
        <v>10.5</v>
      </c>
      <c r="H787" s="524">
        <v>1.3083000000000001E-3</v>
      </c>
      <c r="I787" s="523">
        <v>1.98</v>
      </c>
      <c r="J787" s="448">
        <v>2.2599999999999998</v>
      </c>
      <c r="N787" s="590"/>
      <c r="O787" s="590"/>
      <c r="R787" s="440"/>
    </row>
    <row r="788" spans="1:18" s="559" customFormat="1">
      <c r="A788" s="521" t="s">
        <v>318</v>
      </c>
      <c r="B788" s="522" t="s">
        <v>784</v>
      </c>
      <c r="C788" s="423" t="s">
        <v>330</v>
      </c>
      <c r="D788" s="521" t="s">
        <v>785</v>
      </c>
      <c r="E788" s="522">
        <v>201606</v>
      </c>
      <c r="F788" s="523">
        <v>13.38</v>
      </c>
      <c r="G788" s="521">
        <v>10.5</v>
      </c>
      <c r="H788" s="524">
        <v>1.3083000000000001E-3</v>
      </c>
      <c r="I788" s="523">
        <v>0.18</v>
      </c>
      <c r="J788" s="448">
        <v>0.21</v>
      </c>
      <c r="N788" s="590"/>
      <c r="O788" s="590"/>
      <c r="R788" s="440"/>
    </row>
    <row r="789" spans="1:18" s="559" customFormat="1">
      <c r="A789" s="521" t="s">
        <v>318</v>
      </c>
      <c r="B789" s="522" t="s">
        <v>784</v>
      </c>
      <c r="C789" s="423" t="s">
        <v>330</v>
      </c>
      <c r="D789" s="521" t="s">
        <v>785</v>
      </c>
      <c r="E789" s="522">
        <v>201606</v>
      </c>
      <c r="F789" s="523">
        <v>2126.1999999999998</v>
      </c>
      <c r="G789" s="521">
        <v>10.5</v>
      </c>
      <c r="H789" s="524">
        <v>1.3083000000000001E-3</v>
      </c>
      <c r="I789" s="523">
        <v>29.21</v>
      </c>
      <c r="J789" s="448">
        <v>33.380000000000003</v>
      </c>
      <c r="N789" s="590"/>
      <c r="O789" s="590"/>
      <c r="R789" s="440"/>
    </row>
    <row r="790" spans="1:18" s="559" customFormat="1">
      <c r="A790" s="521" t="s">
        <v>318</v>
      </c>
      <c r="B790" s="522" t="s">
        <v>629</v>
      </c>
      <c r="C790" s="423" t="s">
        <v>330</v>
      </c>
      <c r="D790" s="521" t="s">
        <v>630</v>
      </c>
      <c r="E790" s="522">
        <v>201606</v>
      </c>
      <c r="F790" s="523">
        <v>0.12</v>
      </c>
      <c r="G790" s="521">
        <v>10.5</v>
      </c>
      <c r="H790" s="524">
        <v>1.3083000000000001E-3</v>
      </c>
      <c r="I790" s="523">
        <v>0</v>
      </c>
      <c r="J790" s="448">
        <v>0</v>
      </c>
      <c r="N790" s="590"/>
      <c r="O790" s="590"/>
      <c r="R790" s="440"/>
    </row>
    <row r="791" spans="1:18" s="559" customFormat="1">
      <c r="A791" s="521" t="s">
        <v>318</v>
      </c>
      <c r="B791" s="522" t="s">
        <v>629</v>
      </c>
      <c r="C791" s="423" t="s">
        <v>330</v>
      </c>
      <c r="D791" s="521" t="s">
        <v>630</v>
      </c>
      <c r="E791" s="522">
        <v>201606</v>
      </c>
      <c r="F791" s="523">
        <v>4.5599999999999996</v>
      </c>
      <c r="G791" s="521">
        <v>10.5</v>
      </c>
      <c r="H791" s="524">
        <v>1.3083000000000001E-3</v>
      </c>
      <c r="I791" s="523">
        <v>0.06</v>
      </c>
      <c r="J791" s="448">
        <v>7.0000000000000007E-2</v>
      </c>
      <c r="N791" s="590"/>
      <c r="O791" s="590"/>
      <c r="R791" s="440"/>
    </row>
    <row r="792" spans="1:18" s="559" customFormat="1">
      <c r="A792" s="521" t="s">
        <v>318</v>
      </c>
      <c r="B792" s="522" t="s">
        <v>592</v>
      </c>
      <c r="C792" s="423" t="s">
        <v>329</v>
      </c>
      <c r="D792" s="521" t="s">
        <v>593</v>
      </c>
      <c r="E792" s="522">
        <v>201606</v>
      </c>
      <c r="F792" s="523">
        <v>-1.1000000000000001</v>
      </c>
      <c r="G792" s="521">
        <v>10.5</v>
      </c>
      <c r="H792" s="524">
        <v>1.3083000000000001E-3</v>
      </c>
      <c r="I792" s="523">
        <v>-0.02</v>
      </c>
      <c r="J792" s="448">
        <v>-0.02</v>
      </c>
      <c r="N792" s="590"/>
      <c r="O792" s="590"/>
      <c r="R792" s="440"/>
    </row>
    <row r="793" spans="1:18" s="559" customFormat="1">
      <c r="A793" s="521" t="s">
        <v>318</v>
      </c>
      <c r="B793" s="522" t="s">
        <v>592</v>
      </c>
      <c r="C793" s="423" t="s">
        <v>329</v>
      </c>
      <c r="D793" s="521" t="s">
        <v>593</v>
      </c>
      <c r="E793" s="522">
        <v>201606</v>
      </c>
      <c r="F793" s="523">
        <v>-0.12</v>
      </c>
      <c r="G793" s="521">
        <v>10.5</v>
      </c>
      <c r="H793" s="524">
        <v>1.3083000000000001E-3</v>
      </c>
      <c r="I793" s="523">
        <v>0</v>
      </c>
      <c r="J793" s="448">
        <v>0</v>
      </c>
      <c r="N793" s="590"/>
      <c r="O793" s="590"/>
      <c r="R793" s="440"/>
    </row>
    <row r="794" spans="1:18" s="559" customFormat="1">
      <c r="A794" s="521" t="s">
        <v>318</v>
      </c>
      <c r="B794" s="522" t="s">
        <v>631</v>
      </c>
      <c r="C794" s="423" t="s">
        <v>330</v>
      </c>
      <c r="D794" s="521" t="s">
        <v>632</v>
      </c>
      <c r="E794" s="522">
        <v>201606</v>
      </c>
      <c r="F794" s="523">
        <v>0.44</v>
      </c>
      <c r="G794" s="521">
        <v>10.5</v>
      </c>
      <c r="H794" s="524">
        <v>1.3083000000000001E-3</v>
      </c>
      <c r="I794" s="523">
        <v>0.01</v>
      </c>
      <c r="J794" s="448">
        <v>0.01</v>
      </c>
      <c r="N794" s="590"/>
      <c r="O794" s="590"/>
      <c r="R794" s="440"/>
    </row>
    <row r="795" spans="1:18" s="559" customFormat="1">
      <c r="A795" s="521" t="s">
        <v>318</v>
      </c>
      <c r="B795" s="522" t="s">
        <v>631</v>
      </c>
      <c r="C795" s="423" t="s">
        <v>330</v>
      </c>
      <c r="D795" s="521" t="s">
        <v>632</v>
      </c>
      <c r="E795" s="522">
        <v>201606</v>
      </c>
      <c r="F795" s="523">
        <v>23.89</v>
      </c>
      <c r="G795" s="521">
        <v>10.5</v>
      </c>
      <c r="H795" s="524">
        <v>1.3083000000000001E-3</v>
      </c>
      <c r="I795" s="523">
        <v>0.33</v>
      </c>
      <c r="J795" s="448">
        <v>0.38</v>
      </c>
      <c r="N795" s="590"/>
      <c r="O795" s="590"/>
      <c r="R795" s="440"/>
    </row>
    <row r="796" spans="1:18" s="559" customFormat="1">
      <c r="A796" s="521" t="s">
        <v>318</v>
      </c>
      <c r="B796" s="522" t="s">
        <v>649</v>
      </c>
      <c r="C796" s="423" t="s">
        <v>330</v>
      </c>
      <c r="D796" s="521" t="s">
        <v>650</v>
      </c>
      <c r="E796" s="522">
        <v>201606</v>
      </c>
      <c r="F796" s="523">
        <v>746.5</v>
      </c>
      <c r="G796" s="521">
        <v>10.5</v>
      </c>
      <c r="H796" s="524">
        <v>1.3083000000000001E-3</v>
      </c>
      <c r="I796" s="523">
        <v>10.25</v>
      </c>
      <c r="J796" s="448">
        <v>11.72</v>
      </c>
      <c r="N796" s="590"/>
      <c r="O796" s="590"/>
      <c r="R796" s="440"/>
    </row>
    <row r="797" spans="1:18" s="559" customFormat="1">
      <c r="A797" s="521" t="s">
        <v>318</v>
      </c>
      <c r="B797" s="522" t="s">
        <v>649</v>
      </c>
      <c r="C797" s="423" t="s">
        <v>330</v>
      </c>
      <c r="D797" s="521" t="s">
        <v>650</v>
      </c>
      <c r="E797" s="522">
        <v>201606</v>
      </c>
      <c r="F797" s="523">
        <v>10206.77</v>
      </c>
      <c r="G797" s="521">
        <v>10.5</v>
      </c>
      <c r="H797" s="524">
        <v>1.3083000000000001E-3</v>
      </c>
      <c r="I797" s="523">
        <v>140.21</v>
      </c>
      <c r="J797" s="448">
        <v>160.24</v>
      </c>
      <c r="N797" s="590"/>
      <c r="O797" s="590"/>
      <c r="R797" s="440"/>
    </row>
    <row r="798" spans="1:18" s="559" customFormat="1">
      <c r="A798" s="521" t="s">
        <v>318</v>
      </c>
      <c r="B798" s="522" t="s">
        <v>838</v>
      </c>
      <c r="C798" s="423" t="s">
        <v>330</v>
      </c>
      <c r="D798" s="521" t="s">
        <v>839</v>
      </c>
      <c r="E798" s="522">
        <v>201606</v>
      </c>
      <c r="F798" s="523">
        <v>438.15</v>
      </c>
      <c r="G798" s="521">
        <v>10.5</v>
      </c>
      <c r="H798" s="524">
        <v>1.3083000000000001E-3</v>
      </c>
      <c r="I798" s="523">
        <v>6.02</v>
      </c>
      <c r="J798" s="448">
        <v>6.88</v>
      </c>
      <c r="N798" s="590"/>
      <c r="O798" s="590"/>
      <c r="R798" s="440"/>
    </row>
    <row r="799" spans="1:18" s="559" customFormat="1">
      <c r="A799" s="521" t="s">
        <v>318</v>
      </c>
      <c r="B799" s="522" t="s">
        <v>838</v>
      </c>
      <c r="C799" s="423" t="s">
        <v>330</v>
      </c>
      <c r="D799" s="521" t="s">
        <v>839</v>
      </c>
      <c r="E799" s="522">
        <v>201606</v>
      </c>
      <c r="F799" s="523">
        <v>21076.46</v>
      </c>
      <c r="G799" s="521">
        <v>10.5</v>
      </c>
      <c r="H799" s="524">
        <v>1.3083000000000001E-3</v>
      </c>
      <c r="I799" s="523">
        <v>289.52999999999997</v>
      </c>
      <c r="J799" s="448">
        <v>330.89</v>
      </c>
      <c r="N799" s="590"/>
      <c r="O799" s="590"/>
      <c r="R799" s="440"/>
    </row>
    <row r="800" spans="1:18" s="559" customFormat="1">
      <c r="A800" s="521" t="s">
        <v>318</v>
      </c>
      <c r="B800" s="522" t="s">
        <v>651</v>
      </c>
      <c r="C800" s="423" t="s">
        <v>330</v>
      </c>
      <c r="D800" s="521" t="s">
        <v>652</v>
      </c>
      <c r="E800" s="522">
        <v>201606</v>
      </c>
      <c r="F800" s="523">
        <v>-156078.07999999999</v>
      </c>
      <c r="G800" s="521">
        <v>10.5</v>
      </c>
      <c r="H800" s="524">
        <v>1.3083000000000001E-3</v>
      </c>
      <c r="I800" s="523">
        <v>-2144.0700000000002</v>
      </c>
      <c r="J800" s="448">
        <v>-2450.36</v>
      </c>
      <c r="N800" s="590"/>
      <c r="O800" s="590"/>
      <c r="R800" s="440"/>
    </row>
    <row r="801" spans="1:18" s="559" customFormat="1">
      <c r="A801" s="521" t="s">
        <v>318</v>
      </c>
      <c r="B801" s="522" t="s">
        <v>651</v>
      </c>
      <c r="C801" s="423" t="s">
        <v>330</v>
      </c>
      <c r="D801" s="521" t="s">
        <v>652</v>
      </c>
      <c r="E801" s="522">
        <v>201606</v>
      </c>
      <c r="F801" s="523">
        <v>-13306.18</v>
      </c>
      <c r="G801" s="521">
        <v>10.5</v>
      </c>
      <c r="H801" s="524">
        <v>1.3083000000000001E-3</v>
      </c>
      <c r="I801" s="523">
        <v>-182.79</v>
      </c>
      <c r="J801" s="448">
        <v>-208.9</v>
      </c>
      <c r="N801" s="590"/>
      <c r="O801" s="590"/>
      <c r="R801" s="440"/>
    </row>
    <row r="802" spans="1:18" s="559" customFormat="1">
      <c r="A802" s="521" t="s">
        <v>318</v>
      </c>
      <c r="B802" s="522" t="s">
        <v>786</v>
      </c>
      <c r="C802" s="423" t="s">
        <v>330</v>
      </c>
      <c r="D802" s="521" t="s">
        <v>787</v>
      </c>
      <c r="E802" s="522">
        <v>201606</v>
      </c>
      <c r="F802" s="523">
        <v>58.51</v>
      </c>
      <c r="G802" s="521">
        <v>10.5</v>
      </c>
      <c r="H802" s="524">
        <v>1.3083000000000001E-3</v>
      </c>
      <c r="I802" s="523">
        <v>0.8</v>
      </c>
      <c r="J802" s="448">
        <v>0.92</v>
      </c>
      <c r="N802" s="590"/>
      <c r="O802" s="590"/>
      <c r="R802" s="440"/>
    </row>
    <row r="803" spans="1:18" s="559" customFormat="1">
      <c r="A803" s="521" t="s">
        <v>318</v>
      </c>
      <c r="B803" s="522" t="s">
        <v>786</v>
      </c>
      <c r="C803" s="423" t="s">
        <v>330</v>
      </c>
      <c r="D803" s="521" t="s">
        <v>787</v>
      </c>
      <c r="E803" s="522">
        <v>201606</v>
      </c>
      <c r="F803" s="523">
        <v>8529.32</v>
      </c>
      <c r="G803" s="521">
        <v>10.5</v>
      </c>
      <c r="H803" s="524">
        <v>1.3083000000000001E-3</v>
      </c>
      <c r="I803" s="523">
        <v>117.17</v>
      </c>
      <c r="J803" s="448">
        <v>133.91</v>
      </c>
      <c r="N803" s="590"/>
      <c r="O803" s="590"/>
      <c r="R803" s="440"/>
    </row>
    <row r="804" spans="1:18" s="559" customFormat="1">
      <c r="A804" s="521" t="s">
        <v>318</v>
      </c>
      <c r="B804" s="522" t="s">
        <v>653</v>
      </c>
      <c r="C804" s="423" t="s">
        <v>330</v>
      </c>
      <c r="D804" s="521" t="s">
        <v>654</v>
      </c>
      <c r="E804" s="522">
        <v>201606</v>
      </c>
      <c r="F804" s="523">
        <v>319.17</v>
      </c>
      <c r="G804" s="521">
        <v>10.5</v>
      </c>
      <c r="H804" s="524">
        <v>1.3083000000000001E-3</v>
      </c>
      <c r="I804" s="523">
        <v>4.38</v>
      </c>
      <c r="J804" s="448">
        <v>5.01</v>
      </c>
      <c r="N804" s="590"/>
      <c r="O804" s="590"/>
      <c r="R804" s="440"/>
    </row>
    <row r="805" spans="1:18" s="559" customFormat="1">
      <c r="A805" s="521" t="s">
        <v>318</v>
      </c>
      <c r="B805" s="522" t="s">
        <v>653</v>
      </c>
      <c r="C805" s="423" t="s">
        <v>330</v>
      </c>
      <c r="D805" s="521" t="s">
        <v>654</v>
      </c>
      <c r="E805" s="522">
        <v>201606</v>
      </c>
      <c r="F805" s="523">
        <v>6966.88</v>
      </c>
      <c r="G805" s="521">
        <v>10.5</v>
      </c>
      <c r="H805" s="524">
        <v>1.3083000000000001E-3</v>
      </c>
      <c r="I805" s="523">
        <v>95.71</v>
      </c>
      <c r="J805" s="448">
        <v>109.38</v>
      </c>
      <c r="N805" s="590"/>
      <c r="O805" s="590"/>
      <c r="R805" s="440"/>
    </row>
    <row r="806" spans="1:18" s="559" customFormat="1">
      <c r="A806" s="521" t="s">
        <v>318</v>
      </c>
      <c r="B806" s="522" t="s">
        <v>655</v>
      </c>
      <c r="C806" s="423" t="s">
        <v>330</v>
      </c>
      <c r="D806" s="521" t="s">
        <v>656</v>
      </c>
      <c r="E806" s="522">
        <v>201606</v>
      </c>
      <c r="F806" s="523">
        <v>0.18</v>
      </c>
      <c r="G806" s="521">
        <v>10.5</v>
      </c>
      <c r="H806" s="524">
        <v>1.3083000000000001E-3</v>
      </c>
      <c r="I806" s="523">
        <v>0</v>
      </c>
      <c r="J806" s="448">
        <v>0</v>
      </c>
      <c r="N806" s="590"/>
      <c r="O806" s="590"/>
      <c r="R806" s="440"/>
    </row>
    <row r="807" spans="1:18" s="559" customFormat="1">
      <c r="A807" s="521" t="s">
        <v>318</v>
      </c>
      <c r="B807" s="522" t="s">
        <v>655</v>
      </c>
      <c r="C807" s="423" t="s">
        <v>330</v>
      </c>
      <c r="D807" s="521" t="s">
        <v>656</v>
      </c>
      <c r="E807" s="522">
        <v>201606</v>
      </c>
      <c r="F807" s="523">
        <v>12.51</v>
      </c>
      <c r="G807" s="521">
        <v>10.5</v>
      </c>
      <c r="H807" s="524">
        <v>1.3083000000000001E-3</v>
      </c>
      <c r="I807" s="523">
        <v>0.17</v>
      </c>
      <c r="J807" s="448">
        <v>0.2</v>
      </c>
      <c r="N807" s="590"/>
      <c r="O807" s="590"/>
      <c r="R807" s="440"/>
    </row>
    <row r="808" spans="1:18" s="559" customFormat="1">
      <c r="A808" s="521" t="s">
        <v>318</v>
      </c>
      <c r="B808" s="522" t="s">
        <v>594</v>
      </c>
      <c r="C808" s="423" t="s">
        <v>330</v>
      </c>
      <c r="D808" s="521" t="s">
        <v>595</v>
      </c>
      <c r="E808" s="522">
        <v>201606</v>
      </c>
      <c r="F808" s="523">
        <v>0.04</v>
      </c>
      <c r="G808" s="521">
        <v>10.5</v>
      </c>
      <c r="H808" s="524">
        <v>1.3083000000000001E-3</v>
      </c>
      <c r="I808" s="523">
        <v>0</v>
      </c>
      <c r="J808" s="448">
        <v>0</v>
      </c>
      <c r="N808" s="590"/>
      <c r="O808" s="590"/>
      <c r="R808" s="440"/>
    </row>
    <row r="809" spans="1:18" s="559" customFormat="1">
      <c r="A809" s="521" t="s">
        <v>318</v>
      </c>
      <c r="B809" s="522" t="s">
        <v>594</v>
      </c>
      <c r="C809" s="423" t="s">
        <v>330</v>
      </c>
      <c r="D809" s="521" t="s">
        <v>595</v>
      </c>
      <c r="E809" s="522">
        <v>201606</v>
      </c>
      <c r="F809" s="523">
        <v>1.24</v>
      </c>
      <c r="G809" s="521">
        <v>10.5</v>
      </c>
      <c r="H809" s="524">
        <v>1.3083000000000001E-3</v>
      </c>
      <c r="I809" s="523">
        <v>0.02</v>
      </c>
      <c r="J809" s="448">
        <v>0.02</v>
      </c>
      <c r="N809" s="590"/>
      <c r="O809" s="590"/>
      <c r="R809" s="440"/>
    </row>
    <row r="810" spans="1:18" s="559" customFormat="1">
      <c r="A810" s="521" t="s">
        <v>318</v>
      </c>
      <c r="B810" s="522" t="s">
        <v>596</v>
      </c>
      <c r="C810" s="423" t="s">
        <v>330</v>
      </c>
      <c r="D810" s="521" t="s">
        <v>597</v>
      </c>
      <c r="E810" s="522">
        <v>201606</v>
      </c>
      <c r="F810" s="523">
        <v>0.04</v>
      </c>
      <c r="G810" s="521">
        <v>10.5</v>
      </c>
      <c r="H810" s="524">
        <v>1.3083000000000001E-3</v>
      </c>
      <c r="I810" s="523">
        <v>0</v>
      </c>
      <c r="J810" s="448">
        <v>0</v>
      </c>
      <c r="N810" s="590"/>
      <c r="O810" s="590"/>
      <c r="R810" s="440"/>
    </row>
    <row r="811" spans="1:18" s="559" customFormat="1">
      <c r="A811" s="521" t="s">
        <v>318</v>
      </c>
      <c r="B811" s="522" t="s">
        <v>596</v>
      </c>
      <c r="C811" s="423" t="s">
        <v>330</v>
      </c>
      <c r="D811" s="521" t="s">
        <v>597</v>
      </c>
      <c r="E811" s="522">
        <v>201606</v>
      </c>
      <c r="F811" s="523">
        <v>2</v>
      </c>
      <c r="G811" s="521">
        <v>10.5</v>
      </c>
      <c r="H811" s="524">
        <v>1.3083000000000001E-3</v>
      </c>
      <c r="I811" s="523">
        <v>0.03</v>
      </c>
      <c r="J811" s="448">
        <v>0.03</v>
      </c>
      <c r="N811" s="590"/>
      <c r="O811" s="590"/>
      <c r="R811" s="440"/>
    </row>
    <row r="812" spans="1:18" s="559" customFormat="1">
      <c r="A812" s="521" t="s">
        <v>318</v>
      </c>
      <c r="B812" s="522" t="s">
        <v>657</v>
      </c>
      <c r="C812" s="423" t="s">
        <v>330</v>
      </c>
      <c r="D812" s="521" t="s">
        <v>658</v>
      </c>
      <c r="E812" s="522">
        <v>201606</v>
      </c>
      <c r="F812" s="523">
        <v>-19.48</v>
      </c>
      <c r="G812" s="521">
        <v>10.5</v>
      </c>
      <c r="H812" s="524">
        <v>1.3083000000000001E-3</v>
      </c>
      <c r="I812" s="523">
        <v>-0.27</v>
      </c>
      <c r="J812" s="448">
        <v>-0.31</v>
      </c>
      <c r="N812" s="590"/>
      <c r="O812" s="590"/>
      <c r="R812" s="440"/>
    </row>
    <row r="813" spans="1:18" s="559" customFormat="1">
      <c r="A813" s="521" t="s">
        <v>318</v>
      </c>
      <c r="B813" s="522" t="s">
        <v>657</v>
      </c>
      <c r="C813" s="423" t="s">
        <v>330</v>
      </c>
      <c r="D813" s="521" t="s">
        <v>658</v>
      </c>
      <c r="E813" s="522">
        <v>201606</v>
      </c>
      <c r="F813" s="523">
        <v>-0.17</v>
      </c>
      <c r="G813" s="521">
        <v>10.5</v>
      </c>
      <c r="H813" s="524">
        <v>1.3083000000000001E-3</v>
      </c>
      <c r="I813" s="523">
        <v>0</v>
      </c>
      <c r="J813" s="448">
        <v>0</v>
      </c>
      <c r="N813" s="590"/>
      <c r="O813" s="590"/>
      <c r="R813" s="440"/>
    </row>
    <row r="814" spans="1:18" s="559" customFormat="1">
      <c r="A814" s="521" t="s">
        <v>318</v>
      </c>
      <c r="B814" s="522" t="s">
        <v>659</v>
      </c>
      <c r="C814" s="423" t="s">
        <v>330</v>
      </c>
      <c r="D814" s="521" t="s">
        <v>660</v>
      </c>
      <c r="E814" s="522">
        <v>201606</v>
      </c>
      <c r="F814" s="523">
        <v>-96.6</v>
      </c>
      <c r="G814" s="521">
        <v>10.5</v>
      </c>
      <c r="H814" s="524">
        <v>1.3083000000000001E-3</v>
      </c>
      <c r="I814" s="523">
        <v>-1.33</v>
      </c>
      <c r="J814" s="448">
        <v>-1.52</v>
      </c>
      <c r="N814" s="590"/>
      <c r="O814" s="590"/>
      <c r="R814" s="440"/>
    </row>
    <row r="815" spans="1:18" s="559" customFormat="1">
      <c r="A815" s="521" t="s">
        <v>318</v>
      </c>
      <c r="B815" s="522" t="s">
        <v>659</v>
      </c>
      <c r="C815" s="423" t="s">
        <v>330</v>
      </c>
      <c r="D815" s="521" t="s">
        <v>660</v>
      </c>
      <c r="E815" s="522">
        <v>201606</v>
      </c>
      <c r="F815" s="523">
        <v>-1.89</v>
      </c>
      <c r="G815" s="521">
        <v>10.5</v>
      </c>
      <c r="H815" s="524">
        <v>1.3083000000000001E-3</v>
      </c>
      <c r="I815" s="523">
        <v>-0.03</v>
      </c>
      <c r="J815" s="448">
        <v>-0.03</v>
      </c>
      <c r="N815" s="590"/>
      <c r="O815" s="590"/>
      <c r="R815" s="440"/>
    </row>
    <row r="816" spans="1:18" s="559" customFormat="1">
      <c r="A816" s="521" t="s">
        <v>318</v>
      </c>
      <c r="B816" s="522" t="s">
        <v>661</v>
      </c>
      <c r="C816" s="423" t="s">
        <v>330</v>
      </c>
      <c r="D816" s="521" t="s">
        <v>662</v>
      </c>
      <c r="E816" s="522">
        <v>201606</v>
      </c>
      <c r="F816" s="523">
        <v>1022.13</v>
      </c>
      <c r="G816" s="521">
        <v>10.5</v>
      </c>
      <c r="H816" s="524">
        <v>1.3083000000000001E-3</v>
      </c>
      <c r="I816" s="523">
        <v>14.04</v>
      </c>
      <c r="J816" s="448">
        <v>16.05</v>
      </c>
      <c r="N816" s="590"/>
      <c r="O816" s="590"/>
      <c r="R816" s="440"/>
    </row>
    <row r="817" spans="1:18" s="559" customFormat="1">
      <c r="A817" s="521" t="s">
        <v>318</v>
      </c>
      <c r="B817" s="522" t="s">
        <v>661</v>
      </c>
      <c r="C817" s="423" t="s">
        <v>330</v>
      </c>
      <c r="D817" s="521" t="s">
        <v>662</v>
      </c>
      <c r="E817" s="522">
        <v>201606</v>
      </c>
      <c r="F817" s="523">
        <v>15441.01</v>
      </c>
      <c r="G817" s="521">
        <v>10.5</v>
      </c>
      <c r="H817" s="524">
        <v>1.3083000000000001E-3</v>
      </c>
      <c r="I817" s="523">
        <v>212.12</v>
      </c>
      <c r="J817" s="448">
        <v>242.42</v>
      </c>
      <c r="N817" s="590"/>
      <c r="O817" s="590"/>
      <c r="R817" s="440"/>
    </row>
    <row r="818" spans="1:18" s="559" customFormat="1">
      <c r="A818" s="521" t="s">
        <v>318</v>
      </c>
      <c r="B818" s="522" t="s">
        <v>663</v>
      </c>
      <c r="C818" s="423" t="s">
        <v>330</v>
      </c>
      <c r="D818" s="521" t="s">
        <v>664</v>
      </c>
      <c r="E818" s="522">
        <v>201606</v>
      </c>
      <c r="F818" s="523">
        <v>119.31</v>
      </c>
      <c r="G818" s="521">
        <v>10.5</v>
      </c>
      <c r="H818" s="524">
        <v>1.3083000000000001E-3</v>
      </c>
      <c r="I818" s="523">
        <v>1.64</v>
      </c>
      <c r="J818" s="448">
        <v>1.87</v>
      </c>
      <c r="N818" s="590"/>
      <c r="O818" s="590"/>
      <c r="R818" s="440"/>
    </row>
    <row r="819" spans="1:18" s="559" customFormat="1">
      <c r="A819" s="521" t="s">
        <v>318</v>
      </c>
      <c r="B819" s="522" t="s">
        <v>663</v>
      </c>
      <c r="C819" s="423" t="s">
        <v>330</v>
      </c>
      <c r="D819" s="521" t="s">
        <v>664</v>
      </c>
      <c r="E819" s="522">
        <v>201606</v>
      </c>
      <c r="F819" s="523">
        <v>6747.77</v>
      </c>
      <c r="G819" s="521">
        <v>10.5</v>
      </c>
      <c r="H819" s="524">
        <v>1.3083000000000001E-3</v>
      </c>
      <c r="I819" s="523">
        <v>92.7</v>
      </c>
      <c r="J819" s="448">
        <v>105.94</v>
      </c>
      <c r="N819" s="590"/>
      <c r="O819" s="590"/>
      <c r="R819" s="440"/>
    </row>
    <row r="820" spans="1:18" s="559" customFormat="1">
      <c r="A820" s="521" t="s">
        <v>318</v>
      </c>
      <c r="B820" s="522" t="s">
        <v>665</v>
      </c>
      <c r="C820" s="423" t="s">
        <v>330</v>
      </c>
      <c r="D820" s="521" t="s">
        <v>666</v>
      </c>
      <c r="E820" s="522">
        <v>201606</v>
      </c>
      <c r="F820" s="523">
        <v>2.81</v>
      </c>
      <c r="G820" s="521">
        <v>10.5</v>
      </c>
      <c r="H820" s="524">
        <v>1.3083000000000001E-3</v>
      </c>
      <c r="I820" s="523">
        <v>0.04</v>
      </c>
      <c r="J820" s="448">
        <v>0.04</v>
      </c>
      <c r="N820" s="590"/>
      <c r="O820" s="590"/>
      <c r="R820" s="440"/>
    </row>
    <row r="821" spans="1:18" s="559" customFormat="1">
      <c r="A821" s="521" t="s">
        <v>318</v>
      </c>
      <c r="B821" s="522" t="s">
        <v>665</v>
      </c>
      <c r="C821" s="423" t="s">
        <v>330</v>
      </c>
      <c r="D821" s="521" t="s">
        <v>666</v>
      </c>
      <c r="E821" s="522">
        <v>201606</v>
      </c>
      <c r="F821" s="523">
        <v>274.43</v>
      </c>
      <c r="G821" s="521">
        <v>10.5</v>
      </c>
      <c r="H821" s="524">
        <v>1.3083000000000001E-3</v>
      </c>
      <c r="I821" s="523">
        <v>3.77</v>
      </c>
      <c r="J821" s="448">
        <v>4.3099999999999996</v>
      </c>
      <c r="N821" s="590"/>
      <c r="O821" s="590"/>
      <c r="R821" s="440"/>
    </row>
    <row r="822" spans="1:18" s="559" customFormat="1">
      <c r="A822" s="521" t="s">
        <v>318</v>
      </c>
      <c r="B822" s="522" t="s">
        <v>801</v>
      </c>
      <c r="C822" s="423" t="s">
        <v>330</v>
      </c>
      <c r="D822" s="521" t="s">
        <v>802</v>
      </c>
      <c r="E822" s="522">
        <v>201606</v>
      </c>
      <c r="F822" s="523">
        <v>838.64</v>
      </c>
      <c r="G822" s="521">
        <v>10.5</v>
      </c>
      <c r="H822" s="524">
        <v>1.3083000000000001E-3</v>
      </c>
      <c r="I822" s="523">
        <v>11.52</v>
      </c>
      <c r="J822" s="448">
        <v>13.17</v>
      </c>
      <c r="N822" s="590"/>
      <c r="O822" s="590"/>
      <c r="R822" s="440"/>
    </row>
    <row r="823" spans="1:18" s="559" customFormat="1">
      <c r="A823" s="521" t="s">
        <v>318</v>
      </c>
      <c r="B823" s="522" t="s">
        <v>801</v>
      </c>
      <c r="C823" s="423" t="s">
        <v>330</v>
      </c>
      <c r="D823" s="521" t="s">
        <v>802</v>
      </c>
      <c r="E823" s="522">
        <v>201606</v>
      </c>
      <c r="F823" s="523">
        <v>11215.08</v>
      </c>
      <c r="G823" s="521">
        <v>10.5</v>
      </c>
      <c r="H823" s="524">
        <v>1.3083000000000001E-3</v>
      </c>
      <c r="I823" s="523">
        <v>154.06</v>
      </c>
      <c r="J823" s="448">
        <v>176.07</v>
      </c>
      <c r="N823" s="590"/>
      <c r="O823" s="590"/>
      <c r="R823" s="440"/>
    </row>
    <row r="824" spans="1:18" s="559" customFormat="1">
      <c r="A824" s="521" t="s">
        <v>318</v>
      </c>
      <c r="B824" s="522" t="s">
        <v>803</v>
      </c>
      <c r="C824" s="423" t="s">
        <v>330</v>
      </c>
      <c r="D824" s="521" t="s">
        <v>804</v>
      </c>
      <c r="E824" s="522">
        <v>201606</v>
      </c>
      <c r="F824" s="523">
        <v>-1001.93</v>
      </c>
      <c r="G824" s="521">
        <v>10.5</v>
      </c>
      <c r="H824" s="524">
        <v>1.3083000000000001E-3</v>
      </c>
      <c r="I824" s="523">
        <v>-13.76</v>
      </c>
      <c r="J824" s="448">
        <v>-15.73</v>
      </c>
      <c r="N824" s="590"/>
      <c r="O824" s="590"/>
      <c r="R824" s="440"/>
    </row>
    <row r="825" spans="1:18" s="559" customFormat="1">
      <c r="A825" s="521" t="s">
        <v>318</v>
      </c>
      <c r="B825" s="522" t="s">
        <v>803</v>
      </c>
      <c r="C825" s="423" t="s">
        <v>330</v>
      </c>
      <c r="D825" s="521" t="s">
        <v>804</v>
      </c>
      <c r="E825" s="522">
        <v>201606</v>
      </c>
      <c r="F825" s="523">
        <v>-73.959999999999994</v>
      </c>
      <c r="G825" s="521">
        <v>10.5</v>
      </c>
      <c r="H825" s="524">
        <v>1.3083000000000001E-3</v>
      </c>
      <c r="I825" s="523">
        <v>-1.02</v>
      </c>
      <c r="J825" s="448">
        <v>-1.1599999999999999</v>
      </c>
      <c r="N825" s="590"/>
      <c r="O825" s="590"/>
      <c r="R825" s="440"/>
    </row>
    <row r="826" spans="1:18" s="559" customFormat="1">
      <c r="A826" s="521" t="s">
        <v>318</v>
      </c>
      <c r="B826" s="522" t="s">
        <v>805</v>
      </c>
      <c r="C826" s="423" t="s">
        <v>330</v>
      </c>
      <c r="D826" s="521" t="s">
        <v>806</v>
      </c>
      <c r="E826" s="522">
        <v>201606</v>
      </c>
      <c r="F826" s="523">
        <v>315.5</v>
      </c>
      <c r="G826" s="521">
        <v>10.5</v>
      </c>
      <c r="H826" s="524">
        <v>1.3083000000000001E-3</v>
      </c>
      <c r="I826" s="523">
        <v>4.33</v>
      </c>
      <c r="J826" s="448">
        <v>4.95</v>
      </c>
      <c r="N826" s="590"/>
      <c r="O826" s="590"/>
      <c r="R826" s="440"/>
    </row>
    <row r="827" spans="1:18" s="559" customFormat="1">
      <c r="A827" s="521" t="s">
        <v>318</v>
      </c>
      <c r="B827" s="522" t="s">
        <v>805</v>
      </c>
      <c r="C827" s="423" t="s">
        <v>330</v>
      </c>
      <c r="D827" s="521" t="s">
        <v>806</v>
      </c>
      <c r="E827" s="522">
        <v>201606</v>
      </c>
      <c r="F827" s="523">
        <v>8280.84</v>
      </c>
      <c r="G827" s="521">
        <v>10.5</v>
      </c>
      <c r="H827" s="524">
        <v>1.3083000000000001E-3</v>
      </c>
      <c r="I827" s="523">
        <v>113.76</v>
      </c>
      <c r="J827" s="448">
        <v>130.01</v>
      </c>
      <c r="N827" s="590"/>
      <c r="O827" s="590"/>
      <c r="R827" s="440"/>
    </row>
    <row r="828" spans="1:18" s="559" customFormat="1">
      <c r="A828" s="521" t="s">
        <v>318</v>
      </c>
      <c r="B828" s="522" t="s">
        <v>633</v>
      </c>
      <c r="C828" s="423" t="s">
        <v>329</v>
      </c>
      <c r="D828" s="521" t="s">
        <v>807</v>
      </c>
      <c r="E828" s="522">
        <v>201606</v>
      </c>
      <c r="F828" s="523">
        <v>908.7</v>
      </c>
      <c r="G828" s="521">
        <v>10.5</v>
      </c>
      <c r="H828" s="524">
        <v>1.3083000000000001E-3</v>
      </c>
      <c r="I828" s="523">
        <v>12.48</v>
      </c>
      <c r="J828" s="448">
        <v>14.27</v>
      </c>
      <c r="N828" s="590"/>
      <c r="O828" s="590"/>
      <c r="R828" s="440"/>
    </row>
    <row r="829" spans="1:18" s="559" customFormat="1">
      <c r="A829" s="521" t="s">
        <v>318</v>
      </c>
      <c r="B829" s="522" t="s">
        <v>633</v>
      </c>
      <c r="C829" s="423" t="s">
        <v>329</v>
      </c>
      <c r="D829" s="521" t="s">
        <v>807</v>
      </c>
      <c r="E829" s="522">
        <v>201606</v>
      </c>
      <c r="F829" s="523">
        <v>4933.6499999999996</v>
      </c>
      <c r="G829" s="521">
        <v>10.5</v>
      </c>
      <c r="H829" s="524">
        <v>1.3083000000000001E-3</v>
      </c>
      <c r="I829" s="523">
        <v>67.77</v>
      </c>
      <c r="J829" s="448">
        <v>77.459999999999994</v>
      </c>
      <c r="N829" s="590"/>
      <c r="O829" s="590"/>
      <c r="R829" s="440"/>
    </row>
    <row r="830" spans="1:18" s="559" customFormat="1">
      <c r="A830" s="521" t="s">
        <v>318</v>
      </c>
      <c r="B830" s="522" t="s">
        <v>858</v>
      </c>
      <c r="C830" s="423" t="s">
        <v>329</v>
      </c>
      <c r="D830" s="521" t="s">
        <v>859</v>
      </c>
      <c r="E830" s="522">
        <v>201606</v>
      </c>
      <c r="F830" s="523">
        <v>29351.52</v>
      </c>
      <c r="G830" s="521">
        <v>10.5</v>
      </c>
      <c r="H830" s="524">
        <v>1.3083000000000001E-3</v>
      </c>
      <c r="I830" s="523">
        <v>403.21</v>
      </c>
      <c r="J830" s="448">
        <v>460.81</v>
      </c>
      <c r="N830" s="590"/>
      <c r="O830" s="590"/>
      <c r="R830" s="440"/>
    </row>
    <row r="831" spans="1:18" s="559" customFormat="1">
      <c r="A831" s="521" t="s">
        <v>318</v>
      </c>
      <c r="B831" s="522" t="s">
        <v>858</v>
      </c>
      <c r="C831" s="423" t="s">
        <v>329</v>
      </c>
      <c r="D831" s="521" t="s">
        <v>859</v>
      </c>
      <c r="E831" s="522">
        <v>201606</v>
      </c>
      <c r="F831" s="523">
        <v>437811.82</v>
      </c>
      <c r="G831" s="521">
        <v>10.5</v>
      </c>
      <c r="H831" s="524">
        <v>1.3083000000000001E-3</v>
      </c>
      <c r="I831" s="523">
        <v>6014.29</v>
      </c>
      <c r="J831" s="448">
        <v>6873.47</v>
      </c>
      <c r="N831" s="590"/>
      <c r="O831" s="590"/>
      <c r="R831" s="440"/>
    </row>
    <row r="832" spans="1:18" s="559" customFormat="1">
      <c r="A832" s="521" t="s">
        <v>318</v>
      </c>
      <c r="B832" s="522" t="s">
        <v>808</v>
      </c>
      <c r="C832" s="423" t="s">
        <v>329</v>
      </c>
      <c r="D832" s="521" t="s">
        <v>809</v>
      </c>
      <c r="E832" s="522">
        <v>201606</v>
      </c>
      <c r="F832" s="523">
        <v>-2272.5100000000002</v>
      </c>
      <c r="G832" s="521">
        <v>10.5</v>
      </c>
      <c r="H832" s="524">
        <v>1.3083000000000001E-3</v>
      </c>
      <c r="I832" s="523">
        <v>-31.22</v>
      </c>
      <c r="J832" s="448">
        <v>-35.68</v>
      </c>
      <c r="N832" s="590"/>
      <c r="O832" s="590"/>
      <c r="R832" s="440"/>
    </row>
    <row r="833" spans="1:18" s="559" customFormat="1">
      <c r="A833" s="521" t="s">
        <v>318</v>
      </c>
      <c r="B833" s="522" t="s">
        <v>808</v>
      </c>
      <c r="C833" s="423" t="s">
        <v>329</v>
      </c>
      <c r="D833" s="521" t="s">
        <v>809</v>
      </c>
      <c r="E833" s="522">
        <v>201606</v>
      </c>
      <c r="F833" s="523">
        <v>33750.29</v>
      </c>
      <c r="G833" s="521">
        <v>10.5</v>
      </c>
      <c r="H833" s="524">
        <v>1.3083000000000001E-3</v>
      </c>
      <c r="I833" s="523">
        <v>463.63</v>
      </c>
      <c r="J833" s="448">
        <v>529.87</v>
      </c>
      <c r="N833" s="590"/>
      <c r="O833" s="590"/>
      <c r="R833" s="440"/>
    </row>
    <row r="834" spans="1:18" s="559" customFormat="1">
      <c r="A834" s="521" t="s">
        <v>322</v>
      </c>
      <c r="B834" s="522" t="s">
        <v>667</v>
      </c>
      <c r="C834" s="423" t="s">
        <v>329</v>
      </c>
      <c r="D834" s="521" t="s">
        <v>668</v>
      </c>
      <c r="E834" s="522">
        <v>201606</v>
      </c>
      <c r="F834" s="523">
        <v>121.21</v>
      </c>
      <c r="G834" s="521">
        <v>10.5</v>
      </c>
      <c r="H834" s="524">
        <v>1.1999999999999999E-3</v>
      </c>
      <c r="I834" s="523">
        <v>1.53</v>
      </c>
      <c r="J834" s="448">
        <v>1.75</v>
      </c>
      <c r="N834" s="590"/>
      <c r="O834" s="590"/>
      <c r="R834" s="440"/>
    </row>
    <row r="835" spans="1:18" s="559" customFormat="1">
      <c r="A835" s="521" t="s">
        <v>318</v>
      </c>
      <c r="B835" s="522" t="s">
        <v>667</v>
      </c>
      <c r="C835" s="423" t="s">
        <v>329</v>
      </c>
      <c r="D835" s="521" t="s">
        <v>668</v>
      </c>
      <c r="E835" s="522">
        <v>201606</v>
      </c>
      <c r="F835" s="523">
        <v>320.85000000000002</v>
      </c>
      <c r="G835" s="521">
        <v>10.5</v>
      </c>
      <c r="H835" s="524">
        <v>1.3083000000000001E-3</v>
      </c>
      <c r="I835" s="523">
        <v>4.41</v>
      </c>
      <c r="J835" s="448">
        <v>5.04</v>
      </c>
      <c r="N835" s="590"/>
      <c r="O835" s="590"/>
      <c r="R835" s="440"/>
    </row>
    <row r="836" spans="1:18" s="559" customFormat="1">
      <c r="A836" s="521" t="s">
        <v>318</v>
      </c>
      <c r="B836" s="522" t="s">
        <v>667</v>
      </c>
      <c r="C836" s="423" t="s">
        <v>329</v>
      </c>
      <c r="D836" s="521" t="s">
        <v>668</v>
      </c>
      <c r="E836" s="522">
        <v>201606</v>
      </c>
      <c r="F836" s="523">
        <v>1965.86</v>
      </c>
      <c r="G836" s="521">
        <v>10.5</v>
      </c>
      <c r="H836" s="524">
        <v>1.3083000000000001E-3</v>
      </c>
      <c r="I836" s="523">
        <v>27.01</v>
      </c>
      <c r="J836" s="448">
        <v>30.86</v>
      </c>
      <c r="N836" s="590"/>
      <c r="O836" s="590"/>
      <c r="R836" s="440"/>
    </row>
    <row r="837" spans="1:18" s="559" customFormat="1">
      <c r="A837" s="521" t="s">
        <v>318</v>
      </c>
      <c r="B837" s="522" t="s">
        <v>598</v>
      </c>
      <c r="C837" s="423" t="s">
        <v>330</v>
      </c>
      <c r="D837" s="521" t="s">
        <v>599</v>
      </c>
      <c r="E837" s="522">
        <v>201606</v>
      </c>
      <c r="F837" s="523">
        <v>-0.38</v>
      </c>
      <c r="G837" s="521">
        <v>10.5</v>
      </c>
      <c r="H837" s="524">
        <v>1.3083000000000001E-3</v>
      </c>
      <c r="I837" s="523">
        <v>-0.01</v>
      </c>
      <c r="J837" s="448">
        <v>-0.01</v>
      </c>
      <c r="N837" s="590"/>
      <c r="O837" s="590"/>
      <c r="R837" s="440"/>
    </row>
    <row r="838" spans="1:18" s="559" customFormat="1">
      <c r="A838" s="521" t="s">
        <v>318</v>
      </c>
      <c r="B838" s="522" t="s">
        <v>598</v>
      </c>
      <c r="C838" s="423" t="s">
        <v>330</v>
      </c>
      <c r="D838" s="521" t="s">
        <v>599</v>
      </c>
      <c r="E838" s="522">
        <v>201606</v>
      </c>
      <c r="F838" s="523">
        <v>-0.03</v>
      </c>
      <c r="G838" s="521">
        <v>10.5</v>
      </c>
      <c r="H838" s="524">
        <v>1.3083000000000001E-3</v>
      </c>
      <c r="I838" s="523">
        <v>0</v>
      </c>
      <c r="J838" s="448">
        <v>0</v>
      </c>
      <c r="N838" s="590"/>
      <c r="O838" s="590"/>
      <c r="R838" s="440"/>
    </row>
    <row r="839" spans="1:18" s="559" customFormat="1">
      <c r="A839" s="521" t="s">
        <v>318</v>
      </c>
      <c r="B839" s="522" t="s">
        <v>600</v>
      </c>
      <c r="C839" s="423" t="s">
        <v>330</v>
      </c>
      <c r="D839" s="521" t="s">
        <v>601</v>
      </c>
      <c r="E839" s="522">
        <v>201606</v>
      </c>
      <c r="F839" s="523">
        <v>0.02</v>
      </c>
      <c r="G839" s="521">
        <v>10.5</v>
      </c>
      <c r="H839" s="524">
        <v>1.3083000000000001E-3</v>
      </c>
      <c r="I839" s="523">
        <v>0</v>
      </c>
      <c r="J839" s="448">
        <v>0</v>
      </c>
      <c r="N839" s="590"/>
      <c r="O839" s="590"/>
      <c r="R839" s="440"/>
    </row>
    <row r="840" spans="1:18" s="559" customFormat="1">
      <c r="A840" s="521" t="s">
        <v>318</v>
      </c>
      <c r="B840" s="522" t="s">
        <v>600</v>
      </c>
      <c r="C840" s="423" t="s">
        <v>330</v>
      </c>
      <c r="D840" s="521" t="s">
        <v>601</v>
      </c>
      <c r="E840" s="522">
        <v>201606</v>
      </c>
      <c r="F840" s="523">
        <v>1.8</v>
      </c>
      <c r="G840" s="521">
        <v>10.5</v>
      </c>
      <c r="H840" s="524">
        <v>1.3083000000000001E-3</v>
      </c>
      <c r="I840" s="523">
        <v>0.02</v>
      </c>
      <c r="J840" s="448">
        <v>0.03</v>
      </c>
      <c r="N840" s="590"/>
      <c r="O840" s="590"/>
      <c r="R840" s="440"/>
    </row>
    <row r="841" spans="1:18" s="559" customFormat="1">
      <c r="A841" s="521" t="s">
        <v>318</v>
      </c>
      <c r="B841" s="522" t="s">
        <v>554</v>
      </c>
      <c r="C841" s="423" t="s">
        <v>330</v>
      </c>
      <c r="D841" s="521" t="s">
        <v>555</v>
      </c>
      <c r="E841" s="522">
        <v>201606</v>
      </c>
      <c r="F841" s="523">
        <v>0.09</v>
      </c>
      <c r="G841" s="521">
        <v>10.5</v>
      </c>
      <c r="H841" s="524">
        <v>1.3083000000000001E-3</v>
      </c>
      <c r="I841" s="523">
        <v>0</v>
      </c>
      <c r="J841" s="448">
        <v>0</v>
      </c>
      <c r="N841" s="590"/>
      <c r="O841" s="590"/>
      <c r="R841" s="440"/>
    </row>
    <row r="842" spans="1:18" s="559" customFormat="1">
      <c r="A842" s="521" t="s">
        <v>318</v>
      </c>
      <c r="B842" s="522" t="s">
        <v>554</v>
      </c>
      <c r="C842" s="423" t="s">
        <v>330</v>
      </c>
      <c r="D842" s="521" t="s">
        <v>555</v>
      </c>
      <c r="E842" s="522">
        <v>201606</v>
      </c>
      <c r="F842" s="523">
        <v>1.58</v>
      </c>
      <c r="G842" s="521">
        <v>10.5</v>
      </c>
      <c r="H842" s="524">
        <v>1.3083000000000001E-3</v>
      </c>
      <c r="I842" s="523">
        <v>0.02</v>
      </c>
      <c r="J842" s="448">
        <v>0.02</v>
      </c>
      <c r="N842" s="590"/>
      <c r="O842" s="590"/>
      <c r="R842" s="440"/>
    </row>
    <row r="843" spans="1:18" s="559" customFormat="1">
      <c r="A843" s="521" t="s">
        <v>318</v>
      </c>
      <c r="B843" s="522" t="s">
        <v>556</v>
      </c>
      <c r="C843" s="423" t="s">
        <v>330</v>
      </c>
      <c r="D843" s="521" t="s">
        <v>557</v>
      </c>
      <c r="E843" s="522">
        <v>201606</v>
      </c>
      <c r="F843" s="523">
        <v>0.15</v>
      </c>
      <c r="G843" s="521">
        <v>10.5</v>
      </c>
      <c r="H843" s="524">
        <v>1.3083000000000001E-3</v>
      </c>
      <c r="I843" s="523">
        <v>0</v>
      </c>
      <c r="J843" s="448">
        <v>0</v>
      </c>
      <c r="N843" s="590"/>
      <c r="O843" s="590"/>
      <c r="R843" s="440"/>
    </row>
    <row r="844" spans="1:18" s="559" customFormat="1">
      <c r="A844" s="521" t="s">
        <v>318</v>
      </c>
      <c r="B844" s="522" t="s">
        <v>556</v>
      </c>
      <c r="C844" s="423" t="s">
        <v>330</v>
      </c>
      <c r="D844" s="521" t="s">
        <v>557</v>
      </c>
      <c r="E844" s="522">
        <v>201606</v>
      </c>
      <c r="F844" s="523">
        <v>5.41</v>
      </c>
      <c r="G844" s="521">
        <v>10.5</v>
      </c>
      <c r="H844" s="524">
        <v>1.3083000000000001E-3</v>
      </c>
      <c r="I844" s="523">
        <v>7.0000000000000007E-2</v>
      </c>
      <c r="J844" s="448">
        <v>0.08</v>
      </c>
      <c r="N844" s="590"/>
      <c r="O844" s="590"/>
      <c r="R844" s="440"/>
    </row>
    <row r="845" spans="1:18" s="559" customFormat="1">
      <c r="A845" s="521" t="s">
        <v>318</v>
      </c>
      <c r="B845" s="522" t="s">
        <v>558</v>
      </c>
      <c r="C845" s="423" t="s">
        <v>330</v>
      </c>
      <c r="D845" s="521" t="s">
        <v>559</v>
      </c>
      <c r="E845" s="522">
        <v>201606</v>
      </c>
      <c r="F845" s="523">
        <v>-147.63</v>
      </c>
      <c r="G845" s="521">
        <v>10.5</v>
      </c>
      <c r="H845" s="524">
        <v>1.3083000000000001E-3</v>
      </c>
      <c r="I845" s="523">
        <v>-2.0299999999999998</v>
      </c>
      <c r="J845" s="448">
        <v>-2.3199999999999998</v>
      </c>
      <c r="N845" s="590"/>
      <c r="O845" s="590"/>
      <c r="R845" s="440"/>
    </row>
    <row r="846" spans="1:18" s="559" customFormat="1">
      <c r="A846" s="521" t="s">
        <v>318</v>
      </c>
      <c r="B846" s="522" t="s">
        <v>558</v>
      </c>
      <c r="C846" s="423" t="s">
        <v>330</v>
      </c>
      <c r="D846" s="521" t="s">
        <v>559</v>
      </c>
      <c r="E846" s="522">
        <v>201606</v>
      </c>
      <c r="F846" s="523">
        <v>-125.42</v>
      </c>
      <c r="G846" s="521">
        <v>10.5</v>
      </c>
      <c r="H846" s="524">
        <v>1.3083000000000001E-3</v>
      </c>
      <c r="I846" s="523">
        <v>-1.72</v>
      </c>
      <c r="J846" s="448">
        <v>-1.97</v>
      </c>
      <c r="N846" s="590"/>
      <c r="O846" s="590"/>
      <c r="R846" s="440"/>
    </row>
    <row r="847" spans="1:18" s="559" customFormat="1">
      <c r="A847" s="521" t="s">
        <v>318</v>
      </c>
      <c r="B847" s="522" t="s">
        <v>560</v>
      </c>
      <c r="C847" s="423" t="s">
        <v>330</v>
      </c>
      <c r="D847" s="521" t="s">
        <v>561</v>
      </c>
      <c r="E847" s="522">
        <v>201606</v>
      </c>
      <c r="F847" s="523">
        <v>-6</v>
      </c>
      <c r="G847" s="521">
        <v>10.5</v>
      </c>
      <c r="H847" s="524">
        <v>1.3083000000000001E-3</v>
      </c>
      <c r="I847" s="523">
        <v>-0.08</v>
      </c>
      <c r="J847" s="448">
        <v>-0.09</v>
      </c>
      <c r="N847" s="590"/>
      <c r="O847" s="590"/>
      <c r="R847" s="440"/>
    </row>
    <row r="848" spans="1:18" s="559" customFormat="1">
      <c r="A848" s="521" t="s">
        <v>318</v>
      </c>
      <c r="B848" s="522" t="s">
        <v>560</v>
      </c>
      <c r="C848" s="423" t="s">
        <v>330</v>
      </c>
      <c r="D848" s="521" t="s">
        <v>561</v>
      </c>
      <c r="E848" s="522">
        <v>201606</v>
      </c>
      <c r="F848" s="523">
        <v>-0.48</v>
      </c>
      <c r="G848" s="521">
        <v>10.5</v>
      </c>
      <c r="H848" s="524">
        <v>1.3083000000000001E-3</v>
      </c>
      <c r="I848" s="523">
        <v>-0.01</v>
      </c>
      <c r="J848" s="448">
        <v>-0.01</v>
      </c>
      <c r="N848" s="590"/>
      <c r="O848" s="590"/>
      <c r="R848" s="440"/>
    </row>
    <row r="849" spans="1:18" s="559" customFormat="1">
      <c r="A849" s="521" t="s">
        <v>318</v>
      </c>
      <c r="B849" s="522" t="s">
        <v>562</v>
      </c>
      <c r="C849" s="423" t="s">
        <v>330</v>
      </c>
      <c r="D849" s="521" t="s">
        <v>563</v>
      </c>
      <c r="E849" s="522">
        <v>201606</v>
      </c>
      <c r="F849" s="523">
        <v>5.0599999999999996</v>
      </c>
      <c r="G849" s="521">
        <v>10.5</v>
      </c>
      <c r="H849" s="524">
        <v>1.3083000000000001E-3</v>
      </c>
      <c r="I849" s="523">
        <v>7.0000000000000007E-2</v>
      </c>
      <c r="J849" s="448">
        <v>0.08</v>
      </c>
      <c r="N849" s="590"/>
      <c r="O849" s="590"/>
      <c r="R849" s="440"/>
    </row>
    <row r="850" spans="1:18" s="559" customFormat="1">
      <c r="A850" s="521" t="s">
        <v>318</v>
      </c>
      <c r="B850" s="522" t="s">
        <v>562</v>
      </c>
      <c r="C850" s="423" t="s">
        <v>330</v>
      </c>
      <c r="D850" s="521" t="s">
        <v>563</v>
      </c>
      <c r="E850" s="522">
        <v>201606</v>
      </c>
      <c r="F850" s="523">
        <v>81.88</v>
      </c>
      <c r="G850" s="521">
        <v>10.5</v>
      </c>
      <c r="H850" s="524">
        <v>1.3083000000000001E-3</v>
      </c>
      <c r="I850" s="523">
        <v>1.1200000000000001</v>
      </c>
      <c r="J850" s="448">
        <v>1.29</v>
      </c>
      <c r="N850" s="590"/>
      <c r="O850" s="590"/>
      <c r="R850" s="440"/>
    </row>
    <row r="851" spans="1:18" s="559" customFormat="1">
      <c r="A851" s="521" t="s">
        <v>318</v>
      </c>
      <c r="B851" s="522" t="s">
        <v>602</v>
      </c>
      <c r="C851" s="423" t="s">
        <v>330</v>
      </c>
      <c r="D851" s="521" t="s">
        <v>603</v>
      </c>
      <c r="E851" s="522">
        <v>201606</v>
      </c>
      <c r="F851" s="523">
        <v>0.17</v>
      </c>
      <c r="G851" s="521">
        <v>10.5</v>
      </c>
      <c r="H851" s="524">
        <v>1.3083000000000001E-3</v>
      </c>
      <c r="I851" s="523">
        <v>0</v>
      </c>
      <c r="J851" s="448">
        <v>0</v>
      </c>
      <c r="N851" s="590"/>
      <c r="O851" s="590"/>
      <c r="R851" s="440"/>
    </row>
    <row r="852" spans="1:18" s="559" customFormat="1">
      <c r="A852" s="521" t="s">
        <v>318</v>
      </c>
      <c r="B852" s="522" t="s">
        <v>602</v>
      </c>
      <c r="C852" s="423" t="s">
        <v>330</v>
      </c>
      <c r="D852" s="521" t="s">
        <v>603</v>
      </c>
      <c r="E852" s="522">
        <v>201606</v>
      </c>
      <c r="F852" s="523">
        <v>2.91</v>
      </c>
      <c r="G852" s="521">
        <v>10.5</v>
      </c>
      <c r="H852" s="524">
        <v>1.3083000000000001E-3</v>
      </c>
      <c r="I852" s="523">
        <v>0.04</v>
      </c>
      <c r="J852" s="448">
        <v>0.05</v>
      </c>
      <c r="N852" s="590"/>
      <c r="O852" s="590"/>
      <c r="R852" s="440"/>
    </row>
    <row r="853" spans="1:18" s="559" customFormat="1">
      <c r="A853" s="521" t="s">
        <v>318</v>
      </c>
      <c r="B853" s="522" t="s">
        <v>810</v>
      </c>
      <c r="C853" s="423" t="s">
        <v>330</v>
      </c>
      <c r="D853" s="521" t="s">
        <v>811</v>
      </c>
      <c r="E853" s="522">
        <v>201606</v>
      </c>
      <c r="F853" s="523">
        <v>-4171.9799999999996</v>
      </c>
      <c r="G853" s="521">
        <v>10.5</v>
      </c>
      <c r="H853" s="524">
        <v>1.3083000000000001E-3</v>
      </c>
      <c r="I853" s="523">
        <v>-57.31</v>
      </c>
      <c r="J853" s="448">
        <v>-65.5</v>
      </c>
      <c r="N853" s="590"/>
      <c r="O853" s="590"/>
      <c r="R853" s="440"/>
    </row>
    <row r="854" spans="1:18" s="559" customFormat="1">
      <c r="A854" s="521" t="s">
        <v>318</v>
      </c>
      <c r="B854" s="522" t="s">
        <v>810</v>
      </c>
      <c r="C854" s="423" t="s">
        <v>330</v>
      </c>
      <c r="D854" s="521" t="s">
        <v>811</v>
      </c>
      <c r="E854" s="522">
        <v>201606</v>
      </c>
      <c r="F854" s="523">
        <v>38828.980000000003</v>
      </c>
      <c r="G854" s="521">
        <v>10.5</v>
      </c>
      <c r="H854" s="524">
        <v>1.3083000000000001E-3</v>
      </c>
      <c r="I854" s="523">
        <v>533.4</v>
      </c>
      <c r="J854" s="448">
        <v>609.6</v>
      </c>
      <c r="N854" s="590"/>
      <c r="O854" s="590"/>
      <c r="R854" s="440"/>
    </row>
    <row r="855" spans="1:18" s="559" customFormat="1">
      <c r="A855" s="521" t="s">
        <v>318</v>
      </c>
      <c r="B855" s="522" t="s">
        <v>635</v>
      </c>
      <c r="C855" s="423" t="s">
        <v>329</v>
      </c>
      <c r="D855" s="521" t="s">
        <v>636</v>
      </c>
      <c r="E855" s="522">
        <v>201606</v>
      </c>
      <c r="F855" s="523">
        <v>0.41</v>
      </c>
      <c r="G855" s="521">
        <v>10.5</v>
      </c>
      <c r="H855" s="524">
        <v>1.3083000000000001E-3</v>
      </c>
      <c r="I855" s="523">
        <v>0.01</v>
      </c>
      <c r="J855" s="448">
        <v>0.01</v>
      </c>
      <c r="N855" s="590"/>
      <c r="O855" s="590"/>
      <c r="R855" s="440"/>
    </row>
    <row r="856" spans="1:18" s="559" customFormat="1">
      <c r="A856" s="521" t="s">
        <v>318</v>
      </c>
      <c r="B856" s="522" t="s">
        <v>635</v>
      </c>
      <c r="C856" s="423" t="s">
        <v>329</v>
      </c>
      <c r="D856" s="521" t="s">
        <v>636</v>
      </c>
      <c r="E856" s="522">
        <v>201606</v>
      </c>
      <c r="F856" s="523">
        <v>12.84</v>
      </c>
      <c r="G856" s="521">
        <v>10.5</v>
      </c>
      <c r="H856" s="524">
        <v>1.3083000000000001E-3</v>
      </c>
      <c r="I856" s="523">
        <v>0.18</v>
      </c>
      <c r="J856" s="448">
        <v>0.2</v>
      </c>
      <c r="N856" s="590"/>
      <c r="O856" s="590"/>
      <c r="R856" s="440"/>
    </row>
    <row r="857" spans="1:18" s="559" customFormat="1">
      <c r="A857" s="521" t="s">
        <v>318</v>
      </c>
      <c r="B857" s="522" t="s">
        <v>812</v>
      </c>
      <c r="C857" s="423" t="s">
        <v>330</v>
      </c>
      <c r="D857" s="521" t="s">
        <v>813</v>
      </c>
      <c r="E857" s="522">
        <v>201606</v>
      </c>
      <c r="F857" s="523">
        <v>635.04</v>
      </c>
      <c r="G857" s="521">
        <v>10.5</v>
      </c>
      <c r="H857" s="524">
        <v>1.3083000000000001E-3</v>
      </c>
      <c r="I857" s="523">
        <v>8.7200000000000006</v>
      </c>
      <c r="J857" s="448">
        <v>9.9700000000000006</v>
      </c>
      <c r="N857" s="590"/>
      <c r="O857" s="590"/>
      <c r="R857" s="440"/>
    </row>
    <row r="858" spans="1:18" s="559" customFormat="1">
      <c r="A858" s="521" t="s">
        <v>318</v>
      </c>
      <c r="B858" s="522" t="s">
        <v>812</v>
      </c>
      <c r="C858" s="423" t="s">
        <v>330</v>
      </c>
      <c r="D858" s="521" t="s">
        <v>813</v>
      </c>
      <c r="E858" s="522">
        <v>201606</v>
      </c>
      <c r="F858" s="523">
        <v>11416.12</v>
      </c>
      <c r="G858" s="521">
        <v>10.5</v>
      </c>
      <c r="H858" s="524">
        <v>1.3083000000000001E-3</v>
      </c>
      <c r="I858" s="523">
        <v>156.82</v>
      </c>
      <c r="J858" s="448">
        <v>179.23</v>
      </c>
      <c r="N858" s="590"/>
      <c r="O858" s="590"/>
      <c r="R858" s="440"/>
    </row>
    <row r="859" spans="1:18" s="559" customFormat="1">
      <c r="A859" s="521" t="s">
        <v>318</v>
      </c>
      <c r="B859" s="522" t="s">
        <v>788</v>
      </c>
      <c r="C859" s="423" t="s">
        <v>330</v>
      </c>
      <c r="D859" s="521" t="s">
        <v>789</v>
      </c>
      <c r="E859" s="522">
        <v>201606</v>
      </c>
      <c r="F859" s="523">
        <v>22.57</v>
      </c>
      <c r="G859" s="521">
        <v>10.5</v>
      </c>
      <c r="H859" s="524">
        <v>1.3083000000000001E-3</v>
      </c>
      <c r="I859" s="523">
        <v>0.31</v>
      </c>
      <c r="J859" s="448">
        <v>0.35</v>
      </c>
      <c r="N859" s="590"/>
      <c r="O859" s="590"/>
      <c r="R859" s="440"/>
    </row>
    <row r="860" spans="1:18" s="559" customFormat="1">
      <c r="A860" s="521" t="s">
        <v>318</v>
      </c>
      <c r="B860" s="522" t="s">
        <v>788</v>
      </c>
      <c r="C860" s="423" t="s">
        <v>330</v>
      </c>
      <c r="D860" s="521" t="s">
        <v>789</v>
      </c>
      <c r="E860" s="522">
        <v>201606</v>
      </c>
      <c r="F860" s="523">
        <v>4841.34</v>
      </c>
      <c r="G860" s="521">
        <v>10.5</v>
      </c>
      <c r="H860" s="524">
        <v>1.3083000000000001E-3</v>
      </c>
      <c r="I860" s="523">
        <v>66.510000000000005</v>
      </c>
      <c r="J860" s="448">
        <v>76.010000000000005</v>
      </c>
      <c r="N860" s="590"/>
      <c r="O860" s="590"/>
      <c r="R860" s="440"/>
    </row>
    <row r="861" spans="1:18" s="559" customFormat="1">
      <c r="A861" s="521" t="s">
        <v>318</v>
      </c>
      <c r="B861" s="522" t="s">
        <v>564</v>
      </c>
      <c r="C861" s="423" t="s">
        <v>330</v>
      </c>
      <c r="D861" s="521" t="s">
        <v>669</v>
      </c>
      <c r="E861" s="522">
        <v>201606</v>
      </c>
      <c r="F861" s="523">
        <v>-3.21</v>
      </c>
      <c r="G861" s="521">
        <v>10.5</v>
      </c>
      <c r="H861" s="524">
        <v>1.3083000000000001E-3</v>
      </c>
      <c r="I861" s="523">
        <v>-0.04</v>
      </c>
      <c r="J861" s="448">
        <v>-0.05</v>
      </c>
      <c r="N861" s="590"/>
      <c r="O861" s="590"/>
      <c r="R861" s="440"/>
    </row>
    <row r="862" spans="1:18" s="559" customFormat="1">
      <c r="A862" s="521" t="s">
        <v>318</v>
      </c>
      <c r="B862" s="522" t="s">
        <v>564</v>
      </c>
      <c r="C862" s="423" t="s">
        <v>330</v>
      </c>
      <c r="D862" s="521" t="s">
        <v>669</v>
      </c>
      <c r="E862" s="522">
        <v>201606</v>
      </c>
      <c r="F862" s="523">
        <v>-0.27</v>
      </c>
      <c r="G862" s="521">
        <v>10.5</v>
      </c>
      <c r="H862" s="524">
        <v>1.3083000000000001E-3</v>
      </c>
      <c r="I862" s="523">
        <v>0</v>
      </c>
      <c r="J862" s="448">
        <v>0</v>
      </c>
      <c r="N862" s="590"/>
      <c r="O862" s="590"/>
      <c r="R862" s="440"/>
    </row>
    <row r="863" spans="1:18" s="559" customFormat="1">
      <c r="A863" s="521" t="s">
        <v>318</v>
      </c>
      <c r="B863" s="522" t="s">
        <v>829</v>
      </c>
      <c r="C863" s="423" t="s">
        <v>330</v>
      </c>
      <c r="D863" s="521" t="s">
        <v>831</v>
      </c>
      <c r="E863" s="522">
        <v>201606</v>
      </c>
      <c r="F863" s="523">
        <v>1559.18</v>
      </c>
      <c r="G863" s="521">
        <v>10.5</v>
      </c>
      <c r="H863" s="524">
        <v>1.3083000000000001E-3</v>
      </c>
      <c r="I863" s="523">
        <v>21.42</v>
      </c>
      <c r="J863" s="448">
        <v>24.48</v>
      </c>
      <c r="N863" s="590"/>
      <c r="O863" s="590"/>
      <c r="R863" s="440"/>
    </row>
    <row r="864" spans="1:18" s="559" customFormat="1">
      <c r="A864" s="521" t="s">
        <v>318</v>
      </c>
      <c r="B864" s="522" t="s">
        <v>829</v>
      </c>
      <c r="C864" s="423" t="s">
        <v>330</v>
      </c>
      <c r="D864" s="521" t="s">
        <v>831</v>
      </c>
      <c r="E864" s="522">
        <v>201606</v>
      </c>
      <c r="F864" s="523">
        <v>20884.95</v>
      </c>
      <c r="G864" s="521">
        <v>10.5</v>
      </c>
      <c r="H864" s="524">
        <v>1.3083000000000001E-3</v>
      </c>
      <c r="I864" s="523">
        <v>286.89999999999998</v>
      </c>
      <c r="J864" s="448">
        <v>327.89</v>
      </c>
      <c r="N864" s="590"/>
      <c r="O864" s="590"/>
      <c r="R864" s="440"/>
    </row>
    <row r="865" spans="1:18" s="559" customFormat="1">
      <c r="A865" s="521" t="s">
        <v>318</v>
      </c>
      <c r="B865" s="522" t="s">
        <v>832</v>
      </c>
      <c r="C865" s="423" t="s">
        <v>330</v>
      </c>
      <c r="D865" s="521" t="s">
        <v>833</v>
      </c>
      <c r="E865" s="522">
        <v>201606</v>
      </c>
      <c r="F865" s="523">
        <v>109.85</v>
      </c>
      <c r="G865" s="521">
        <v>10.5</v>
      </c>
      <c r="H865" s="524">
        <v>1.3083000000000001E-3</v>
      </c>
      <c r="I865" s="523">
        <v>1.51</v>
      </c>
      <c r="J865" s="448">
        <v>1.72</v>
      </c>
      <c r="N865" s="590"/>
      <c r="O865" s="590"/>
      <c r="R865" s="440"/>
    </row>
    <row r="866" spans="1:18" s="559" customFormat="1">
      <c r="A866" s="521" t="s">
        <v>318</v>
      </c>
      <c r="B866" s="522" t="s">
        <v>832</v>
      </c>
      <c r="C866" s="423" t="s">
        <v>330</v>
      </c>
      <c r="D866" s="521" t="s">
        <v>833</v>
      </c>
      <c r="E866" s="522">
        <v>201606</v>
      </c>
      <c r="F866" s="523">
        <v>5254.55</v>
      </c>
      <c r="G866" s="521">
        <v>10.5</v>
      </c>
      <c r="H866" s="524">
        <v>1.3083000000000001E-3</v>
      </c>
      <c r="I866" s="523">
        <v>72.180000000000007</v>
      </c>
      <c r="J866" s="448">
        <v>82.49</v>
      </c>
      <c r="N866" s="590"/>
      <c r="O866" s="590"/>
      <c r="R866" s="440"/>
    </row>
    <row r="867" spans="1:18" s="559" customFormat="1">
      <c r="A867" s="521" t="s">
        <v>318</v>
      </c>
      <c r="B867" s="522" t="s">
        <v>670</v>
      </c>
      <c r="C867" s="423" t="s">
        <v>330</v>
      </c>
      <c r="D867" s="521" t="s">
        <v>671</v>
      </c>
      <c r="E867" s="522">
        <v>201606</v>
      </c>
      <c r="F867" s="523">
        <v>21.14</v>
      </c>
      <c r="G867" s="521">
        <v>10.5</v>
      </c>
      <c r="H867" s="524">
        <v>1.3083000000000001E-3</v>
      </c>
      <c r="I867" s="523">
        <v>0.28999999999999998</v>
      </c>
      <c r="J867" s="448">
        <v>0.33</v>
      </c>
      <c r="N867" s="590"/>
      <c r="O867" s="590"/>
      <c r="R867" s="440"/>
    </row>
    <row r="868" spans="1:18" s="559" customFormat="1">
      <c r="A868" s="521" t="s">
        <v>318</v>
      </c>
      <c r="B868" s="522" t="s">
        <v>670</v>
      </c>
      <c r="C868" s="423" t="s">
        <v>330</v>
      </c>
      <c r="D868" s="521" t="s">
        <v>671</v>
      </c>
      <c r="E868" s="522">
        <v>201606</v>
      </c>
      <c r="F868" s="523">
        <v>3394.52</v>
      </c>
      <c r="G868" s="521">
        <v>10.5</v>
      </c>
      <c r="H868" s="524">
        <v>1.3083000000000001E-3</v>
      </c>
      <c r="I868" s="523">
        <v>46.63</v>
      </c>
      <c r="J868" s="448">
        <v>53.29</v>
      </c>
      <c r="N868" s="590"/>
      <c r="O868" s="590"/>
      <c r="R868" s="440"/>
    </row>
    <row r="869" spans="1:18" s="559" customFormat="1">
      <c r="A869" s="521" t="s">
        <v>318</v>
      </c>
      <c r="B869" s="522" t="s">
        <v>606</v>
      </c>
      <c r="C869" s="423" t="s">
        <v>330</v>
      </c>
      <c r="D869" s="521" t="s">
        <v>607</v>
      </c>
      <c r="E869" s="522">
        <v>201606</v>
      </c>
      <c r="F869" s="523">
        <v>0.25</v>
      </c>
      <c r="G869" s="521">
        <v>10.5</v>
      </c>
      <c r="H869" s="524">
        <v>1.3083000000000001E-3</v>
      </c>
      <c r="I869" s="523">
        <v>0</v>
      </c>
      <c r="J869" s="448">
        <v>0</v>
      </c>
      <c r="N869" s="590"/>
      <c r="O869" s="590"/>
      <c r="R869" s="440"/>
    </row>
    <row r="870" spans="1:18" s="559" customFormat="1">
      <c r="A870" s="521" t="s">
        <v>318</v>
      </c>
      <c r="B870" s="522" t="s">
        <v>606</v>
      </c>
      <c r="C870" s="423" t="s">
        <v>330</v>
      </c>
      <c r="D870" s="521" t="s">
        <v>607</v>
      </c>
      <c r="E870" s="522">
        <v>201606</v>
      </c>
      <c r="F870" s="523">
        <v>16.260000000000002</v>
      </c>
      <c r="G870" s="521">
        <v>10.5</v>
      </c>
      <c r="H870" s="524">
        <v>1.3083000000000001E-3</v>
      </c>
      <c r="I870" s="523">
        <v>0.22</v>
      </c>
      <c r="J870" s="448">
        <v>0.26</v>
      </c>
      <c r="N870" s="590"/>
      <c r="O870" s="590"/>
      <c r="R870" s="440"/>
    </row>
    <row r="871" spans="1:18" s="559" customFormat="1">
      <c r="A871" s="521" t="s">
        <v>318</v>
      </c>
      <c r="B871" s="522" t="s">
        <v>834</v>
      </c>
      <c r="C871" s="423" t="s">
        <v>330</v>
      </c>
      <c r="D871" s="521" t="s">
        <v>835</v>
      </c>
      <c r="E871" s="522">
        <v>201606</v>
      </c>
      <c r="F871" s="523">
        <v>3039.56</v>
      </c>
      <c r="G871" s="521">
        <v>10.5</v>
      </c>
      <c r="H871" s="524">
        <v>1.3083000000000001E-3</v>
      </c>
      <c r="I871" s="523">
        <v>41.75</v>
      </c>
      <c r="J871" s="448">
        <v>47.72</v>
      </c>
      <c r="N871" s="590"/>
      <c r="O871" s="590"/>
      <c r="R871" s="440"/>
    </row>
    <row r="872" spans="1:18" s="559" customFormat="1">
      <c r="A872" s="521" t="s">
        <v>318</v>
      </c>
      <c r="B872" s="522" t="s">
        <v>834</v>
      </c>
      <c r="C872" s="423" t="s">
        <v>330</v>
      </c>
      <c r="D872" s="521" t="s">
        <v>835</v>
      </c>
      <c r="E872" s="522">
        <v>201606</v>
      </c>
      <c r="F872" s="523">
        <v>34375.29</v>
      </c>
      <c r="G872" s="521">
        <v>10.5</v>
      </c>
      <c r="H872" s="524">
        <v>1.3083000000000001E-3</v>
      </c>
      <c r="I872" s="523">
        <v>472.22</v>
      </c>
      <c r="J872" s="448">
        <v>539.67999999999995</v>
      </c>
      <c r="N872" s="590"/>
      <c r="O872" s="590"/>
      <c r="R872" s="440"/>
    </row>
    <row r="873" spans="1:18" s="559" customFormat="1">
      <c r="A873" s="521" t="s">
        <v>318</v>
      </c>
      <c r="B873" s="522" t="s">
        <v>608</v>
      </c>
      <c r="C873" s="423" t="s">
        <v>330</v>
      </c>
      <c r="D873" s="521" t="s">
        <v>609</v>
      </c>
      <c r="E873" s="522">
        <v>201606</v>
      </c>
      <c r="F873" s="523">
        <v>0.12</v>
      </c>
      <c r="G873" s="521">
        <v>10.5</v>
      </c>
      <c r="H873" s="524">
        <v>1.3083000000000001E-3</v>
      </c>
      <c r="I873" s="523">
        <v>0</v>
      </c>
      <c r="J873" s="448">
        <v>0</v>
      </c>
      <c r="N873" s="590"/>
      <c r="O873" s="590"/>
      <c r="R873" s="440"/>
    </row>
    <row r="874" spans="1:18" s="559" customFormat="1">
      <c r="A874" s="521" t="s">
        <v>318</v>
      </c>
      <c r="B874" s="522" t="s">
        <v>608</v>
      </c>
      <c r="C874" s="423" t="s">
        <v>330</v>
      </c>
      <c r="D874" s="521" t="s">
        <v>609</v>
      </c>
      <c r="E874" s="522">
        <v>201606</v>
      </c>
      <c r="F874" s="523">
        <v>1.53</v>
      </c>
      <c r="G874" s="521">
        <v>10.5</v>
      </c>
      <c r="H874" s="524">
        <v>1.3083000000000001E-3</v>
      </c>
      <c r="I874" s="523">
        <v>0.02</v>
      </c>
      <c r="J874" s="448">
        <v>0.02</v>
      </c>
      <c r="N874" s="590"/>
      <c r="O874" s="590"/>
      <c r="R874" s="440"/>
    </row>
    <row r="875" spans="1:18" s="559" customFormat="1">
      <c r="A875" s="521" t="s">
        <v>318</v>
      </c>
      <c r="B875" s="522" t="s">
        <v>565</v>
      </c>
      <c r="C875" s="423" t="s">
        <v>330</v>
      </c>
      <c r="D875" s="521" t="s">
        <v>566</v>
      </c>
      <c r="E875" s="522">
        <v>201606</v>
      </c>
      <c r="F875" s="523">
        <v>0.04</v>
      </c>
      <c r="G875" s="521">
        <v>10.5</v>
      </c>
      <c r="H875" s="524">
        <v>1.3083000000000001E-3</v>
      </c>
      <c r="I875" s="523">
        <v>0</v>
      </c>
      <c r="J875" s="448">
        <v>0</v>
      </c>
      <c r="N875" s="590"/>
      <c r="O875" s="590"/>
      <c r="R875" s="440"/>
    </row>
    <row r="876" spans="1:18" s="559" customFormat="1">
      <c r="A876" s="521" t="s">
        <v>318</v>
      </c>
      <c r="B876" s="522" t="s">
        <v>610</v>
      </c>
      <c r="C876" s="423" t="s">
        <v>330</v>
      </c>
      <c r="D876" s="521" t="s">
        <v>611</v>
      </c>
      <c r="E876" s="522">
        <v>201606</v>
      </c>
      <c r="F876" s="523">
        <v>0.28000000000000003</v>
      </c>
      <c r="G876" s="521">
        <v>10.5</v>
      </c>
      <c r="H876" s="524">
        <v>1.3083000000000001E-3</v>
      </c>
      <c r="I876" s="523">
        <v>0</v>
      </c>
      <c r="J876" s="448">
        <v>0</v>
      </c>
      <c r="N876" s="590"/>
      <c r="O876" s="590"/>
      <c r="R876" s="440"/>
    </row>
    <row r="877" spans="1:18" s="559" customFormat="1">
      <c r="A877" s="521" t="s">
        <v>318</v>
      </c>
      <c r="B877" s="522" t="s">
        <v>610</v>
      </c>
      <c r="C877" s="423" t="s">
        <v>330</v>
      </c>
      <c r="D877" s="521" t="s">
        <v>611</v>
      </c>
      <c r="E877" s="522">
        <v>201606</v>
      </c>
      <c r="F877" s="523">
        <v>5.5</v>
      </c>
      <c r="G877" s="521">
        <v>10.5</v>
      </c>
      <c r="H877" s="524">
        <v>1.3083000000000001E-3</v>
      </c>
      <c r="I877" s="523">
        <v>0.08</v>
      </c>
      <c r="J877" s="448">
        <v>0.09</v>
      </c>
      <c r="N877" s="590"/>
      <c r="O877" s="590"/>
      <c r="R877" s="440"/>
    </row>
    <row r="878" spans="1:18" s="559" customFormat="1">
      <c r="A878" s="521" t="s">
        <v>318</v>
      </c>
      <c r="B878" s="522" t="s">
        <v>672</v>
      </c>
      <c r="C878" s="423" t="s">
        <v>330</v>
      </c>
      <c r="D878" s="521" t="s">
        <v>673</v>
      </c>
      <c r="E878" s="522">
        <v>201606</v>
      </c>
      <c r="F878" s="523">
        <v>65.59</v>
      </c>
      <c r="G878" s="521">
        <v>10.5</v>
      </c>
      <c r="H878" s="524">
        <v>1.3083000000000001E-3</v>
      </c>
      <c r="I878" s="523">
        <v>0.9</v>
      </c>
      <c r="J878" s="448">
        <v>1.03</v>
      </c>
      <c r="N878" s="590"/>
      <c r="O878" s="590"/>
      <c r="R878" s="440"/>
    </row>
    <row r="879" spans="1:18" s="559" customFormat="1">
      <c r="A879" s="521" t="s">
        <v>318</v>
      </c>
      <c r="B879" s="522" t="s">
        <v>637</v>
      </c>
      <c r="C879" s="423" t="s">
        <v>329</v>
      </c>
      <c r="D879" s="521" t="s">
        <v>638</v>
      </c>
      <c r="E879" s="522">
        <v>201606</v>
      </c>
      <c r="F879" s="523">
        <v>0.5</v>
      </c>
      <c r="G879" s="521">
        <v>10.5</v>
      </c>
      <c r="H879" s="524">
        <v>1.3083000000000001E-3</v>
      </c>
      <c r="I879" s="523">
        <v>0.01</v>
      </c>
      <c r="J879" s="448">
        <v>0.01</v>
      </c>
      <c r="N879" s="590"/>
      <c r="O879" s="590"/>
      <c r="R879" s="440"/>
    </row>
    <row r="880" spans="1:18" s="559" customFormat="1">
      <c r="A880" s="521" t="s">
        <v>318</v>
      </c>
      <c r="B880" s="522" t="s">
        <v>637</v>
      </c>
      <c r="C880" s="423" t="s">
        <v>329</v>
      </c>
      <c r="D880" s="521" t="s">
        <v>638</v>
      </c>
      <c r="E880" s="522">
        <v>201606</v>
      </c>
      <c r="F880" s="523">
        <v>6.33</v>
      </c>
      <c r="G880" s="521">
        <v>10.5</v>
      </c>
      <c r="H880" s="524">
        <v>1.3083000000000001E-3</v>
      </c>
      <c r="I880" s="523">
        <v>0.09</v>
      </c>
      <c r="J880" s="448">
        <v>0.1</v>
      </c>
      <c r="N880" s="590"/>
      <c r="O880" s="590"/>
      <c r="R880" s="440"/>
    </row>
    <row r="881" spans="1:18" s="559" customFormat="1">
      <c r="A881" s="521" t="s">
        <v>318</v>
      </c>
      <c r="B881" s="522" t="s">
        <v>814</v>
      </c>
      <c r="C881" s="423" t="s">
        <v>330</v>
      </c>
      <c r="D881" s="521" t="s">
        <v>815</v>
      </c>
      <c r="E881" s="522">
        <v>201606</v>
      </c>
      <c r="F881" s="523">
        <v>587.1</v>
      </c>
      <c r="G881" s="521">
        <v>10.5</v>
      </c>
      <c r="H881" s="524">
        <v>1.3083000000000001E-3</v>
      </c>
      <c r="I881" s="523">
        <v>8.07</v>
      </c>
      <c r="J881" s="448">
        <v>9.2200000000000006</v>
      </c>
      <c r="N881" s="590"/>
      <c r="O881" s="590"/>
      <c r="R881" s="440"/>
    </row>
    <row r="882" spans="1:18" s="559" customFormat="1">
      <c r="A882" s="521" t="s">
        <v>318</v>
      </c>
      <c r="B882" s="522" t="s">
        <v>814</v>
      </c>
      <c r="C882" s="423" t="s">
        <v>330</v>
      </c>
      <c r="D882" s="521" t="s">
        <v>815</v>
      </c>
      <c r="E882" s="522">
        <v>201606</v>
      </c>
      <c r="F882" s="523">
        <v>13682.65</v>
      </c>
      <c r="G882" s="521">
        <v>10.5</v>
      </c>
      <c r="H882" s="524">
        <v>1.3083000000000001E-3</v>
      </c>
      <c r="I882" s="523">
        <v>187.96</v>
      </c>
      <c r="J882" s="448">
        <v>214.81</v>
      </c>
      <c r="N882" s="590"/>
      <c r="O882" s="590"/>
      <c r="R882" s="440"/>
    </row>
    <row r="883" spans="1:18" s="559" customFormat="1">
      <c r="A883" s="521" t="s">
        <v>318</v>
      </c>
      <c r="B883" s="522" t="s">
        <v>674</v>
      </c>
      <c r="C883" s="423" t="s">
        <v>330</v>
      </c>
      <c r="D883" s="521" t="s">
        <v>675</v>
      </c>
      <c r="E883" s="522">
        <v>201606</v>
      </c>
      <c r="F883" s="523">
        <v>37.619999999999997</v>
      </c>
      <c r="G883" s="521">
        <v>10.5</v>
      </c>
      <c r="H883" s="524">
        <v>1.3083000000000001E-3</v>
      </c>
      <c r="I883" s="523">
        <v>0.52</v>
      </c>
      <c r="J883" s="448">
        <v>0.59</v>
      </c>
      <c r="N883" s="590"/>
      <c r="O883" s="590"/>
      <c r="R883" s="440"/>
    </row>
    <row r="884" spans="1:18" s="559" customFormat="1">
      <c r="A884" s="521" t="s">
        <v>318</v>
      </c>
      <c r="B884" s="522" t="s">
        <v>674</v>
      </c>
      <c r="C884" s="423" t="s">
        <v>330</v>
      </c>
      <c r="D884" s="521" t="s">
        <v>675</v>
      </c>
      <c r="E884" s="522">
        <v>201606</v>
      </c>
      <c r="F884" s="523">
        <v>709.67</v>
      </c>
      <c r="G884" s="521">
        <v>10.5</v>
      </c>
      <c r="H884" s="524">
        <v>1.3083000000000001E-3</v>
      </c>
      <c r="I884" s="523">
        <v>9.75</v>
      </c>
      <c r="J884" s="448">
        <v>11.14</v>
      </c>
      <c r="N884" s="590"/>
      <c r="O884" s="590"/>
      <c r="R884" s="440"/>
    </row>
    <row r="885" spans="1:18" s="559" customFormat="1">
      <c r="A885" s="521" t="s">
        <v>318</v>
      </c>
      <c r="B885" s="522" t="s">
        <v>790</v>
      </c>
      <c r="C885" s="423" t="s">
        <v>330</v>
      </c>
      <c r="D885" s="521" t="s">
        <v>791</v>
      </c>
      <c r="E885" s="522">
        <v>201606</v>
      </c>
      <c r="F885" s="523">
        <v>385.98</v>
      </c>
      <c r="G885" s="521">
        <v>10.5</v>
      </c>
      <c r="H885" s="524">
        <v>1.3083000000000001E-3</v>
      </c>
      <c r="I885" s="523">
        <v>5.3</v>
      </c>
      <c r="J885" s="448">
        <v>6.06</v>
      </c>
      <c r="N885" s="590"/>
      <c r="O885" s="590"/>
      <c r="R885" s="440"/>
    </row>
    <row r="886" spans="1:18" s="559" customFormat="1">
      <c r="A886" s="521" t="s">
        <v>318</v>
      </c>
      <c r="B886" s="522" t="s">
        <v>790</v>
      </c>
      <c r="C886" s="423" t="s">
        <v>330</v>
      </c>
      <c r="D886" s="521" t="s">
        <v>791</v>
      </c>
      <c r="E886" s="522">
        <v>201606</v>
      </c>
      <c r="F886" s="523">
        <v>9089.9500000000007</v>
      </c>
      <c r="G886" s="521">
        <v>10.5</v>
      </c>
      <c r="H886" s="524">
        <v>1.3083000000000001E-3</v>
      </c>
      <c r="I886" s="523">
        <v>124.87</v>
      </c>
      <c r="J886" s="448">
        <v>142.71</v>
      </c>
      <c r="N886" s="590"/>
      <c r="O886" s="590"/>
      <c r="R886" s="440"/>
    </row>
    <row r="887" spans="1:18" s="559" customFormat="1">
      <c r="A887" s="521" t="s">
        <v>318</v>
      </c>
      <c r="B887" s="522" t="s">
        <v>840</v>
      </c>
      <c r="C887" s="423" t="s">
        <v>330</v>
      </c>
      <c r="D887" s="521" t="s">
        <v>841</v>
      </c>
      <c r="E887" s="522">
        <v>201606</v>
      </c>
      <c r="F887" s="523">
        <v>2169.9299999999998</v>
      </c>
      <c r="G887" s="521">
        <v>10.5</v>
      </c>
      <c r="H887" s="524">
        <v>1.3083000000000001E-3</v>
      </c>
      <c r="I887" s="523">
        <v>29.81</v>
      </c>
      <c r="J887" s="448">
        <v>34.07</v>
      </c>
      <c r="N887" s="590"/>
      <c r="O887" s="590"/>
      <c r="R887" s="440"/>
    </row>
    <row r="888" spans="1:18" s="559" customFormat="1">
      <c r="A888" s="521" t="s">
        <v>318</v>
      </c>
      <c r="B888" s="522" t="s">
        <v>840</v>
      </c>
      <c r="C888" s="423" t="s">
        <v>330</v>
      </c>
      <c r="D888" s="521" t="s">
        <v>841</v>
      </c>
      <c r="E888" s="522">
        <v>201606</v>
      </c>
      <c r="F888" s="523">
        <v>23039.27</v>
      </c>
      <c r="G888" s="521">
        <v>10.5</v>
      </c>
      <c r="H888" s="524">
        <v>1.3083000000000001E-3</v>
      </c>
      <c r="I888" s="523">
        <v>316.49</v>
      </c>
      <c r="J888" s="448">
        <v>361.71</v>
      </c>
      <c r="N888" s="590"/>
      <c r="O888" s="590"/>
      <c r="R888" s="440"/>
    </row>
    <row r="889" spans="1:18" s="559" customFormat="1">
      <c r="A889" s="521" t="s">
        <v>318</v>
      </c>
      <c r="B889" s="522" t="s">
        <v>842</v>
      </c>
      <c r="C889" s="423" t="s">
        <v>330</v>
      </c>
      <c r="D889" s="521" t="s">
        <v>843</v>
      </c>
      <c r="E889" s="522">
        <v>201606</v>
      </c>
      <c r="F889" s="523">
        <v>2703.22</v>
      </c>
      <c r="G889" s="521">
        <v>10.5</v>
      </c>
      <c r="H889" s="524">
        <v>1.3083000000000001E-3</v>
      </c>
      <c r="I889" s="523">
        <v>37.130000000000003</v>
      </c>
      <c r="J889" s="448">
        <v>42.44</v>
      </c>
      <c r="N889" s="590"/>
      <c r="O889" s="590"/>
      <c r="R889" s="440"/>
    </row>
    <row r="890" spans="1:18" s="559" customFormat="1">
      <c r="A890" s="521" t="s">
        <v>318</v>
      </c>
      <c r="B890" s="522" t="s">
        <v>842</v>
      </c>
      <c r="C890" s="423" t="s">
        <v>330</v>
      </c>
      <c r="D890" s="521" t="s">
        <v>843</v>
      </c>
      <c r="E890" s="522">
        <v>201606</v>
      </c>
      <c r="F890" s="523">
        <v>39078.53</v>
      </c>
      <c r="G890" s="521">
        <v>10.5</v>
      </c>
      <c r="H890" s="524">
        <v>1.3083000000000001E-3</v>
      </c>
      <c r="I890" s="523">
        <v>536.83000000000004</v>
      </c>
      <c r="J890" s="448">
        <v>613.52</v>
      </c>
      <c r="N890" s="590"/>
      <c r="O890" s="590"/>
      <c r="R890" s="440"/>
    </row>
    <row r="891" spans="1:18" s="559" customFormat="1">
      <c r="A891" s="521" t="s">
        <v>318</v>
      </c>
      <c r="B891" s="522" t="s">
        <v>860</v>
      </c>
      <c r="C891" s="423" t="s">
        <v>330</v>
      </c>
      <c r="D891" s="521" t="s">
        <v>861</v>
      </c>
      <c r="E891" s="522">
        <v>201606</v>
      </c>
      <c r="F891" s="523">
        <v>20424.96</v>
      </c>
      <c r="G891" s="521">
        <v>10.5</v>
      </c>
      <c r="H891" s="524">
        <v>1.3083000000000001E-3</v>
      </c>
      <c r="I891" s="523">
        <v>280.58</v>
      </c>
      <c r="J891" s="448">
        <v>320.66000000000003</v>
      </c>
      <c r="N891" s="590"/>
      <c r="O891" s="590"/>
      <c r="R891" s="440"/>
    </row>
    <row r="892" spans="1:18" s="559" customFormat="1">
      <c r="A892" s="521" t="s">
        <v>318</v>
      </c>
      <c r="B892" s="522" t="s">
        <v>860</v>
      </c>
      <c r="C892" s="423" t="s">
        <v>330</v>
      </c>
      <c r="D892" s="521" t="s">
        <v>861</v>
      </c>
      <c r="E892" s="522">
        <v>201606</v>
      </c>
      <c r="F892" s="523">
        <v>326579.98</v>
      </c>
      <c r="G892" s="521">
        <v>10.5</v>
      </c>
      <c r="H892" s="524">
        <v>1.3083000000000001E-3</v>
      </c>
      <c r="I892" s="523">
        <v>4486.28</v>
      </c>
      <c r="J892" s="448">
        <v>5127.18</v>
      </c>
      <c r="N892" s="590"/>
      <c r="O892" s="590"/>
      <c r="R892" s="440"/>
    </row>
    <row r="893" spans="1:18" s="559" customFormat="1">
      <c r="A893" s="521" t="s">
        <v>318</v>
      </c>
      <c r="B893" s="522" t="s">
        <v>639</v>
      </c>
      <c r="C893" s="423" t="s">
        <v>329</v>
      </c>
      <c r="D893" s="521" t="s">
        <v>640</v>
      </c>
      <c r="E893" s="522">
        <v>201606</v>
      </c>
      <c r="F893" s="523">
        <v>1.58</v>
      </c>
      <c r="G893" s="521">
        <v>10.5</v>
      </c>
      <c r="H893" s="524">
        <v>1.3083000000000001E-3</v>
      </c>
      <c r="I893" s="523">
        <v>0.02</v>
      </c>
      <c r="J893" s="448">
        <v>0.02</v>
      </c>
      <c r="N893" s="590"/>
      <c r="O893" s="590"/>
      <c r="R893" s="440"/>
    </row>
    <row r="894" spans="1:18" s="559" customFormat="1">
      <c r="A894" s="521" t="s">
        <v>318</v>
      </c>
      <c r="B894" s="522" t="s">
        <v>639</v>
      </c>
      <c r="C894" s="423" t="s">
        <v>329</v>
      </c>
      <c r="D894" s="521" t="s">
        <v>640</v>
      </c>
      <c r="E894" s="522">
        <v>201606</v>
      </c>
      <c r="F894" s="523">
        <v>6.6</v>
      </c>
      <c r="G894" s="521">
        <v>10.5</v>
      </c>
      <c r="H894" s="524">
        <v>1.3083000000000001E-3</v>
      </c>
      <c r="I894" s="523">
        <v>0.09</v>
      </c>
      <c r="J894" s="448">
        <v>0.1</v>
      </c>
      <c r="N894" s="590"/>
      <c r="O894" s="590"/>
      <c r="R894" s="440"/>
    </row>
    <row r="895" spans="1:18" s="559" customFormat="1">
      <c r="A895" s="521" t="s">
        <v>318</v>
      </c>
      <c r="B895" s="522" t="s">
        <v>676</v>
      </c>
      <c r="C895" s="423" t="s">
        <v>329</v>
      </c>
      <c r="D895" s="521" t="s">
        <v>677</v>
      </c>
      <c r="E895" s="522">
        <v>201606</v>
      </c>
      <c r="F895" s="523">
        <v>-349.17</v>
      </c>
      <c r="G895" s="521">
        <v>10.5</v>
      </c>
      <c r="H895" s="524">
        <v>1.3083000000000001E-3</v>
      </c>
      <c r="I895" s="523">
        <v>-4.8</v>
      </c>
      <c r="J895" s="448">
        <v>-5.48</v>
      </c>
      <c r="N895" s="590"/>
      <c r="O895" s="590"/>
      <c r="R895" s="440"/>
    </row>
    <row r="896" spans="1:18" s="559" customFormat="1">
      <c r="A896" s="521" t="s">
        <v>318</v>
      </c>
      <c r="B896" s="522" t="s">
        <v>676</v>
      </c>
      <c r="C896" s="423" t="s">
        <v>329</v>
      </c>
      <c r="D896" s="521" t="s">
        <v>677</v>
      </c>
      <c r="E896" s="522">
        <v>201606</v>
      </c>
      <c r="F896" s="523">
        <v>-57.35</v>
      </c>
      <c r="G896" s="521">
        <v>10.5</v>
      </c>
      <c r="H896" s="524">
        <v>1.3083000000000001E-3</v>
      </c>
      <c r="I896" s="523">
        <v>-0.79</v>
      </c>
      <c r="J896" s="448">
        <v>-0.9</v>
      </c>
      <c r="N896" s="590"/>
      <c r="O896" s="590"/>
      <c r="R896" s="440"/>
    </row>
    <row r="897" spans="1:18" s="559" customFormat="1">
      <c r="A897" s="521" t="s">
        <v>318</v>
      </c>
      <c r="B897" s="522" t="s">
        <v>844</v>
      </c>
      <c r="C897" s="423" t="s">
        <v>329</v>
      </c>
      <c r="D897" s="521" t="s">
        <v>845</v>
      </c>
      <c r="E897" s="522">
        <v>201606</v>
      </c>
      <c r="F897" s="523">
        <v>1722.46</v>
      </c>
      <c r="G897" s="521">
        <v>10.5</v>
      </c>
      <c r="H897" s="524">
        <v>1.3083000000000001E-3</v>
      </c>
      <c r="I897" s="523">
        <v>23.66</v>
      </c>
      <c r="J897" s="448">
        <v>27.04</v>
      </c>
      <c r="N897" s="590"/>
      <c r="O897" s="590"/>
      <c r="R897" s="440"/>
    </row>
    <row r="898" spans="1:18" s="559" customFormat="1">
      <c r="A898" s="521" t="s">
        <v>318</v>
      </c>
      <c r="B898" s="522" t="s">
        <v>844</v>
      </c>
      <c r="C898" s="423" t="s">
        <v>329</v>
      </c>
      <c r="D898" s="521" t="s">
        <v>845</v>
      </c>
      <c r="E898" s="522">
        <v>201606</v>
      </c>
      <c r="F898" s="523">
        <v>33139</v>
      </c>
      <c r="G898" s="521">
        <v>10.5</v>
      </c>
      <c r="H898" s="524">
        <v>1.3083000000000001E-3</v>
      </c>
      <c r="I898" s="523">
        <v>455.24</v>
      </c>
      <c r="J898" s="448">
        <v>520.27</v>
      </c>
      <c r="N898" s="590"/>
      <c r="O898" s="590"/>
      <c r="R898" s="440"/>
    </row>
    <row r="899" spans="1:18" s="559" customFormat="1">
      <c r="A899" s="521" t="s">
        <v>318</v>
      </c>
      <c r="B899" s="522" t="s">
        <v>678</v>
      </c>
      <c r="C899" s="423" t="s">
        <v>330</v>
      </c>
      <c r="D899" s="521" t="s">
        <v>679</v>
      </c>
      <c r="E899" s="522">
        <v>201606</v>
      </c>
      <c r="F899" s="523">
        <v>160.31</v>
      </c>
      <c r="G899" s="521">
        <v>10.5</v>
      </c>
      <c r="H899" s="524">
        <v>1.3083000000000001E-3</v>
      </c>
      <c r="I899" s="523">
        <v>2.2000000000000002</v>
      </c>
      <c r="J899" s="448">
        <v>2.52</v>
      </c>
      <c r="N899" s="590"/>
      <c r="O899" s="590"/>
      <c r="R899" s="440"/>
    </row>
    <row r="900" spans="1:18" s="559" customFormat="1">
      <c r="A900" s="521" t="s">
        <v>318</v>
      </c>
      <c r="B900" s="522" t="s">
        <v>678</v>
      </c>
      <c r="C900" s="423" t="s">
        <v>330</v>
      </c>
      <c r="D900" s="521" t="s">
        <v>679</v>
      </c>
      <c r="E900" s="522">
        <v>201606</v>
      </c>
      <c r="F900" s="523">
        <v>2655.27</v>
      </c>
      <c r="G900" s="521">
        <v>10.5</v>
      </c>
      <c r="H900" s="524">
        <v>1.3083000000000001E-3</v>
      </c>
      <c r="I900" s="523">
        <v>36.479999999999997</v>
      </c>
      <c r="J900" s="448">
        <v>41.69</v>
      </c>
      <c r="N900" s="590"/>
      <c r="O900" s="590"/>
      <c r="R900" s="440"/>
    </row>
    <row r="901" spans="1:18" s="559" customFormat="1">
      <c r="A901" s="521" t="s">
        <v>318</v>
      </c>
      <c r="B901" s="522" t="s">
        <v>862</v>
      </c>
      <c r="C901" s="423" t="s">
        <v>330</v>
      </c>
      <c r="D901" s="521" t="s">
        <v>863</v>
      </c>
      <c r="E901" s="522">
        <v>201606</v>
      </c>
      <c r="F901" s="523">
        <v>18547.34</v>
      </c>
      <c r="G901" s="521">
        <v>10.5</v>
      </c>
      <c r="H901" s="524">
        <v>1.3083000000000001E-3</v>
      </c>
      <c r="I901" s="523">
        <v>254.79</v>
      </c>
      <c r="J901" s="448">
        <v>291.19</v>
      </c>
      <c r="N901" s="590"/>
      <c r="O901" s="590"/>
      <c r="R901" s="440"/>
    </row>
    <row r="902" spans="1:18" s="559" customFormat="1">
      <c r="A902" s="521" t="s">
        <v>318</v>
      </c>
      <c r="B902" s="522" t="s">
        <v>862</v>
      </c>
      <c r="C902" s="423" t="s">
        <v>330</v>
      </c>
      <c r="D902" s="521" t="s">
        <v>863</v>
      </c>
      <c r="E902" s="522">
        <v>201606</v>
      </c>
      <c r="F902" s="523">
        <v>291819.18</v>
      </c>
      <c r="G902" s="521">
        <v>10.5</v>
      </c>
      <c r="H902" s="524">
        <v>1.3083000000000001E-3</v>
      </c>
      <c r="I902" s="523">
        <v>4008.76</v>
      </c>
      <c r="J902" s="448">
        <v>4581.4399999999996</v>
      </c>
      <c r="N902" s="590"/>
      <c r="O902" s="590"/>
      <c r="R902" s="440"/>
    </row>
    <row r="903" spans="1:18" s="559" customFormat="1">
      <c r="A903" s="521" t="s">
        <v>318</v>
      </c>
      <c r="B903" s="522" t="s">
        <v>680</v>
      </c>
      <c r="C903" s="423" t="s">
        <v>330</v>
      </c>
      <c r="D903" s="521" t="s">
        <v>681</v>
      </c>
      <c r="E903" s="522">
        <v>201606</v>
      </c>
      <c r="F903" s="523">
        <v>-56.23</v>
      </c>
      <c r="G903" s="521">
        <v>10.5</v>
      </c>
      <c r="H903" s="524">
        <v>1.3083000000000001E-3</v>
      </c>
      <c r="I903" s="523">
        <v>-0.77</v>
      </c>
      <c r="J903" s="448">
        <v>-0.88</v>
      </c>
      <c r="N903" s="590"/>
      <c r="O903" s="590"/>
      <c r="R903" s="440"/>
    </row>
    <row r="904" spans="1:18" s="559" customFormat="1">
      <c r="A904" s="521" t="s">
        <v>318</v>
      </c>
      <c r="B904" s="522" t="s">
        <v>680</v>
      </c>
      <c r="C904" s="423" t="s">
        <v>330</v>
      </c>
      <c r="D904" s="521" t="s">
        <v>681</v>
      </c>
      <c r="E904" s="522">
        <v>201606</v>
      </c>
      <c r="F904" s="523">
        <v>-1.39</v>
      </c>
      <c r="G904" s="521">
        <v>10.5</v>
      </c>
      <c r="H904" s="524">
        <v>1.3083000000000001E-3</v>
      </c>
      <c r="I904" s="523">
        <v>-0.02</v>
      </c>
      <c r="J904" s="448">
        <v>-0.02</v>
      </c>
      <c r="N904" s="590"/>
      <c r="O904" s="590"/>
      <c r="R904" s="440"/>
    </row>
    <row r="905" spans="1:18" s="559" customFormat="1">
      <c r="A905" s="521" t="s">
        <v>318</v>
      </c>
      <c r="B905" s="522" t="s">
        <v>682</v>
      </c>
      <c r="C905" s="423" t="s">
        <v>330</v>
      </c>
      <c r="D905" s="521" t="s">
        <v>683</v>
      </c>
      <c r="E905" s="522">
        <v>201606</v>
      </c>
      <c r="F905" s="523">
        <v>1402.96</v>
      </c>
      <c r="G905" s="521">
        <v>10.5</v>
      </c>
      <c r="H905" s="524">
        <v>1.3083000000000001E-3</v>
      </c>
      <c r="I905" s="523">
        <v>19.27</v>
      </c>
      <c r="J905" s="448">
        <v>22.03</v>
      </c>
      <c r="N905" s="590"/>
      <c r="O905" s="590"/>
      <c r="R905" s="440"/>
    </row>
    <row r="906" spans="1:18" s="559" customFormat="1">
      <c r="A906" s="521" t="s">
        <v>318</v>
      </c>
      <c r="B906" s="522" t="s">
        <v>682</v>
      </c>
      <c r="C906" s="423" t="s">
        <v>330</v>
      </c>
      <c r="D906" s="521" t="s">
        <v>683</v>
      </c>
      <c r="E906" s="522">
        <v>201606</v>
      </c>
      <c r="F906" s="523">
        <v>33631.78</v>
      </c>
      <c r="G906" s="521">
        <v>10.5</v>
      </c>
      <c r="H906" s="524">
        <v>1.3083000000000001E-3</v>
      </c>
      <c r="I906" s="523">
        <v>462</v>
      </c>
      <c r="J906" s="448">
        <v>528.01</v>
      </c>
      <c r="N906" s="590"/>
      <c r="O906" s="590"/>
      <c r="R906" s="440"/>
    </row>
    <row r="907" spans="1:18" s="559" customFormat="1">
      <c r="A907" s="521" t="s">
        <v>318</v>
      </c>
      <c r="B907" s="522" t="s">
        <v>641</v>
      </c>
      <c r="C907" s="423" t="s">
        <v>330</v>
      </c>
      <c r="D907" s="521" t="s">
        <v>642</v>
      </c>
      <c r="E907" s="522">
        <v>201606</v>
      </c>
      <c r="F907" s="523">
        <v>7.0000000000000007E-2</v>
      </c>
      <c r="G907" s="521">
        <v>10.5</v>
      </c>
      <c r="H907" s="524">
        <v>1.3083000000000001E-3</v>
      </c>
      <c r="I907" s="523">
        <v>0</v>
      </c>
      <c r="J907" s="448">
        <v>0</v>
      </c>
      <c r="N907" s="590"/>
      <c r="O907" s="590"/>
      <c r="R907" s="440"/>
    </row>
    <row r="908" spans="1:18" s="559" customFormat="1">
      <c r="A908" s="521" t="s">
        <v>318</v>
      </c>
      <c r="B908" s="522" t="s">
        <v>641</v>
      </c>
      <c r="C908" s="423" t="s">
        <v>330</v>
      </c>
      <c r="D908" s="521" t="s">
        <v>642</v>
      </c>
      <c r="E908" s="522">
        <v>201606</v>
      </c>
      <c r="F908" s="523">
        <v>0.79</v>
      </c>
      <c r="G908" s="521">
        <v>10.5</v>
      </c>
      <c r="H908" s="524">
        <v>1.3083000000000001E-3</v>
      </c>
      <c r="I908" s="523">
        <v>0.01</v>
      </c>
      <c r="J908" s="448">
        <v>0.01</v>
      </c>
      <c r="N908" s="590"/>
      <c r="O908" s="590"/>
      <c r="R908" s="440"/>
    </row>
    <row r="909" spans="1:18" s="559" customFormat="1">
      <c r="A909" s="521" t="s">
        <v>318</v>
      </c>
      <c r="B909" s="522" t="s">
        <v>816</v>
      </c>
      <c r="C909" s="423" t="s">
        <v>329</v>
      </c>
      <c r="D909" s="521" t="s">
        <v>817</v>
      </c>
      <c r="E909" s="522">
        <v>201606</v>
      </c>
      <c r="F909" s="523">
        <v>-10723.69</v>
      </c>
      <c r="G909" s="521">
        <v>10.5</v>
      </c>
      <c r="H909" s="524">
        <v>1.3083000000000001E-3</v>
      </c>
      <c r="I909" s="523">
        <v>-147.31</v>
      </c>
      <c r="J909" s="448">
        <v>-168.36</v>
      </c>
      <c r="N909" s="590"/>
      <c r="O909" s="590"/>
      <c r="R909" s="440"/>
    </row>
    <row r="910" spans="1:18" s="559" customFormat="1">
      <c r="A910" s="521" t="s">
        <v>318</v>
      </c>
      <c r="B910" s="522" t="s">
        <v>816</v>
      </c>
      <c r="C910" s="423" t="s">
        <v>329</v>
      </c>
      <c r="D910" s="521" t="s">
        <v>817</v>
      </c>
      <c r="E910" s="522">
        <v>201606</v>
      </c>
      <c r="F910" s="523">
        <v>33485.33</v>
      </c>
      <c r="G910" s="521">
        <v>10.5</v>
      </c>
      <c r="H910" s="524">
        <v>1.3083000000000001E-3</v>
      </c>
      <c r="I910" s="523">
        <v>459.99</v>
      </c>
      <c r="J910" s="448">
        <v>525.71</v>
      </c>
      <c r="N910" s="590"/>
      <c r="O910" s="590"/>
      <c r="R910" s="440"/>
    </row>
    <row r="911" spans="1:18" s="559" customFormat="1">
      <c r="A911" s="521" t="s">
        <v>318</v>
      </c>
      <c r="B911" s="522" t="s">
        <v>846</v>
      </c>
      <c r="C911" s="423" t="s">
        <v>330</v>
      </c>
      <c r="D911" s="521" t="s">
        <v>847</v>
      </c>
      <c r="E911" s="522">
        <v>201606</v>
      </c>
      <c r="F911" s="523">
        <v>529.35</v>
      </c>
      <c r="G911" s="521">
        <v>10.5</v>
      </c>
      <c r="H911" s="524">
        <v>1.3083000000000001E-3</v>
      </c>
      <c r="I911" s="523">
        <v>7.27</v>
      </c>
      <c r="J911" s="448">
        <v>8.31</v>
      </c>
      <c r="N911" s="590"/>
      <c r="O911" s="590"/>
      <c r="R911" s="440"/>
    </row>
    <row r="912" spans="1:18" s="559" customFormat="1">
      <c r="A912" s="521" t="s">
        <v>318</v>
      </c>
      <c r="B912" s="522" t="s">
        <v>846</v>
      </c>
      <c r="C912" s="423" t="s">
        <v>330</v>
      </c>
      <c r="D912" s="521" t="s">
        <v>847</v>
      </c>
      <c r="E912" s="522">
        <v>201606</v>
      </c>
      <c r="F912" s="523">
        <v>13970.3</v>
      </c>
      <c r="G912" s="521">
        <v>10.5</v>
      </c>
      <c r="H912" s="524">
        <v>1.3083000000000001E-3</v>
      </c>
      <c r="I912" s="523">
        <v>191.91</v>
      </c>
      <c r="J912" s="448">
        <v>219.33</v>
      </c>
      <c r="N912" s="590"/>
      <c r="O912" s="590"/>
      <c r="R912" s="440"/>
    </row>
    <row r="913" spans="1:18" s="559" customFormat="1">
      <c r="A913" s="521" t="s">
        <v>318</v>
      </c>
      <c r="B913" s="522" t="s">
        <v>864</v>
      </c>
      <c r="C913" s="423" t="s">
        <v>329</v>
      </c>
      <c r="D913" s="521" t="s">
        <v>865</v>
      </c>
      <c r="E913" s="522">
        <v>201606</v>
      </c>
      <c r="F913" s="523">
        <v>6568.67</v>
      </c>
      <c r="G913" s="521">
        <v>10.5</v>
      </c>
      <c r="H913" s="524">
        <v>1.3083000000000001E-3</v>
      </c>
      <c r="I913" s="523">
        <v>90.23</v>
      </c>
      <c r="J913" s="448">
        <v>103.13</v>
      </c>
      <c r="N913" s="590"/>
      <c r="O913" s="590"/>
      <c r="R913" s="440"/>
    </row>
    <row r="914" spans="1:18" s="559" customFormat="1">
      <c r="A914" s="521" t="s">
        <v>318</v>
      </c>
      <c r="B914" s="522" t="s">
        <v>864</v>
      </c>
      <c r="C914" s="423" t="s">
        <v>329</v>
      </c>
      <c r="D914" s="521" t="s">
        <v>865</v>
      </c>
      <c r="E914" s="522">
        <v>201606</v>
      </c>
      <c r="F914" s="523">
        <v>102066.04</v>
      </c>
      <c r="G914" s="521">
        <v>10.5</v>
      </c>
      <c r="H914" s="524">
        <v>1.3083000000000001E-3</v>
      </c>
      <c r="I914" s="523">
        <v>1402.1</v>
      </c>
      <c r="J914" s="448">
        <v>1602.4</v>
      </c>
      <c r="N914" s="590"/>
      <c r="O914" s="590"/>
      <c r="R914" s="440"/>
    </row>
    <row r="915" spans="1:18" s="559" customFormat="1">
      <c r="A915" s="521" t="s">
        <v>318</v>
      </c>
      <c r="B915" s="522" t="s">
        <v>848</v>
      </c>
      <c r="C915" s="423" t="s">
        <v>329</v>
      </c>
      <c r="D915" s="521" t="s">
        <v>849</v>
      </c>
      <c r="E915" s="522">
        <v>201606</v>
      </c>
      <c r="F915" s="523">
        <v>1991.07</v>
      </c>
      <c r="G915" s="521">
        <v>10.5</v>
      </c>
      <c r="H915" s="524">
        <v>1.3083000000000001E-3</v>
      </c>
      <c r="I915" s="523">
        <v>27.35</v>
      </c>
      <c r="J915" s="448">
        <v>31.26</v>
      </c>
      <c r="N915" s="590"/>
      <c r="O915" s="590"/>
      <c r="R915" s="440"/>
    </row>
    <row r="916" spans="1:18" s="559" customFormat="1">
      <c r="A916" s="521" t="s">
        <v>318</v>
      </c>
      <c r="B916" s="522" t="s">
        <v>848</v>
      </c>
      <c r="C916" s="423" t="s">
        <v>329</v>
      </c>
      <c r="D916" s="521" t="s">
        <v>849</v>
      </c>
      <c r="E916" s="522">
        <v>201606</v>
      </c>
      <c r="F916" s="523">
        <v>41657.660000000003</v>
      </c>
      <c r="G916" s="521">
        <v>10.5</v>
      </c>
      <c r="H916" s="524">
        <v>1.3083000000000001E-3</v>
      </c>
      <c r="I916" s="523">
        <v>572.26</v>
      </c>
      <c r="J916" s="448">
        <v>654.01</v>
      </c>
      <c r="N916" s="590"/>
      <c r="O916" s="590"/>
      <c r="R916" s="440"/>
    </row>
    <row r="917" spans="1:18" s="559" customFormat="1">
      <c r="A917" s="521" t="s">
        <v>318</v>
      </c>
      <c r="B917" s="522" t="s">
        <v>684</v>
      </c>
      <c r="C917" s="423" t="s">
        <v>330</v>
      </c>
      <c r="D917" s="521" t="s">
        <v>685</v>
      </c>
      <c r="E917" s="522">
        <v>201606</v>
      </c>
      <c r="F917" s="523">
        <v>-4.88</v>
      </c>
      <c r="G917" s="521">
        <v>10.5</v>
      </c>
      <c r="H917" s="524">
        <v>1.3083000000000001E-3</v>
      </c>
      <c r="I917" s="523">
        <v>-7.0000000000000007E-2</v>
      </c>
      <c r="J917" s="448">
        <v>-0.08</v>
      </c>
      <c r="N917" s="590"/>
      <c r="O917" s="590"/>
      <c r="R917" s="440"/>
    </row>
    <row r="918" spans="1:18" s="559" customFormat="1">
      <c r="A918" s="521" t="s">
        <v>318</v>
      </c>
      <c r="B918" s="522" t="s">
        <v>684</v>
      </c>
      <c r="C918" s="423" t="s">
        <v>330</v>
      </c>
      <c r="D918" s="521" t="s">
        <v>685</v>
      </c>
      <c r="E918" s="522">
        <v>201606</v>
      </c>
      <c r="F918" s="523">
        <v>-0.1</v>
      </c>
      <c r="G918" s="521">
        <v>10.5</v>
      </c>
      <c r="H918" s="524">
        <v>1.3083000000000001E-3</v>
      </c>
      <c r="I918" s="523">
        <v>0</v>
      </c>
      <c r="J918" s="448">
        <v>0</v>
      </c>
      <c r="N918" s="590"/>
      <c r="O918" s="590"/>
      <c r="R918" s="440"/>
    </row>
    <row r="919" spans="1:18" s="559" customFormat="1">
      <c r="A919" s="521" t="s">
        <v>318</v>
      </c>
      <c r="B919" s="522" t="s">
        <v>866</v>
      </c>
      <c r="C919" s="423" t="s">
        <v>329</v>
      </c>
      <c r="D919" s="521" t="s">
        <v>867</v>
      </c>
      <c r="E919" s="522">
        <v>201606</v>
      </c>
      <c r="F919" s="523">
        <v>3871.67</v>
      </c>
      <c r="G919" s="521">
        <v>10.5</v>
      </c>
      <c r="H919" s="524">
        <v>1.3083000000000001E-3</v>
      </c>
      <c r="I919" s="523">
        <v>53.19</v>
      </c>
      <c r="J919" s="448">
        <v>60.78</v>
      </c>
      <c r="N919" s="590"/>
      <c r="O919" s="590"/>
      <c r="R919" s="440"/>
    </row>
    <row r="920" spans="1:18" s="559" customFormat="1">
      <c r="A920" s="521" t="s">
        <v>318</v>
      </c>
      <c r="B920" s="522" t="s">
        <v>866</v>
      </c>
      <c r="C920" s="423" t="s">
        <v>329</v>
      </c>
      <c r="D920" s="521" t="s">
        <v>867</v>
      </c>
      <c r="E920" s="522">
        <v>201606</v>
      </c>
      <c r="F920" s="523">
        <v>41268.559999999998</v>
      </c>
      <c r="G920" s="521">
        <v>10.5</v>
      </c>
      <c r="H920" s="524">
        <v>1.3083000000000001E-3</v>
      </c>
      <c r="I920" s="523">
        <v>566.91</v>
      </c>
      <c r="J920" s="448">
        <v>647.9</v>
      </c>
      <c r="N920" s="590"/>
      <c r="O920" s="590"/>
      <c r="R920" s="440"/>
    </row>
    <row r="921" spans="1:18" s="559" customFormat="1">
      <c r="A921" s="521" t="s">
        <v>318</v>
      </c>
      <c r="B921" s="522" t="s">
        <v>792</v>
      </c>
      <c r="C921" s="423" t="s">
        <v>329</v>
      </c>
      <c r="D921" s="521" t="s">
        <v>793</v>
      </c>
      <c r="E921" s="522">
        <v>201606</v>
      </c>
      <c r="F921" s="523">
        <v>6389.28</v>
      </c>
      <c r="G921" s="521">
        <v>10.5</v>
      </c>
      <c r="H921" s="524">
        <v>1.3083000000000001E-3</v>
      </c>
      <c r="I921" s="523">
        <v>87.77</v>
      </c>
      <c r="J921" s="448">
        <v>100.31</v>
      </c>
      <c r="N921" s="590"/>
      <c r="O921" s="590"/>
      <c r="R921" s="440"/>
    </row>
    <row r="922" spans="1:18" s="559" customFormat="1">
      <c r="A922" s="521" t="s">
        <v>318</v>
      </c>
      <c r="B922" s="522" t="s">
        <v>792</v>
      </c>
      <c r="C922" s="423" t="s">
        <v>329</v>
      </c>
      <c r="D922" s="521" t="s">
        <v>793</v>
      </c>
      <c r="E922" s="522">
        <v>201606</v>
      </c>
      <c r="F922" s="523">
        <v>29602.53</v>
      </c>
      <c r="G922" s="521">
        <v>10.5</v>
      </c>
      <c r="H922" s="524">
        <v>1.3083000000000001E-3</v>
      </c>
      <c r="I922" s="523">
        <v>406.65</v>
      </c>
      <c r="J922" s="448">
        <v>464.75</v>
      </c>
      <c r="N922" s="590"/>
      <c r="O922" s="590"/>
      <c r="R922" s="440"/>
    </row>
    <row r="923" spans="1:18" s="559" customFormat="1">
      <c r="A923" s="521" t="s">
        <v>318</v>
      </c>
      <c r="B923" s="522" t="s">
        <v>686</v>
      </c>
      <c r="C923" s="423" t="s">
        <v>329</v>
      </c>
      <c r="D923" s="521" t="s">
        <v>687</v>
      </c>
      <c r="E923" s="522">
        <v>201606</v>
      </c>
      <c r="F923" s="523">
        <v>1032.0899999999999</v>
      </c>
      <c r="G923" s="521">
        <v>10.5</v>
      </c>
      <c r="H923" s="524">
        <v>1.3083000000000001E-3</v>
      </c>
      <c r="I923" s="523">
        <v>14.18</v>
      </c>
      <c r="J923" s="448">
        <v>16.2</v>
      </c>
      <c r="N923" s="590"/>
      <c r="O923" s="590"/>
      <c r="R923" s="440"/>
    </row>
    <row r="924" spans="1:18" s="559" customFormat="1">
      <c r="A924" s="521" t="s">
        <v>318</v>
      </c>
      <c r="B924" s="522" t="s">
        <v>686</v>
      </c>
      <c r="C924" s="423" t="s">
        <v>329</v>
      </c>
      <c r="D924" s="521" t="s">
        <v>687</v>
      </c>
      <c r="E924" s="522">
        <v>201606</v>
      </c>
      <c r="F924" s="523">
        <v>14095.39</v>
      </c>
      <c r="G924" s="521">
        <v>10.5</v>
      </c>
      <c r="H924" s="524">
        <v>1.3083000000000001E-3</v>
      </c>
      <c r="I924" s="523">
        <v>193.63</v>
      </c>
      <c r="J924" s="448">
        <v>221.29</v>
      </c>
      <c r="N924" s="590"/>
      <c r="O924" s="590"/>
      <c r="R924" s="440"/>
    </row>
    <row r="925" spans="1:18" s="559" customFormat="1">
      <c r="A925" s="521" t="s">
        <v>318</v>
      </c>
      <c r="B925" s="522" t="s">
        <v>818</v>
      </c>
      <c r="C925" s="423" t="s">
        <v>329</v>
      </c>
      <c r="D925" s="521" t="s">
        <v>819</v>
      </c>
      <c r="E925" s="522">
        <v>201606</v>
      </c>
      <c r="F925" s="523">
        <v>-13218.59</v>
      </c>
      <c r="G925" s="521">
        <v>10.5</v>
      </c>
      <c r="H925" s="524">
        <v>1.3083000000000001E-3</v>
      </c>
      <c r="I925" s="523">
        <v>-181.59</v>
      </c>
      <c r="J925" s="448">
        <v>-207.53</v>
      </c>
      <c r="N925" s="590"/>
      <c r="O925" s="590"/>
      <c r="R925" s="440"/>
    </row>
    <row r="926" spans="1:18" s="559" customFormat="1">
      <c r="A926" s="521" t="s">
        <v>318</v>
      </c>
      <c r="B926" s="522" t="s">
        <v>818</v>
      </c>
      <c r="C926" s="423" t="s">
        <v>329</v>
      </c>
      <c r="D926" s="521" t="s">
        <v>819</v>
      </c>
      <c r="E926" s="522">
        <v>201606</v>
      </c>
      <c r="F926" s="523">
        <v>40955.21</v>
      </c>
      <c r="G926" s="521">
        <v>10.5</v>
      </c>
      <c r="H926" s="524">
        <v>1.3083000000000001E-3</v>
      </c>
      <c r="I926" s="523">
        <v>562.61</v>
      </c>
      <c r="J926" s="448">
        <v>642.98</v>
      </c>
      <c r="N926" s="590"/>
      <c r="O926" s="590"/>
      <c r="R926" s="440"/>
    </row>
    <row r="927" spans="1:18" s="559" customFormat="1">
      <c r="A927" s="521" t="s">
        <v>318</v>
      </c>
      <c r="B927" s="522" t="s">
        <v>820</v>
      </c>
      <c r="C927" s="423" t="s">
        <v>329</v>
      </c>
      <c r="D927" s="521" t="s">
        <v>821</v>
      </c>
      <c r="E927" s="522">
        <v>201606</v>
      </c>
      <c r="F927" s="523">
        <v>-2678.9</v>
      </c>
      <c r="G927" s="521">
        <v>10.5</v>
      </c>
      <c r="H927" s="524">
        <v>1.3083000000000001E-3</v>
      </c>
      <c r="I927" s="523">
        <v>-36.799999999999997</v>
      </c>
      <c r="J927" s="448">
        <v>-42.06</v>
      </c>
      <c r="N927" s="590"/>
      <c r="O927" s="590"/>
      <c r="R927" s="440"/>
    </row>
    <row r="928" spans="1:18" s="559" customFormat="1">
      <c r="A928" s="521" t="s">
        <v>318</v>
      </c>
      <c r="B928" s="522" t="s">
        <v>820</v>
      </c>
      <c r="C928" s="423" t="s">
        <v>329</v>
      </c>
      <c r="D928" s="521" t="s">
        <v>821</v>
      </c>
      <c r="E928" s="522">
        <v>201606</v>
      </c>
      <c r="F928" s="523">
        <v>18378.650000000001</v>
      </c>
      <c r="G928" s="521">
        <v>10.5</v>
      </c>
      <c r="H928" s="524">
        <v>1.3083000000000001E-3</v>
      </c>
      <c r="I928" s="523">
        <v>252.47</v>
      </c>
      <c r="J928" s="448">
        <v>288.54000000000002</v>
      </c>
      <c r="N928" s="590"/>
      <c r="O928" s="590"/>
      <c r="R928" s="440"/>
    </row>
    <row r="929" spans="1:18" s="559" customFormat="1">
      <c r="A929" s="521" t="s">
        <v>318</v>
      </c>
      <c r="B929" s="522" t="s">
        <v>688</v>
      </c>
      <c r="C929" s="423" t="s">
        <v>329</v>
      </c>
      <c r="D929" s="521" t="s">
        <v>689</v>
      </c>
      <c r="E929" s="522">
        <v>201606</v>
      </c>
      <c r="F929" s="523">
        <v>-360.4</v>
      </c>
      <c r="G929" s="521">
        <v>10.5</v>
      </c>
      <c r="H929" s="524">
        <v>1.3083000000000001E-3</v>
      </c>
      <c r="I929" s="523">
        <v>-4.95</v>
      </c>
      <c r="J929" s="448">
        <v>-5.66</v>
      </c>
      <c r="N929" s="590"/>
      <c r="O929" s="590"/>
      <c r="R929" s="440"/>
    </row>
    <row r="930" spans="1:18" s="559" customFormat="1">
      <c r="A930" s="521" t="s">
        <v>318</v>
      </c>
      <c r="B930" s="522" t="s">
        <v>688</v>
      </c>
      <c r="C930" s="423" t="s">
        <v>329</v>
      </c>
      <c r="D930" s="521" t="s">
        <v>689</v>
      </c>
      <c r="E930" s="522">
        <v>201606</v>
      </c>
      <c r="F930" s="523">
        <v>-67.81</v>
      </c>
      <c r="G930" s="521">
        <v>10.5</v>
      </c>
      <c r="H930" s="524">
        <v>1.3083000000000001E-3</v>
      </c>
      <c r="I930" s="523">
        <v>-0.93</v>
      </c>
      <c r="J930" s="448">
        <v>-1.06</v>
      </c>
      <c r="N930" s="590"/>
      <c r="O930" s="590"/>
      <c r="R930" s="440"/>
    </row>
    <row r="931" spans="1:18" s="559" customFormat="1">
      <c r="A931" s="521" t="s">
        <v>322</v>
      </c>
      <c r="B931" s="522" t="s">
        <v>688</v>
      </c>
      <c r="C931" s="423" t="s">
        <v>329</v>
      </c>
      <c r="D931" s="521" t="s">
        <v>689</v>
      </c>
      <c r="E931" s="522">
        <v>201606</v>
      </c>
      <c r="F931" s="523">
        <v>-6.41</v>
      </c>
      <c r="G931" s="521">
        <v>10.5</v>
      </c>
      <c r="H931" s="524">
        <v>1.1999999999999999E-3</v>
      </c>
      <c r="I931" s="523">
        <v>-0.08</v>
      </c>
      <c r="J931" s="448">
        <v>-0.09</v>
      </c>
      <c r="N931" s="590"/>
      <c r="O931" s="590"/>
      <c r="R931" s="440"/>
    </row>
    <row r="932" spans="1:18" s="559" customFormat="1">
      <c r="A932" s="521" t="s">
        <v>318</v>
      </c>
      <c r="B932" s="522" t="s">
        <v>822</v>
      </c>
      <c r="C932" s="423" t="s">
        <v>330</v>
      </c>
      <c r="D932" s="521" t="s">
        <v>823</v>
      </c>
      <c r="E932" s="522">
        <v>201606</v>
      </c>
      <c r="F932" s="523">
        <v>868.36</v>
      </c>
      <c r="G932" s="521">
        <v>10.5</v>
      </c>
      <c r="H932" s="524">
        <v>1.3083000000000001E-3</v>
      </c>
      <c r="I932" s="523">
        <v>11.93</v>
      </c>
      <c r="J932" s="448">
        <v>13.63</v>
      </c>
      <c r="N932" s="590"/>
      <c r="O932" s="590"/>
      <c r="R932" s="440"/>
    </row>
    <row r="933" spans="1:18" s="559" customFormat="1">
      <c r="A933" s="521" t="s">
        <v>318</v>
      </c>
      <c r="B933" s="522" t="s">
        <v>822</v>
      </c>
      <c r="C933" s="423" t="s">
        <v>330</v>
      </c>
      <c r="D933" s="521" t="s">
        <v>823</v>
      </c>
      <c r="E933" s="522">
        <v>201606</v>
      </c>
      <c r="F933" s="523">
        <v>12141.16</v>
      </c>
      <c r="G933" s="521">
        <v>10.5</v>
      </c>
      <c r="H933" s="524">
        <v>1.3083000000000001E-3</v>
      </c>
      <c r="I933" s="523">
        <v>166.78</v>
      </c>
      <c r="J933" s="448">
        <v>190.61</v>
      </c>
      <c r="N933" s="590"/>
      <c r="O933" s="590"/>
      <c r="R933" s="440"/>
    </row>
    <row r="934" spans="1:18" s="559" customFormat="1">
      <c r="A934" s="521" t="s">
        <v>318</v>
      </c>
      <c r="B934" s="522" t="s">
        <v>690</v>
      </c>
      <c r="C934" s="423" t="s">
        <v>330</v>
      </c>
      <c r="D934" s="521" t="s">
        <v>691</v>
      </c>
      <c r="E934" s="522">
        <v>201606</v>
      </c>
      <c r="F934" s="523">
        <v>6242.65</v>
      </c>
      <c r="G934" s="521">
        <v>10.5</v>
      </c>
      <c r="H934" s="524">
        <v>1.3083000000000001E-3</v>
      </c>
      <c r="I934" s="523">
        <v>85.76</v>
      </c>
      <c r="J934" s="448">
        <v>98.01</v>
      </c>
      <c r="N934" s="590"/>
      <c r="O934" s="590"/>
      <c r="R934" s="440"/>
    </row>
    <row r="935" spans="1:18" s="559" customFormat="1">
      <c r="A935" s="521" t="s">
        <v>318</v>
      </c>
      <c r="B935" s="522" t="s">
        <v>868</v>
      </c>
      <c r="C935" s="423" t="s">
        <v>330</v>
      </c>
      <c r="D935" s="521" t="s">
        <v>869</v>
      </c>
      <c r="E935" s="522">
        <v>201606</v>
      </c>
      <c r="F935" s="523">
        <v>13555.29</v>
      </c>
      <c r="G935" s="521">
        <v>10.5</v>
      </c>
      <c r="H935" s="524">
        <v>1.3083000000000001E-3</v>
      </c>
      <c r="I935" s="523">
        <v>186.21</v>
      </c>
      <c r="J935" s="448">
        <v>212.81</v>
      </c>
      <c r="N935" s="590"/>
      <c r="O935" s="590"/>
      <c r="R935" s="440"/>
    </row>
    <row r="936" spans="1:18" s="559" customFormat="1">
      <c r="A936" s="521" t="s">
        <v>318</v>
      </c>
      <c r="B936" s="522" t="s">
        <v>868</v>
      </c>
      <c r="C936" s="423" t="s">
        <v>330</v>
      </c>
      <c r="D936" s="521" t="s">
        <v>869</v>
      </c>
      <c r="E936" s="522">
        <v>201606</v>
      </c>
      <c r="F936" s="523">
        <v>324174.92</v>
      </c>
      <c r="G936" s="521">
        <v>10.5</v>
      </c>
      <c r="H936" s="524">
        <v>1.3083000000000001E-3</v>
      </c>
      <c r="I936" s="523">
        <v>4453.24</v>
      </c>
      <c r="J936" s="448">
        <v>5089.42</v>
      </c>
      <c r="N936" s="590"/>
      <c r="O936" s="590"/>
      <c r="R936" s="440"/>
    </row>
    <row r="937" spans="1:18" s="559" customFormat="1">
      <c r="A937" s="521" t="s">
        <v>318</v>
      </c>
      <c r="B937" s="522" t="s">
        <v>824</v>
      </c>
      <c r="C937" s="423" t="s">
        <v>329</v>
      </c>
      <c r="D937" s="521" t="s">
        <v>825</v>
      </c>
      <c r="E937" s="522">
        <v>201606</v>
      </c>
      <c r="F937" s="523">
        <v>3520.54</v>
      </c>
      <c r="G937" s="521">
        <v>10.5</v>
      </c>
      <c r="H937" s="524">
        <v>1.3083000000000001E-3</v>
      </c>
      <c r="I937" s="523">
        <v>48.36</v>
      </c>
      <c r="J937" s="448">
        <v>55.27</v>
      </c>
      <c r="N937" s="590"/>
      <c r="O937" s="590"/>
      <c r="R937" s="440"/>
    </row>
    <row r="938" spans="1:18" s="559" customFormat="1">
      <c r="A938" s="521" t="s">
        <v>318</v>
      </c>
      <c r="B938" s="522" t="s">
        <v>824</v>
      </c>
      <c r="C938" s="423" t="s">
        <v>329</v>
      </c>
      <c r="D938" s="521" t="s">
        <v>825</v>
      </c>
      <c r="E938" s="522">
        <v>201606</v>
      </c>
      <c r="F938" s="523">
        <v>15442.72</v>
      </c>
      <c r="G938" s="521">
        <v>10.5</v>
      </c>
      <c r="H938" s="524">
        <v>1.3083000000000001E-3</v>
      </c>
      <c r="I938" s="523">
        <v>212.14</v>
      </c>
      <c r="J938" s="448">
        <v>242.44</v>
      </c>
      <c r="N938" s="590"/>
      <c r="O938" s="590"/>
      <c r="R938" s="440"/>
    </row>
    <row r="939" spans="1:18" s="559" customFormat="1">
      <c r="A939" s="521" t="s">
        <v>318</v>
      </c>
      <c r="B939" s="522" t="s">
        <v>850</v>
      </c>
      <c r="C939" s="423" t="s">
        <v>329</v>
      </c>
      <c r="D939" s="521" t="s">
        <v>851</v>
      </c>
      <c r="E939" s="522">
        <v>201606</v>
      </c>
      <c r="F939" s="523">
        <v>5107.9399999999996</v>
      </c>
      <c r="G939" s="521">
        <v>10.5</v>
      </c>
      <c r="H939" s="524">
        <v>1.3083000000000001E-3</v>
      </c>
      <c r="I939" s="523">
        <v>70.17</v>
      </c>
      <c r="J939" s="448">
        <v>80.19</v>
      </c>
      <c r="N939" s="590"/>
      <c r="O939" s="590"/>
      <c r="R939" s="440"/>
    </row>
    <row r="940" spans="1:18" s="559" customFormat="1">
      <c r="A940" s="521" t="s">
        <v>318</v>
      </c>
      <c r="B940" s="522" t="s">
        <v>850</v>
      </c>
      <c r="C940" s="423" t="s">
        <v>329</v>
      </c>
      <c r="D940" s="521" t="s">
        <v>851</v>
      </c>
      <c r="E940" s="522">
        <v>201606</v>
      </c>
      <c r="F940" s="523">
        <v>62078.96</v>
      </c>
      <c r="G940" s="521">
        <v>10.5</v>
      </c>
      <c r="H940" s="524">
        <v>1.3083000000000001E-3</v>
      </c>
      <c r="I940" s="523">
        <v>852.79</v>
      </c>
      <c r="J940" s="448">
        <v>974.61</v>
      </c>
      <c r="N940" s="590"/>
      <c r="O940" s="590"/>
      <c r="R940" s="440"/>
    </row>
    <row r="941" spans="1:18" s="559" customFormat="1">
      <c r="A941" s="521" t="s">
        <v>318</v>
      </c>
      <c r="B941" s="522" t="s">
        <v>692</v>
      </c>
      <c r="C941" s="423" t="s">
        <v>330</v>
      </c>
      <c r="D941" s="521" t="s">
        <v>693</v>
      </c>
      <c r="E941" s="522">
        <v>201606</v>
      </c>
      <c r="F941" s="523">
        <v>3.38</v>
      </c>
      <c r="G941" s="521">
        <v>10.5</v>
      </c>
      <c r="H941" s="524">
        <v>1.3083000000000001E-3</v>
      </c>
      <c r="I941" s="523">
        <v>0.05</v>
      </c>
      <c r="J941" s="448">
        <v>0.05</v>
      </c>
      <c r="N941" s="590"/>
      <c r="O941" s="590"/>
      <c r="R941" s="440"/>
    </row>
    <row r="942" spans="1:18" s="559" customFormat="1">
      <c r="A942" s="521" t="s">
        <v>318</v>
      </c>
      <c r="B942" s="522" t="s">
        <v>692</v>
      </c>
      <c r="C942" s="423" t="s">
        <v>330</v>
      </c>
      <c r="D942" s="521" t="s">
        <v>693</v>
      </c>
      <c r="E942" s="522">
        <v>201606</v>
      </c>
      <c r="F942" s="523">
        <v>141.99</v>
      </c>
      <c r="G942" s="521">
        <v>10.5</v>
      </c>
      <c r="H942" s="524">
        <v>1.3083000000000001E-3</v>
      </c>
      <c r="I942" s="523">
        <v>1.95</v>
      </c>
      <c r="J942" s="448">
        <v>2.23</v>
      </c>
      <c r="N942" s="590"/>
      <c r="O942" s="590"/>
      <c r="R942" s="440"/>
    </row>
    <row r="943" spans="1:18" s="559" customFormat="1">
      <c r="A943" s="521" t="s">
        <v>318</v>
      </c>
      <c r="B943" s="522" t="s">
        <v>694</v>
      </c>
      <c r="C943" s="423" t="s">
        <v>330</v>
      </c>
      <c r="D943" s="521" t="s">
        <v>695</v>
      </c>
      <c r="E943" s="522">
        <v>201606</v>
      </c>
      <c r="F943" s="523">
        <v>0.35</v>
      </c>
      <c r="G943" s="521">
        <v>10.5</v>
      </c>
      <c r="H943" s="524">
        <v>1.3083000000000001E-3</v>
      </c>
      <c r="I943" s="523">
        <v>0</v>
      </c>
      <c r="J943" s="448">
        <v>0.01</v>
      </c>
      <c r="N943" s="590"/>
      <c r="O943" s="590"/>
      <c r="R943" s="440"/>
    </row>
    <row r="944" spans="1:18" s="559" customFormat="1">
      <c r="A944" s="521" t="s">
        <v>318</v>
      </c>
      <c r="B944" s="522" t="s">
        <v>694</v>
      </c>
      <c r="C944" s="423" t="s">
        <v>330</v>
      </c>
      <c r="D944" s="521" t="s">
        <v>695</v>
      </c>
      <c r="E944" s="522">
        <v>201606</v>
      </c>
      <c r="F944" s="523">
        <v>10.16</v>
      </c>
      <c r="G944" s="521">
        <v>10.5</v>
      </c>
      <c r="H944" s="524">
        <v>1.3083000000000001E-3</v>
      </c>
      <c r="I944" s="523">
        <v>0.14000000000000001</v>
      </c>
      <c r="J944" s="448">
        <v>0.16</v>
      </c>
      <c r="N944" s="590"/>
      <c r="O944" s="590"/>
      <c r="R944" s="440"/>
    </row>
    <row r="945" spans="1:18" s="559" customFormat="1">
      <c r="A945" s="521" t="s">
        <v>318</v>
      </c>
      <c r="B945" s="522" t="s">
        <v>696</v>
      </c>
      <c r="C945" s="423" t="s">
        <v>330</v>
      </c>
      <c r="D945" s="521" t="s">
        <v>697</v>
      </c>
      <c r="E945" s="522">
        <v>201606</v>
      </c>
      <c r="F945" s="523">
        <v>-4.2699999999999996</v>
      </c>
      <c r="G945" s="521">
        <v>10.5</v>
      </c>
      <c r="H945" s="524">
        <v>1.3083000000000001E-3</v>
      </c>
      <c r="I945" s="523">
        <v>-0.06</v>
      </c>
      <c r="J945" s="448">
        <v>-7.0000000000000007E-2</v>
      </c>
      <c r="N945" s="590"/>
      <c r="O945" s="590"/>
      <c r="R945" s="440"/>
    </row>
    <row r="946" spans="1:18" s="559" customFormat="1">
      <c r="A946" s="521" t="s">
        <v>318</v>
      </c>
      <c r="B946" s="522" t="s">
        <v>696</v>
      </c>
      <c r="C946" s="423" t="s">
        <v>330</v>
      </c>
      <c r="D946" s="521" t="s">
        <v>697</v>
      </c>
      <c r="E946" s="522">
        <v>201606</v>
      </c>
      <c r="F946" s="523">
        <v>-0.4</v>
      </c>
      <c r="G946" s="521">
        <v>10.5</v>
      </c>
      <c r="H946" s="524">
        <v>1.3083000000000001E-3</v>
      </c>
      <c r="I946" s="523">
        <v>-0.01</v>
      </c>
      <c r="J946" s="448">
        <v>-0.01</v>
      </c>
      <c r="N946" s="590"/>
      <c r="O946" s="590"/>
      <c r="R946" s="440"/>
    </row>
    <row r="947" spans="1:18" s="559" customFormat="1">
      <c r="A947" s="521" t="s">
        <v>318</v>
      </c>
      <c r="B947" s="522" t="s">
        <v>698</v>
      </c>
      <c r="C947" s="423" t="s">
        <v>330</v>
      </c>
      <c r="D947" s="521" t="s">
        <v>699</v>
      </c>
      <c r="E947" s="522">
        <v>201606</v>
      </c>
      <c r="F947" s="523">
        <v>2205.91</v>
      </c>
      <c r="G947" s="521">
        <v>10.5</v>
      </c>
      <c r="H947" s="524">
        <v>1.3083000000000001E-3</v>
      </c>
      <c r="I947" s="523">
        <v>30.3</v>
      </c>
      <c r="J947" s="448">
        <v>34.630000000000003</v>
      </c>
      <c r="N947" s="590"/>
      <c r="O947" s="590"/>
      <c r="R947" s="440"/>
    </row>
    <row r="948" spans="1:18" s="559" customFormat="1">
      <c r="A948" s="521" t="s">
        <v>318</v>
      </c>
      <c r="B948" s="522" t="s">
        <v>700</v>
      </c>
      <c r="C948" s="423" t="s">
        <v>330</v>
      </c>
      <c r="D948" s="521" t="s">
        <v>701</v>
      </c>
      <c r="E948" s="522">
        <v>201606</v>
      </c>
      <c r="F948" s="523">
        <v>82.14</v>
      </c>
      <c r="G948" s="521">
        <v>10.5</v>
      </c>
      <c r="H948" s="524">
        <v>1.3083000000000001E-3</v>
      </c>
      <c r="I948" s="523">
        <v>1.1299999999999999</v>
      </c>
      <c r="J948" s="448">
        <v>1.29</v>
      </c>
      <c r="N948" s="590"/>
      <c r="O948" s="590"/>
      <c r="R948" s="440"/>
    </row>
    <row r="949" spans="1:18" s="559" customFormat="1">
      <c r="A949" s="521" t="s">
        <v>318</v>
      </c>
      <c r="B949" s="522" t="s">
        <v>700</v>
      </c>
      <c r="C949" s="423" t="s">
        <v>330</v>
      </c>
      <c r="D949" s="521" t="s">
        <v>701</v>
      </c>
      <c r="E949" s="522">
        <v>201606</v>
      </c>
      <c r="F949" s="523">
        <v>2036.72</v>
      </c>
      <c r="G949" s="521">
        <v>10.5</v>
      </c>
      <c r="H949" s="524">
        <v>1.3083000000000001E-3</v>
      </c>
      <c r="I949" s="523">
        <v>27.98</v>
      </c>
      <c r="J949" s="448">
        <v>31.98</v>
      </c>
      <c r="N949" s="590"/>
      <c r="O949" s="590"/>
      <c r="R949" s="440"/>
    </row>
    <row r="950" spans="1:18" s="559" customFormat="1">
      <c r="A950" s="521" t="s">
        <v>318</v>
      </c>
      <c r="B950" s="522" t="s">
        <v>794</v>
      </c>
      <c r="C950" s="423" t="s">
        <v>330</v>
      </c>
      <c r="D950" s="521" t="s">
        <v>795</v>
      </c>
      <c r="E950" s="522">
        <v>201606</v>
      </c>
      <c r="F950" s="523">
        <v>66.47</v>
      </c>
      <c r="G950" s="521">
        <v>10.5</v>
      </c>
      <c r="H950" s="524">
        <v>1.3083000000000001E-3</v>
      </c>
      <c r="I950" s="523">
        <v>0.91</v>
      </c>
      <c r="J950" s="448">
        <v>1.04</v>
      </c>
      <c r="N950" s="590"/>
      <c r="O950" s="590"/>
      <c r="R950" s="440"/>
    </row>
    <row r="951" spans="1:18" s="559" customFormat="1">
      <c r="A951" s="521" t="s">
        <v>318</v>
      </c>
      <c r="B951" s="522" t="s">
        <v>794</v>
      </c>
      <c r="C951" s="423" t="s">
        <v>330</v>
      </c>
      <c r="D951" s="521" t="s">
        <v>795</v>
      </c>
      <c r="E951" s="522">
        <v>201606</v>
      </c>
      <c r="F951" s="523">
        <v>3127.11</v>
      </c>
      <c r="G951" s="521">
        <v>10.5</v>
      </c>
      <c r="H951" s="524">
        <v>1.3083000000000001E-3</v>
      </c>
      <c r="I951" s="523">
        <v>42.96</v>
      </c>
      <c r="J951" s="448">
        <v>49.09</v>
      </c>
      <c r="N951" s="590"/>
      <c r="O951" s="590"/>
      <c r="R951" s="440"/>
    </row>
    <row r="952" spans="1:18" s="559" customFormat="1">
      <c r="A952" s="521" t="s">
        <v>318</v>
      </c>
      <c r="B952" s="522" t="s">
        <v>702</v>
      </c>
      <c r="C952" s="423" t="s">
        <v>330</v>
      </c>
      <c r="D952" s="521" t="s">
        <v>703</v>
      </c>
      <c r="E952" s="522">
        <v>201606</v>
      </c>
      <c r="F952" s="523">
        <v>10.74</v>
      </c>
      <c r="G952" s="521">
        <v>10.5</v>
      </c>
      <c r="H952" s="524">
        <v>1.3083000000000001E-3</v>
      </c>
      <c r="I952" s="523">
        <v>0.15</v>
      </c>
      <c r="J952" s="448">
        <v>0.17</v>
      </c>
      <c r="N952" s="590"/>
      <c r="O952" s="590"/>
      <c r="R952" s="440"/>
    </row>
    <row r="953" spans="1:18" s="559" customFormat="1">
      <c r="A953" s="521" t="s">
        <v>318</v>
      </c>
      <c r="B953" s="522" t="s">
        <v>852</v>
      </c>
      <c r="C953" s="423" t="s">
        <v>330</v>
      </c>
      <c r="D953" s="521" t="s">
        <v>853</v>
      </c>
      <c r="E953" s="522">
        <v>201606</v>
      </c>
      <c r="F953" s="523">
        <v>453.95</v>
      </c>
      <c r="G953" s="521">
        <v>10.5</v>
      </c>
      <c r="H953" s="524">
        <v>1.3083000000000001E-3</v>
      </c>
      <c r="I953" s="523">
        <v>6.24</v>
      </c>
      <c r="J953" s="448">
        <v>7.13</v>
      </c>
      <c r="N953" s="590"/>
      <c r="O953" s="590"/>
      <c r="R953" s="440"/>
    </row>
    <row r="954" spans="1:18" s="559" customFormat="1">
      <c r="A954" s="521" t="s">
        <v>318</v>
      </c>
      <c r="B954" s="522" t="s">
        <v>852</v>
      </c>
      <c r="C954" s="423" t="s">
        <v>330</v>
      </c>
      <c r="D954" s="521" t="s">
        <v>853</v>
      </c>
      <c r="E954" s="522">
        <v>201606</v>
      </c>
      <c r="F954" s="523">
        <v>6675.24</v>
      </c>
      <c r="G954" s="521">
        <v>10.5</v>
      </c>
      <c r="H954" s="524">
        <v>1.3083000000000001E-3</v>
      </c>
      <c r="I954" s="523">
        <v>91.7</v>
      </c>
      <c r="J954" s="448">
        <v>104.8</v>
      </c>
      <c r="N954" s="590"/>
      <c r="O954" s="590"/>
      <c r="R954" s="440"/>
    </row>
    <row r="955" spans="1:18" s="559" customFormat="1">
      <c r="A955" s="521" t="s">
        <v>318</v>
      </c>
      <c r="B955" s="522" t="s">
        <v>870</v>
      </c>
      <c r="C955" s="423" t="s">
        <v>330</v>
      </c>
      <c r="D955" s="521" t="s">
        <v>871</v>
      </c>
      <c r="E955" s="522">
        <v>201606</v>
      </c>
      <c r="F955" s="523">
        <v>5513.35</v>
      </c>
      <c r="G955" s="521">
        <v>10.5</v>
      </c>
      <c r="H955" s="524">
        <v>1.3083000000000001E-3</v>
      </c>
      <c r="I955" s="523">
        <v>75.739999999999995</v>
      </c>
      <c r="J955" s="448">
        <v>86.56</v>
      </c>
      <c r="N955" s="590"/>
      <c r="O955" s="590"/>
      <c r="R955" s="440"/>
    </row>
    <row r="956" spans="1:18" s="559" customFormat="1">
      <c r="A956" s="521" t="s">
        <v>318</v>
      </c>
      <c r="B956" s="522" t="s">
        <v>870</v>
      </c>
      <c r="C956" s="423" t="s">
        <v>330</v>
      </c>
      <c r="D956" s="521" t="s">
        <v>871</v>
      </c>
      <c r="E956" s="522">
        <v>201606</v>
      </c>
      <c r="F956" s="523">
        <v>82447.649999999994</v>
      </c>
      <c r="G956" s="521">
        <v>10.5</v>
      </c>
      <c r="H956" s="524">
        <v>1.3083000000000001E-3</v>
      </c>
      <c r="I956" s="523">
        <v>1132.5999999999999</v>
      </c>
      <c r="J956" s="448">
        <v>1294.4000000000001</v>
      </c>
      <c r="N956" s="590"/>
      <c r="O956" s="590"/>
      <c r="R956" s="440"/>
    </row>
    <row r="957" spans="1:18" s="559" customFormat="1">
      <c r="A957" s="521" t="s">
        <v>318</v>
      </c>
      <c r="B957" s="522" t="s">
        <v>872</v>
      </c>
      <c r="C957" s="423" t="s">
        <v>330</v>
      </c>
      <c r="D957" s="521" t="s">
        <v>873</v>
      </c>
      <c r="E957" s="522">
        <v>201606</v>
      </c>
      <c r="F957" s="523">
        <v>4112.08</v>
      </c>
      <c r="G957" s="521">
        <v>10.5</v>
      </c>
      <c r="H957" s="524">
        <v>1.3083000000000001E-3</v>
      </c>
      <c r="I957" s="523">
        <v>56.49</v>
      </c>
      <c r="J957" s="448">
        <v>64.56</v>
      </c>
      <c r="N957" s="590"/>
      <c r="O957" s="590"/>
      <c r="R957" s="440"/>
    </row>
    <row r="958" spans="1:18" s="559" customFormat="1">
      <c r="A958" s="521" t="s">
        <v>318</v>
      </c>
      <c r="B958" s="522" t="s">
        <v>872</v>
      </c>
      <c r="C958" s="423" t="s">
        <v>330</v>
      </c>
      <c r="D958" s="521" t="s">
        <v>873</v>
      </c>
      <c r="E958" s="522">
        <v>201606</v>
      </c>
      <c r="F958" s="523">
        <v>82241.94</v>
      </c>
      <c r="G958" s="521">
        <v>10.5</v>
      </c>
      <c r="H958" s="524">
        <v>1.3083000000000001E-3</v>
      </c>
      <c r="I958" s="523">
        <v>1129.77</v>
      </c>
      <c r="J958" s="448">
        <v>1291.17</v>
      </c>
      <c r="N958" s="590"/>
      <c r="O958" s="590"/>
      <c r="R958" s="440"/>
    </row>
    <row r="959" spans="1:18" s="559" customFormat="1">
      <c r="A959" s="521" t="s">
        <v>318</v>
      </c>
      <c r="B959" s="522" t="s">
        <v>826</v>
      </c>
      <c r="C959" s="423" t="s">
        <v>330</v>
      </c>
      <c r="D959" s="521" t="s">
        <v>827</v>
      </c>
      <c r="E959" s="522">
        <v>201606</v>
      </c>
      <c r="F959" s="523">
        <v>291.14999999999998</v>
      </c>
      <c r="G959" s="521">
        <v>10.5</v>
      </c>
      <c r="H959" s="524">
        <v>1.3083000000000001E-3</v>
      </c>
      <c r="I959" s="523">
        <v>4</v>
      </c>
      <c r="J959" s="448">
        <v>4.57</v>
      </c>
      <c r="N959" s="590"/>
      <c r="O959" s="590"/>
      <c r="R959" s="440"/>
    </row>
    <row r="960" spans="1:18" s="559" customFormat="1">
      <c r="A960" s="521" t="s">
        <v>318</v>
      </c>
      <c r="B960" s="522" t="s">
        <v>826</v>
      </c>
      <c r="C960" s="423" t="s">
        <v>330</v>
      </c>
      <c r="D960" s="521" t="s">
        <v>827</v>
      </c>
      <c r="E960" s="522">
        <v>201606</v>
      </c>
      <c r="F960" s="523">
        <v>8356.77</v>
      </c>
      <c r="G960" s="521">
        <v>10.5</v>
      </c>
      <c r="H960" s="524">
        <v>1.3083000000000001E-3</v>
      </c>
      <c r="I960" s="523">
        <v>114.8</v>
      </c>
      <c r="J960" s="448">
        <v>131.19999999999999</v>
      </c>
      <c r="N960" s="590"/>
      <c r="O960" s="590"/>
      <c r="R960" s="440"/>
    </row>
    <row r="961" spans="1:18" s="559" customFormat="1">
      <c r="A961" s="521" t="s">
        <v>318</v>
      </c>
      <c r="B961" s="522" t="s">
        <v>874</v>
      </c>
      <c r="C961" s="423" t="s">
        <v>330</v>
      </c>
      <c r="D961" s="521" t="s">
        <v>875</v>
      </c>
      <c r="E961" s="522">
        <v>201606</v>
      </c>
      <c r="F961" s="523">
        <v>2818.87</v>
      </c>
      <c r="G961" s="521">
        <v>10.5</v>
      </c>
      <c r="H961" s="524">
        <v>1.3083000000000001E-3</v>
      </c>
      <c r="I961" s="523">
        <v>38.72</v>
      </c>
      <c r="J961" s="448">
        <v>44.26</v>
      </c>
      <c r="N961" s="590"/>
      <c r="O961" s="590"/>
      <c r="R961" s="440"/>
    </row>
    <row r="962" spans="1:18" s="559" customFormat="1">
      <c r="A962" s="521" t="s">
        <v>318</v>
      </c>
      <c r="B962" s="522" t="s">
        <v>874</v>
      </c>
      <c r="C962" s="423" t="s">
        <v>330</v>
      </c>
      <c r="D962" s="521" t="s">
        <v>875</v>
      </c>
      <c r="E962" s="522">
        <v>201606</v>
      </c>
      <c r="F962" s="523">
        <v>61617.02</v>
      </c>
      <c r="G962" s="521">
        <v>10.5</v>
      </c>
      <c r="H962" s="524">
        <v>1.3083000000000001E-3</v>
      </c>
      <c r="I962" s="523">
        <v>846.44</v>
      </c>
      <c r="J962" s="448">
        <v>967.36</v>
      </c>
      <c r="N962" s="590"/>
      <c r="O962" s="590"/>
      <c r="R962" s="440"/>
    </row>
    <row r="963" spans="1:18" s="559" customFormat="1">
      <c r="A963" s="521" t="s">
        <v>318</v>
      </c>
      <c r="B963" s="522" t="s">
        <v>876</v>
      </c>
      <c r="C963" s="423" t="s">
        <v>330</v>
      </c>
      <c r="D963" s="521" t="s">
        <v>877</v>
      </c>
      <c r="E963" s="522">
        <v>201606</v>
      </c>
      <c r="F963" s="523">
        <v>14022.84</v>
      </c>
      <c r="G963" s="521">
        <v>10.5</v>
      </c>
      <c r="H963" s="524">
        <v>1.3083000000000001E-3</v>
      </c>
      <c r="I963" s="523">
        <v>192.63</v>
      </c>
      <c r="J963" s="448">
        <v>220.15</v>
      </c>
      <c r="N963" s="590"/>
      <c r="O963" s="590"/>
      <c r="R963" s="440"/>
    </row>
    <row r="964" spans="1:18" s="559" customFormat="1">
      <c r="A964" s="521" t="s">
        <v>318</v>
      </c>
      <c r="B964" s="522" t="s">
        <v>876</v>
      </c>
      <c r="C964" s="423" t="s">
        <v>330</v>
      </c>
      <c r="D964" s="521" t="s">
        <v>877</v>
      </c>
      <c r="E964" s="522">
        <v>201606</v>
      </c>
      <c r="F964" s="523">
        <v>248410.04</v>
      </c>
      <c r="G964" s="521">
        <v>10.5</v>
      </c>
      <c r="H964" s="524">
        <v>1.3083000000000001E-3</v>
      </c>
      <c r="I964" s="523">
        <v>3412.45</v>
      </c>
      <c r="J964" s="448">
        <v>3899.94</v>
      </c>
      <c r="N964" s="590"/>
      <c r="O964" s="590"/>
      <c r="R964" s="440"/>
    </row>
    <row r="965" spans="1:18" s="559" customFormat="1">
      <c r="A965" s="521" t="s">
        <v>318</v>
      </c>
      <c r="B965" s="522" t="s">
        <v>878</v>
      </c>
      <c r="C965" s="423" t="s">
        <v>330</v>
      </c>
      <c r="D965" s="521" t="s">
        <v>879</v>
      </c>
      <c r="E965" s="522">
        <v>201606</v>
      </c>
      <c r="F965" s="523">
        <v>4949.1899999999996</v>
      </c>
      <c r="G965" s="521">
        <v>10.5</v>
      </c>
      <c r="H965" s="524">
        <v>1.3083000000000001E-3</v>
      </c>
      <c r="I965" s="523">
        <v>67.989999999999995</v>
      </c>
      <c r="J965" s="448">
        <v>77.7</v>
      </c>
      <c r="N965" s="590"/>
      <c r="O965" s="590"/>
      <c r="R965" s="440"/>
    </row>
    <row r="966" spans="1:18" s="559" customFormat="1">
      <c r="A966" s="521" t="s">
        <v>318</v>
      </c>
      <c r="B966" s="522" t="s">
        <v>878</v>
      </c>
      <c r="C966" s="423" t="s">
        <v>330</v>
      </c>
      <c r="D966" s="521" t="s">
        <v>879</v>
      </c>
      <c r="E966" s="522">
        <v>201606</v>
      </c>
      <c r="F966" s="523">
        <v>100162.76</v>
      </c>
      <c r="G966" s="521">
        <v>10.5</v>
      </c>
      <c r="H966" s="524">
        <v>1.3083000000000001E-3</v>
      </c>
      <c r="I966" s="523">
        <v>1375.95</v>
      </c>
      <c r="J966" s="448">
        <v>1572.52</v>
      </c>
      <c r="N966" s="590"/>
      <c r="O966" s="590"/>
      <c r="R966" s="440"/>
    </row>
    <row r="967" spans="1:18" s="559" customFormat="1">
      <c r="A967" s="521" t="s">
        <v>318</v>
      </c>
      <c r="B967" s="522" t="s">
        <v>880</v>
      </c>
      <c r="C967" s="423" t="s">
        <v>330</v>
      </c>
      <c r="D967" s="521" t="s">
        <v>881</v>
      </c>
      <c r="E967" s="522">
        <v>201606</v>
      </c>
      <c r="F967" s="523">
        <v>3459.22</v>
      </c>
      <c r="G967" s="521">
        <v>10.5</v>
      </c>
      <c r="H967" s="524">
        <v>1.3083000000000001E-3</v>
      </c>
      <c r="I967" s="523">
        <v>47.52</v>
      </c>
      <c r="J967" s="448">
        <v>54.31</v>
      </c>
      <c r="N967" s="590"/>
      <c r="O967" s="590"/>
      <c r="R967" s="440"/>
    </row>
    <row r="968" spans="1:18" s="559" customFormat="1">
      <c r="A968" s="521" t="s">
        <v>318</v>
      </c>
      <c r="B968" s="522" t="s">
        <v>880</v>
      </c>
      <c r="C968" s="423" t="s">
        <v>330</v>
      </c>
      <c r="D968" s="521" t="s">
        <v>881</v>
      </c>
      <c r="E968" s="522">
        <v>201606</v>
      </c>
      <c r="F968" s="523">
        <v>67808.479999999996</v>
      </c>
      <c r="G968" s="521">
        <v>10.5</v>
      </c>
      <c r="H968" s="524">
        <v>1.3083000000000001E-3</v>
      </c>
      <c r="I968" s="523">
        <v>931.5</v>
      </c>
      <c r="J968" s="448">
        <v>1064.57</v>
      </c>
      <c r="N968" s="590"/>
      <c r="O968" s="590"/>
      <c r="R968" s="440"/>
    </row>
    <row r="969" spans="1:18" s="559" customFormat="1">
      <c r="A969" s="521" t="s">
        <v>318</v>
      </c>
      <c r="B969" s="522" t="s">
        <v>882</v>
      </c>
      <c r="C969" s="423" t="s">
        <v>330</v>
      </c>
      <c r="D969" s="521" t="s">
        <v>883</v>
      </c>
      <c r="E969" s="522">
        <v>201606</v>
      </c>
      <c r="F969" s="523">
        <v>3142.16</v>
      </c>
      <c r="G969" s="521">
        <v>10.5</v>
      </c>
      <c r="H969" s="524">
        <v>1.3083000000000001E-3</v>
      </c>
      <c r="I969" s="523">
        <v>43.16</v>
      </c>
      <c r="J969" s="448">
        <v>49.33</v>
      </c>
      <c r="N969" s="590"/>
      <c r="O969" s="590"/>
      <c r="R969" s="440"/>
    </row>
    <row r="970" spans="1:18" s="559" customFormat="1">
      <c r="A970" s="521" t="s">
        <v>318</v>
      </c>
      <c r="B970" s="522" t="s">
        <v>882</v>
      </c>
      <c r="C970" s="423" t="s">
        <v>330</v>
      </c>
      <c r="D970" s="521" t="s">
        <v>883</v>
      </c>
      <c r="E970" s="522">
        <v>201606</v>
      </c>
      <c r="F970" s="523">
        <v>81954.98</v>
      </c>
      <c r="G970" s="521">
        <v>10.5</v>
      </c>
      <c r="H970" s="524">
        <v>1.3083000000000001E-3</v>
      </c>
      <c r="I970" s="523">
        <v>1125.83</v>
      </c>
      <c r="J970" s="448">
        <v>1286.6600000000001</v>
      </c>
      <c r="N970" s="590"/>
      <c r="O970" s="590"/>
      <c r="R970" s="440"/>
    </row>
    <row r="971" spans="1:18" s="559" customFormat="1">
      <c r="A971" s="521" t="s">
        <v>318</v>
      </c>
      <c r="B971" s="522" t="s">
        <v>704</v>
      </c>
      <c r="C971" s="423" t="s">
        <v>330</v>
      </c>
      <c r="D971" s="521" t="s">
        <v>884</v>
      </c>
      <c r="E971" s="522">
        <v>201606</v>
      </c>
      <c r="F971" s="523">
        <v>1.1399999999999999</v>
      </c>
      <c r="G971" s="521">
        <v>10.5</v>
      </c>
      <c r="H971" s="524">
        <v>1.3083000000000001E-3</v>
      </c>
      <c r="I971" s="523">
        <v>0.02</v>
      </c>
      <c r="J971" s="448">
        <v>0.02</v>
      </c>
      <c r="N971" s="590"/>
      <c r="O971" s="590"/>
      <c r="R971" s="440"/>
    </row>
    <row r="972" spans="1:18" s="559" customFormat="1">
      <c r="A972" s="521" t="s">
        <v>318</v>
      </c>
      <c r="B972" s="522" t="s">
        <v>704</v>
      </c>
      <c r="C972" s="423" t="s">
        <v>330</v>
      </c>
      <c r="D972" s="521" t="s">
        <v>884</v>
      </c>
      <c r="E972" s="522">
        <v>201606</v>
      </c>
      <c r="F972" s="523">
        <v>21.87</v>
      </c>
      <c r="G972" s="521">
        <v>10.5</v>
      </c>
      <c r="H972" s="524">
        <v>1.3083000000000001E-3</v>
      </c>
      <c r="I972" s="523">
        <v>0.3</v>
      </c>
      <c r="J972" s="448">
        <v>0.34</v>
      </c>
      <c r="N972" s="590"/>
      <c r="O972" s="590"/>
      <c r="R972" s="440"/>
    </row>
    <row r="973" spans="1:18" s="559" customFormat="1">
      <c r="A973" s="521" t="s">
        <v>318</v>
      </c>
      <c r="B973" s="522" t="s">
        <v>854</v>
      </c>
      <c r="C973" s="423" t="s">
        <v>330</v>
      </c>
      <c r="D973" s="521" t="s">
        <v>855</v>
      </c>
      <c r="E973" s="522">
        <v>201606</v>
      </c>
      <c r="F973" s="523">
        <v>661.48</v>
      </c>
      <c r="G973" s="521">
        <v>10.5</v>
      </c>
      <c r="H973" s="524">
        <v>1.3083000000000001E-3</v>
      </c>
      <c r="I973" s="523">
        <v>9.09</v>
      </c>
      <c r="J973" s="448">
        <v>10.38</v>
      </c>
      <c r="N973" s="590"/>
      <c r="O973" s="590"/>
      <c r="R973" s="440"/>
    </row>
    <row r="974" spans="1:18" s="559" customFormat="1">
      <c r="A974" s="521" t="s">
        <v>318</v>
      </c>
      <c r="B974" s="522" t="s">
        <v>854</v>
      </c>
      <c r="C974" s="423" t="s">
        <v>330</v>
      </c>
      <c r="D974" s="521" t="s">
        <v>855</v>
      </c>
      <c r="E974" s="522">
        <v>201606</v>
      </c>
      <c r="F974" s="523">
        <v>19291.48</v>
      </c>
      <c r="G974" s="521">
        <v>10.5</v>
      </c>
      <c r="H974" s="524">
        <v>1.3083000000000001E-3</v>
      </c>
      <c r="I974" s="523">
        <v>265.01</v>
      </c>
      <c r="J974" s="448">
        <v>302.87</v>
      </c>
      <c r="N974" s="590"/>
      <c r="O974" s="590"/>
      <c r="R974" s="440"/>
    </row>
    <row r="975" spans="1:18" s="559" customFormat="1">
      <c r="A975" s="521" t="s">
        <v>318</v>
      </c>
      <c r="B975" s="522" t="s">
        <v>885</v>
      </c>
      <c r="C975" s="423" t="s">
        <v>414</v>
      </c>
      <c r="D975" s="521" t="s">
        <v>886</v>
      </c>
      <c r="E975" s="522">
        <v>201606</v>
      </c>
      <c r="F975" s="523">
        <v>6808.26</v>
      </c>
      <c r="G975" s="521">
        <v>10.5</v>
      </c>
      <c r="H975" s="524">
        <v>1.3083000000000001E-3</v>
      </c>
      <c r="I975" s="523">
        <v>93.53</v>
      </c>
      <c r="J975" s="448">
        <v>106.89</v>
      </c>
      <c r="N975" s="590"/>
      <c r="O975" s="590"/>
      <c r="R975" s="440"/>
    </row>
    <row r="976" spans="1:18" s="559" customFormat="1">
      <c r="A976" s="521" t="s">
        <v>318</v>
      </c>
      <c r="B976" s="522" t="s">
        <v>885</v>
      </c>
      <c r="C976" s="423" t="s">
        <v>414</v>
      </c>
      <c r="D976" s="521" t="s">
        <v>886</v>
      </c>
      <c r="E976" s="522">
        <v>201606</v>
      </c>
      <c r="F976" s="523">
        <v>23593.360000000001</v>
      </c>
      <c r="G976" s="521">
        <v>10.5</v>
      </c>
      <c r="H976" s="524">
        <v>1.3083000000000001E-3</v>
      </c>
      <c r="I976" s="523">
        <v>324.11</v>
      </c>
      <c r="J976" s="448">
        <v>370.41</v>
      </c>
      <c r="N976" s="590"/>
      <c r="O976" s="590"/>
      <c r="R976" s="440"/>
    </row>
    <row r="977" spans="1:18" s="559" customFormat="1">
      <c r="A977" s="521" t="s">
        <v>318</v>
      </c>
      <c r="B977" s="522" t="s">
        <v>887</v>
      </c>
      <c r="C977" s="423" t="s">
        <v>330</v>
      </c>
      <c r="D977" s="521" t="s">
        <v>888</v>
      </c>
      <c r="E977" s="522">
        <v>201606</v>
      </c>
      <c r="F977" s="523">
        <v>619.13</v>
      </c>
      <c r="G977" s="521">
        <v>10.5</v>
      </c>
      <c r="H977" s="524">
        <v>1.3083000000000001E-3</v>
      </c>
      <c r="I977" s="523">
        <v>8.51</v>
      </c>
      <c r="J977" s="448">
        <v>9.7200000000000006</v>
      </c>
      <c r="N977" s="590"/>
      <c r="O977" s="590"/>
      <c r="R977" s="440"/>
    </row>
    <row r="978" spans="1:18" s="559" customFormat="1">
      <c r="A978" s="521" t="s">
        <v>318</v>
      </c>
      <c r="B978" s="522" t="s">
        <v>887</v>
      </c>
      <c r="C978" s="423" t="s">
        <v>330</v>
      </c>
      <c r="D978" s="521" t="s">
        <v>888</v>
      </c>
      <c r="E978" s="522">
        <v>201606</v>
      </c>
      <c r="F978" s="523">
        <v>13535.46</v>
      </c>
      <c r="G978" s="521">
        <v>10.5</v>
      </c>
      <c r="H978" s="524">
        <v>1.3083000000000001E-3</v>
      </c>
      <c r="I978" s="523">
        <v>185.94</v>
      </c>
      <c r="J978" s="448">
        <v>212.5</v>
      </c>
      <c r="N978" s="590"/>
      <c r="O978" s="590"/>
      <c r="R978" s="440"/>
    </row>
    <row r="979" spans="1:18" s="559" customFormat="1">
      <c r="A979" s="521" t="s">
        <v>322</v>
      </c>
      <c r="B979" s="522" t="s">
        <v>836</v>
      </c>
      <c r="C979" s="423" t="s">
        <v>330</v>
      </c>
      <c r="D979" s="521" t="s">
        <v>837</v>
      </c>
      <c r="E979" s="522">
        <v>201606</v>
      </c>
      <c r="F979" s="523">
        <v>5562.78</v>
      </c>
      <c r="G979" s="521">
        <v>10.5</v>
      </c>
      <c r="H979" s="524">
        <v>1.1999999999999999E-3</v>
      </c>
      <c r="I979" s="523">
        <v>70.09</v>
      </c>
      <c r="J979" s="448">
        <v>80.099999999999994</v>
      </c>
      <c r="N979" s="590"/>
      <c r="O979" s="590"/>
      <c r="R979" s="440"/>
    </row>
    <row r="980" spans="1:18" s="559" customFormat="1">
      <c r="A980" s="521" t="s">
        <v>318</v>
      </c>
      <c r="B980" s="522" t="s">
        <v>889</v>
      </c>
      <c r="C980" s="423" t="s">
        <v>414</v>
      </c>
      <c r="D980" s="521" t="s">
        <v>890</v>
      </c>
      <c r="E980" s="522">
        <v>201606</v>
      </c>
      <c r="F980" s="523">
        <v>683.22</v>
      </c>
      <c r="G980" s="521">
        <v>10.5</v>
      </c>
      <c r="H980" s="524">
        <v>1.3083000000000001E-3</v>
      </c>
      <c r="I980" s="523">
        <v>9.39</v>
      </c>
      <c r="J980" s="448">
        <v>10.73</v>
      </c>
      <c r="N980" s="590"/>
      <c r="O980" s="590"/>
      <c r="R980" s="440"/>
    </row>
    <row r="981" spans="1:18">
      <c r="A981" s="332" t="s">
        <v>318</v>
      </c>
      <c r="B981" s="333" t="s">
        <v>889</v>
      </c>
      <c r="C981" s="423" t="s">
        <v>414</v>
      </c>
      <c r="D981" s="332" t="s">
        <v>890</v>
      </c>
      <c r="E981" s="333">
        <v>201606</v>
      </c>
      <c r="F981" s="334">
        <v>18113.91</v>
      </c>
      <c r="G981" s="332">
        <v>10.5</v>
      </c>
      <c r="H981" s="336">
        <v>1.3083000000000001E-3</v>
      </c>
      <c r="I981" s="334">
        <v>248.83</v>
      </c>
      <c r="J981" s="393">
        <v>284.38</v>
      </c>
      <c r="N981" s="126"/>
      <c r="O981" s="126"/>
      <c r="R981" s="121"/>
    </row>
    <row r="982" spans="1:18">
      <c r="A982" s="332" t="s">
        <v>318</v>
      </c>
      <c r="B982" s="333" t="s">
        <v>627</v>
      </c>
      <c r="C982" s="423" t="s">
        <v>330</v>
      </c>
      <c r="D982" s="332" t="s">
        <v>628</v>
      </c>
      <c r="E982" s="333">
        <v>201607</v>
      </c>
      <c r="F982" s="334">
        <v>333.09</v>
      </c>
      <c r="G982" s="332">
        <v>9.5</v>
      </c>
      <c r="H982" s="336">
        <v>1.3083000000000001E-3</v>
      </c>
      <c r="I982" s="334">
        <v>4.1399999999999997</v>
      </c>
      <c r="J982" s="393">
        <v>5.23</v>
      </c>
      <c r="N982" s="126"/>
      <c r="O982" s="126"/>
      <c r="R982" s="121"/>
    </row>
    <row r="983" spans="1:18">
      <c r="A983" s="332" t="s">
        <v>318</v>
      </c>
      <c r="B983" s="333" t="s">
        <v>320</v>
      </c>
      <c r="C983" s="423" t="s">
        <v>319</v>
      </c>
      <c r="D983" s="332" t="s">
        <v>321</v>
      </c>
      <c r="E983" s="333">
        <v>201607</v>
      </c>
      <c r="F983" s="334">
        <v>215.65</v>
      </c>
      <c r="G983" s="332">
        <v>9.5</v>
      </c>
      <c r="H983" s="336">
        <v>1.3083000000000001E-3</v>
      </c>
      <c r="I983" s="334">
        <v>2.68</v>
      </c>
      <c r="J983" s="393">
        <v>3.39</v>
      </c>
      <c r="N983" s="126"/>
      <c r="O983" s="126"/>
      <c r="R983" s="121"/>
    </row>
    <row r="984" spans="1:18" ht="15">
      <c r="A984" s="332" t="s">
        <v>318</v>
      </c>
      <c r="B984" s="333" t="s">
        <v>323</v>
      </c>
      <c r="C984" s="424" t="s">
        <v>319</v>
      </c>
      <c r="D984" s="332" t="s">
        <v>324</v>
      </c>
      <c r="E984" s="333">
        <v>201607</v>
      </c>
      <c r="F984" s="334">
        <v>24809.46</v>
      </c>
      <c r="G984" s="332">
        <v>9.5</v>
      </c>
      <c r="H984" s="336">
        <v>1.3083000000000001E-3</v>
      </c>
      <c r="I984" s="334">
        <v>308.35000000000002</v>
      </c>
      <c r="J984" s="393">
        <v>389.5</v>
      </c>
      <c r="N984" s="126"/>
      <c r="O984" s="126"/>
      <c r="R984" s="121"/>
    </row>
    <row r="985" spans="1:18" ht="15">
      <c r="A985" s="332" t="s">
        <v>322</v>
      </c>
      <c r="B985" s="333" t="s">
        <v>325</v>
      </c>
      <c r="C985" s="424" t="s">
        <v>319</v>
      </c>
      <c r="D985" s="332" t="s">
        <v>326</v>
      </c>
      <c r="E985" s="333">
        <v>201607</v>
      </c>
      <c r="F985" s="334">
        <v>3428.06</v>
      </c>
      <c r="G985" s="332">
        <v>9.5</v>
      </c>
      <c r="H985" s="336">
        <v>1.1999999999999999E-3</v>
      </c>
      <c r="I985" s="334">
        <v>39.08</v>
      </c>
      <c r="J985" s="393">
        <v>49.36</v>
      </c>
      <c r="N985" s="126"/>
      <c r="O985" s="126"/>
      <c r="R985" s="121"/>
    </row>
    <row r="986" spans="1:18" ht="15">
      <c r="A986" s="332" t="s">
        <v>318</v>
      </c>
      <c r="B986" s="333" t="s">
        <v>327</v>
      </c>
      <c r="C986" s="424" t="s">
        <v>319</v>
      </c>
      <c r="D986" s="332" t="s">
        <v>328</v>
      </c>
      <c r="E986" s="333">
        <v>201607</v>
      </c>
      <c r="F986" s="334">
        <v>50714.7</v>
      </c>
      <c r="G986" s="332">
        <v>9.5</v>
      </c>
      <c r="H986" s="336">
        <v>1.3083000000000001E-3</v>
      </c>
      <c r="I986" s="334">
        <v>630.33000000000004</v>
      </c>
      <c r="J986" s="393">
        <v>796.2</v>
      </c>
      <c r="N986" s="126"/>
      <c r="O986" s="126"/>
      <c r="R986" s="121"/>
    </row>
    <row r="987" spans="1:18" ht="15">
      <c r="A987" s="332" t="s">
        <v>318</v>
      </c>
      <c r="B987" s="333" t="s">
        <v>546</v>
      </c>
      <c r="C987" s="424" t="s">
        <v>330</v>
      </c>
      <c r="D987" s="332" t="s">
        <v>547</v>
      </c>
      <c r="E987" s="333">
        <v>201607</v>
      </c>
      <c r="F987" s="334">
        <v>-1.07</v>
      </c>
      <c r="G987" s="332">
        <v>9.5</v>
      </c>
      <c r="H987" s="336">
        <v>1.3083000000000001E-3</v>
      </c>
      <c r="I987" s="334">
        <v>-0.01</v>
      </c>
      <c r="J987" s="393">
        <v>-0.02</v>
      </c>
      <c r="N987" s="126"/>
      <c r="O987" s="126"/>
      <c r="R987" s="121"/>
    </row>
    <row r="988" spans="1:18">
      <c r="A988" s="332" t="s">
        <v>318</v>
      </c>
      <c r="B988" s="333" t="s">
        <v>546</v>
      </c>
      <c r="C988" s="423" t="s">
        <v>330</v>
      </c>
      <c r="D988" s="332" t="s">
        <v>547</v>
      </c>
      <c r="E988" s="333">
        <v>201607</v>
      </c>
      <c r="F988" s="334">
        <v>-0.03</v>
      </c>
      <c r="G988" s="332">
        <v>9.5</v>
      </c>
      <c r="H988" s="336">
        <v>1.3083000000000001E-3</v>
      </c>
      <c r="I988" s="334">
        <v>0</v>
      </c>
      <c r="J988" s="393">
        <v>0</v>
      </c>
      <c r="N988" s="126"/>
      <c r="O988" s="126"/>
      <c r="R988" s="121"/>
    </row>
    <row r="989" spans="1:18">
      <c r="A989" s="332" t="s">
        <v>318</v>
      </c>
      <c r="B989" s="333" t="s">
        <v>589</v>
      </c>
      <c r="C989" s="423" t="s">
        <v>330</v>
      </c>
      <c r="D989" s="332" t="s">
        <v>590</v>
      </c>
      <c r="E989" s="333">
        <v>201607</v>
      </c>
      <c r="F989" s="334">
        <v>1.56</v>
      </c>
      <c r="G989" s="332">
        <v>9.5</v>
      </c>
      <c r="H989" s="336">
        <v>1.3083000000000001E-3</v>
      </c>
      <c r="I989" s="334">
        <v>0.02</v>
      </c>
      <c r="J989" s="393">
        <v>0.02</v>
      </c>
      <c r="N989" s="126"/>
      <c r="O989" s="126"/>
      <c r="R989" s="121"/>
    </row>
    <row r="990" spans="1:18">
      <c r="A990" s="332" t="s">
        <v>318</v>
      </c>
      <c r="B990" s="333" t="s">
        <v>589</v>
      </c>
      <c r="C990" s="423" t="s">
        <v>330</v>
      </c>
      <c r="D990" s="332" t="s">
        <v>590</v>
      </c>
      <c r="E990" s="333">
        <v>201607</v>
      </c>
      <c r="F990" s="334">
        <v>50.59</v>
      </c>
      <c r="G990" s="332">
        <v>9.5</v>
      </c>
      <c r="H990" s="336">
        <v>1.3083000000000001E-3</v>
      </c>
      <c r="I990" s="334">
        <v>0.63</v>
      </c>
      <c r="J990" s="393">
        <v>0.79</v>
      </c>
      <c r="N990" s="126"/>
      <c r="O990" s="126"/>
      <c r="R990" s="121"/>
    </row>
    <row r="991" spans="1:18">
      <c r="A991" s="332" t="s">
        <v>322</v>
      </c>
      <c r="B991" s="333" t="s">
        <v>643</v>
      </c>
      <c r="C991" s="423" t="s">
        <v>330</v>
      </c>
      <c r="D991" s="332" t="s">
        <v>644</v>
      </c>
      <c r="E991" s="333">
        <v>201607</v>
      </c>
      <c r="F991" s="334">
        <v>39.729999999999997</v>
      </c>
      <c r="G991" s="332">
        <v>9.5</v>
      </c>
      <c r="H991" s="336">
        <v>1.1999999999999999E-3</v>
      </c>
      <c r="I991" s="334">
        <v>0.45</v>
      </c>
      <c r="J991" s="393">
        <v>0.56999999999999995</v>
      </c>
      <c r="N991" s="126"/>
      <c r="O991" s="126"/>
      <c r="R991" s="121"/>
    </row>
    <row r="992" spans="1:18">
      <c r="A992" s="332" t="s">
        <v>318</v>
      </c>
      <c r="B992" s="333" t="s">
        <v>643</v>
      </c>
      <c r="C992" s="423" t="s">
        <v>330</v>
      </c>
      <c r="D992" s="332" t="s">
        <v>644</v>
      </c>
      <c r="E992" s="333">
        <v>201607</v>
      </c>
      <c r="F992" s="334">
        <v>190.94</v>
      </c>
      <c r="G992" s="332">
        <v>9.5</v>
      </c>
      <c r="H992" s="336">
        <v>1.3083000000000001E-3</v>
      </c>
      <c r="I992" s="334">
        <v>2.37</v>
      </c>
      <c r="J992" s="393">
        <v>3</v>
      </c>
      <c r="N992" s="126"/>
      <c r="O992" s="126"/>
      <c r="R992" s="121"/>
    </row>
    <row r="993" spans="1:18">
      <c r="A993" s="332" t="s">
        <v>318</v>
      </c>
      <c r="B993" s="333" t="s">
        <v>643</v>
      </c>
      <c r="C993" s="423" t="s">
        <v>330</v>
      </c>
      <c r="D993" s="332" t="s">
        <v>644</v>
      </c>
      <c r="E993" s="333">
        <v>201607</v>
      </c>
      <c r="F993" s="334">
        <v>2729.26</v>
      </c>
      <c r="G993" s="332">
        <v>9.5</v>
      </c>
      <c r="H993" s="336">
        <v>1.3083000000000001E-3</v>
      </c>
      <c r="I993" s="334">
        <v>33.92</v>
      </c>
      <c r="J993" s="393">
        <v>42.85</v>
      </c>
      <c r="N993" s="126"/>
      <c r="O993" s="126"/>
      <c r="R993" s="121"/>
    </row>
    <row r="994" spans="1:18">
      <c r="A994" s="332" t="s">
        <v>322</v>
      </c>
      <c r="B994" s="333" t="s">
        <v>856</v>
      </c>
      <c r="C994" s="423" t="s">
        <v>330</v>
      </c>
      <c r="D994" s="332" t="s">
        <v>857</v>
      </c>
      <c r="E994" s="333">
        <v>201607</v>
      </c>
      <c r="F994" s="334">
        <v>292.45</v>
      </c>
      <c r="G994" s="332">
        <v>9.5</v>
      </c>
      <c r="H994" s="336">
        <v>1.1999999999999999E-3</v>
      </c>
      <c r="I994" s="334">
        <v>3.33</v>
      </c>
      <c r="J994" s="393">
        <v>4.21</v>
      </c>
      <c r="N994" s="126"/>
      <c r="O994" s="126"/>
      <c r="R994" s="121"/>
    </row>
    <row r="995" spans="1:18">
      <c r="A995" s="332" t="s">
        <v>318</v>
      </c>
      <c r="B995" s="333" t="s">
        <v>856</v>
      </c>
      <c r="C995" s="423" t="s">
        <v>330</v>
      </c>
      <c r="D995" s="332" t="s">
        <v>857</v>
      </c>
      <c r="E995" s="333">
        <v>201607</v>
      </c>
      <c r="F995" s="334">
        <v>1369.79</v>
      </c>
      <c r="G995" s="332">
        <v>9.5</v>
      </c>
      <c r="H995" s="336">
        <v>1.3083000000000001E-3</v>
      </c>
      <c r="I995" s="334">
        <v>17.02</v>
      </c>
      <c r="J995" s="393">
        <v>21.51</v>
      </c>
      <c r="N995" s="126"/>
      <c r="O995" s="126"/>
      <c r="R995" s="121"/>
    </row>
    <row r="996" spans="1:18" ht="15">
      <c r="A996" s="332" t="s">
        <v>318</v>
      </c>
      <c r="B996" s="333" t="s">
        <v>856</v>
      </c>
      <c r="C996" s="424" t="s">
        <v>330</v>
      </c>
      <c r="D996" s="332" t="s">
        <v>857</v>
      </c>
      <c r="E996" s="333">
        <v>201607</v>
      </c>
      <c r="F996" s="334">
        <v>31990.63</v>
      </c>
      <c r="G996" s="332">
        <v>9.5</v>
      </c>
      <c r="H996" s="336">
        <v>1.3083000000000001E-3</v>
      </c>
      <c r="I996" s="334">
        <v>397.61</v>
      </c>
      <c r="J996" s="393">
        <v>502.24</v>
      </c>
      <c r="N996" s="126"/>
      <c r="O996" s="126"/>
      <c r="R996" s="121"/>
    </row>
    <row r="997" spans="1:18" ht="15">
      <c r="A997" s="332" t="s">
        <v>318</v>
      </c>
      <c r="B997" s="333" t="s">
        <v>800</v>
      </c>
      <c r="C997" s="424" t="s">
        <v>330</v>
      </c>
      <c r="D997" s="332" t="s">
        <v>830</v>
      </c>
      <c r="E997" s="333">
        <v>201607</v>
      </c>
      <c r="F997" s="334">
        <v>350.58</v>
      </c>
      <c r="G997" s="332">
        <v>9.5</v>
      </c>
      <c r="H997" s="336">
        <v>1.3083000000000001E-3</v>
      </c>
      <c r="I997" s="334">
        <v>4.3600000000000003</v>
      </c>
      <c r="J997" s="393">
        <v>5.5</v>
      </c>
      <c r="N997" s="126"/>
      <c r="O997" s="126"/>
      <c r="R997" s="121"/>
    </row>
    <row r="998" spans="1:18" ht="15">
      <c r="A998" s="332" t="s">
        <v>318</v>
      </c>
      <c r="B998" s="333" t="s">
        <v>800</v>
      </c>
      <c r="C998" s="424" t="s">
        <v>330</v>
      </c>
      <c r="D998" s="332" t="s">
        <v>830</v>
      </c>
      <c r="E998" s="333">
        <v>201607</v>
      </c>
      <c r="F998" s="334">
        <v>6254.53</v>
      </c>
      <c r="G998" s="332">
        <v>9.5</v>
      </c>
      <c r="H998" s="336">
        <v>1.3083000000000001E-3</v>
      </c>
      <c r="I998" s="334">
        <v>77.739999999999995</v>
      </c>
      <c r="J998" s="393">
        <v>98.19</v>
      </c>
      <c r="N998" s="126"/>
      <c r="O998" s="126"/>
      <c r="R998" s="121"/>
    </row>
    <row r="999" spans="1:18">
      <c r="A999" s="332" t="s">
        <v>318</v>
      </c>
      <c r="B999" s="333" t="s">
        <v>451</v>
      </c>
      <c r="C999" s="423" t="s">
        <v>330</v>
      </c>
      <c r="D999" s="332" t="s">
        <v>452</v>
      </c>
      <c r="E999" s="333">
        <v>201607</v>
      </c>
      <c r="F999" s="334">
        <v>7.0000000000000007E-2</v>
      </c>
      <c r="G999" s="332">
        <v>9.5</v>
      </c>
      <c r="H999" s="336">
        <v>1.3083000000000001E-3</v>
      </c>
      <c r="I999" s="334">
        <v>0</v>
      </c>
      <c r="J999" s="393">
        <v>0</v>
      </c>
      <c r="N999" s="126"/>
      <c r="O999" s="126"/>
      <c r="R999" s="121"/>
    </row>
    <row r="1000" spans="1:18">
      <c r="A1000" s="332" t="s">
        <v>318</v>
      </c>
      <c r="B1000" s="333" t="s">
        <v>451</v>
      </c>
      <c r="C1000" s="423" t="s">
        <v>330</v>
      </c>
      <c r="D1000" s="332" t="s">
        <v>452</v>
      </c>
      <c r="E1000" s="333">
        <v>201607</v>
      </c>
      <c r="F1000" s="334">
        <v>2.3199999999999998</v>
      </c>
      <c r="G1000" s="332">
        <v>9.5</v>
      </c>
      <c r="H1000" s="336">
        <v>1.3083000000000001E-3</v>
      </c>
      <c r="I1000" s="334">
        <v>0.03</v>
      </c>
      <c r="J1000" s="393">
        <v>0.04</v>
      </c>
      <c r="N1000" s="126"/>
      <c r="O1000" s="126"/>
      <c r="R1000" s="121"/>
    </row>
    <row r="1001" spans="1:18">
      <c r="A1001" s="332" t="s">
        <v>318</v>
      </c>
      <c r="B1001" s="333" t="s">
        <v>645</v>
      </c>
      <c r="C1001" s="423" t="s">
        <v>330</v>
      </c>
      <c r="D1001" s="332" t="s">
        <v>646</v>
      </c>
      <c r="E1001" s="333">
        <v>201607</v>
      </c>
      <c r="F1001" s="334">
        <v>-2.23</v>
      </c>
      <c r="G1001" s="332">
        <v>9.5</v>
      </c>
      <c r="H1001" s="336">
        <v>1.3083000000000001E-3</v>
      </c>
      <c r="I1001" s="334">
        <v>-0.03</v>
      </c>
      <c r="J1001" s="393">
        <v>-0.04</v>
      </c>
      <c r="N1001" s="126"/>
      <c r="O1001" s="126"/>
      <c r="R1001" s="121"/>
    </row>
    <row r="1002" spans="1:18">
      <c r="A1002" s="332" t="s">
        <v>318</v>
      </c>
      <c r="B1002" s="333" t="s">
        <v>645</v>
      </c>
      <c r="C1002" s="423" t="s">
        <v>330</v>
      </c>
      <c r="D1002" s="332" t="s">
        <v>646</v>
      </c>
      <c r="E1002" s="333">
        <v>201607</v>
      </c>
      <c r="F1002" s="334">
        <v>-0.09</v>
      </c>
      <c r="G1002" s="332">
        <v>9.5</v>
      </c>
      <c r="H1002" s="336">
        <v>1.3083000000000001E-3</v>
      </c>
      <c r="I1002" s="334">
        <v>0</v>
      </c>
      <c r="J1002" s="393">
        <v>0</v>
      </c>
      <c r="N1002" s="126"/>
      <c r="O1002" s="126"/>
      <c r="R1002" s="121"/>
    </row>
    <row r="1003" spans="1:18" ht="15">
      <c r="A1003" s="332" t="s">
        <v>318</v>
      </c>
      <c r="B1003" s="333" t="s">
        <v>647</v>
      </c>
      <c r="C1003" s="424" t="s">
        <v>330</v>
      </c>
      <c r="D1003" s="332" t="s">
        <v>648</v>
      </c>
      <c r="E1003" s="333">
        <v>201607</v>
      </c>
      <c r="F1003" s="334">
        <v>0.37</v>
      </c>
      <c r="G1003" s="332">
        <v>9.5</v>
      </c>
      <c r="H1003" s="336">
        <v>1.3083000000000001E-3</v>
      </c>
      <c r="I1003" s="334">
        <v>0</v>
      </c>
      <c r="J1003" s="393">
        <v>0.01</v>
      </c>
      <c r="N1003" s="126"/>
      <c r="O1003" s="126"/>
      <c r="R1003" s="121"/>
    </row>
    <row r="1004" spans="1:18" ht="15">
      <c r="A1004" s="332" t="s">
        <v>318</v>
      </c>
      <c r="B1004" s="333" t="s">
        <v>647</v>
      </c>
      <c r="C1004" s="424" t="s">
        <v>330</v>
      </c>
      <c r="D1004" s="332" t="s">
        <v>648</v>
      </c>
      <c r="E1004" s="333">
        <v>201607</v>
      </c>
      <c r="F1004" s="334">
        <v>78.16</v>
      </c>
      <c r="G1004" s="332">
        <v>9.5</v>
      </c>
      <c r="H1004" s="336">
        <v>1.3083000000000001E-3</v>
      </c>
      <c r="I1004" s="334">
        <v>0.97</v>
      </c>
      <c r="J1004" s="393">
        <v>1.23</v>
      </c>
      <c r="N1004" s="126"/>
      <c r="O1004" s="126"/>
      <c r="R1004" s="121"/>
    </row>
    <row r="1005" spans="1:18" ht="15">
      <c r="A1005" s="332" t="s">
        <v>318</v>
      </c>
      <c r="B1005" s="333" t="s">
        <v>784</v>
      </c>
      <c r="C1005" s="424" t="s">
        <v>330</v>
      </c>
      <c r="D1005" s="332" t="s">
        <v>785</v>
      </c>
      <c r="E1005" s="333">
        <v>201607</v>
      </c>
      <c r="F1005" s="334">
        <v>35.25</v>
      </c>
      <c r="G1005" s="332">
        <v>9.5</v>
      </c>
      <c r="H1005" s="336">
        <v>1.3083000000000001E-3</v>
      </c>
      <c r="I1005" s="334">
        <v>0.44</v>
      </c>
      <c r="J1005" s="393">
        <v>0.55000000000000004</v>
      </c>
      <c r="N1005" s="126"/>
      <c r="O1005" s="126"/>
      <c r="R1005" s="121"/>
    </row>
    <row r="1006" spans="1:18">
      <c r="A1006" s="332" t="s">
        <v>318</v>
      </c>
      <c r="B1006" s="333" t="s">
        <v>784</v>
      </c>
      <c r="C1006" s="423" t="s">
        <v>330</v>
      </c>
      <c r="D1006" s="332" t="s">
        <v>785</v>
      </c>
      <c r="E1006" s="333">
        <v>201607</v>
      </c>
      <c r="F1006" s="334">
        <v>5598.17</v>
      </c>
      <c r="G1006" s="332">
        <v>9.5</v>
      </c>
      <c r="H1006" s="336">
        <v>1.3083000000000001E-3</v>
      </c>
      <c r="I1006" s="334">
        <v>69.58</v>
      </c>
      <c r="J1006" s="393">
        <v>87.89</v>
      </c>
      <c r="N1006" s="126"/>
      <c r="O1006" s="126"/>
      <c r="R1006" s="121"/>
    </row>
    <row r="1007" spans="1:18">
      <c r="A1007" s="332" t="s">
        <v>318</v>
      </c>
      <c r="B1007" s="333" t="s">
        <v>629</v>
      </c>
      <c r="C1007" s="423" t="s">
        <v>330</v>
      </c>
      <c r="D1007" s="332" t="s">
        <v>630</v>
      </c>
      <c r="E1007" s="333">
        <v>201607</v>
      </c>
      <c r="F1007" s="334">
        <v>0.11</v>
      </c>
      <c r="G1007" s="332">
        <v>9.5</v>
      </c>
      <c r="H1007" s="336">
        <v>1.3083000000000001E-3</v>
      </c>
      <c r="I1007" s="334">
        <v>0</v>
      </c>
      <c r="J1007" s="393">
        <v>0</v>
      </c>
      <c r="N1007" s="126"/>
      <c r="O1007" s="126"/>
      <c r="R1007" s="121"/>
    </row>
    <row r="1008" spans="1:18" ht="15">
      <c r="A1008" s="332" t="s">
        <v>318</v>
      </c>
      <c r="B1008" s="333" t="s">
        <v>629</v>
      </c>
      <c r="C1008" s="424" t="s">
        <v>330</v>
      </c>
      <c r="D1008" s="332" t="s">
        <v>630</v>
      </c>
      <c r="E1008" s="333">
        <v>201607</v>
      </c>
      <c r="F1008" s="334">
        <v>4.03</v>
      </c>
      <c r="G1008" s="332">
        <v>9.5</v>
      </c>
      <c r="H1008" s="336">
        <v>1.3083000000000001E-3</v>
      </c>
      <c r="I1008" s="334">
        <v>0.05</v>
      </c>
      <c r="J1008" s="393">
        <v>0.06</v>
      </c>
      <c r="N1008" s="126"/>
      <c r="O1008" s="126"/>
      <c r="R1008" s="121"/>
    </row>
    <row r="1009" spans="1:18" ht="15">
      <c r="A1009" s="332" t="s">
        <v>318</v>
      </c>
      <c r="B1009" s="333" t="s">
        <v>592</v>
      </c>
      <c r="C1009" s="424" t="s">
        <v>329</v>
      </c>
      <c r="D1009" s="332" t="s">
        <v>593</v>
      </c>
      <c r="E1009" s="333">
        <v>201607</v>
      </c>
      <c r="F1009" s="334">
        <v>-0.95</v>
      </c>
      <c r="G1009" s="332">
        <v>9.5</v>
      </c>
      <c r="H1009" s="336">
        <v>1.3083000000000001E-3</v>
      </c>
      <c r="I1009" s="334">
        <v>-0.01</v>
      </c>
      <c r="J1009" s="393">
        <v>-0.01</v>
      </c>
      <c r="N1009" s="126"/>
      <c r="O1009" s="126"/>
      <c r="R1009" s="121"/>
    </row>
    <row r="1010" spans="1:18">
      <c r="A1010" s="332" t="s">
        <v>318</v>
      </c>
      <c r="B1010" s="333" t="s">
        <v>592</v>
      </c>
      <c r="C1010" s="423" t="s">
        <v>329</v>
      </c>
      <c r="D1010" s="332" t="s">
        <v>593</v>
      </c>
      <c r="E1010" s="333">
        <v>201607</v>
      </c>
      <c r="F1010" s="334">
        <v>-0.1</v>
      </c>
      <c r="G1010" s="332">
        <v>9.5</v>
      </c>
      <c r="H1010" s="336">
        <v>1.3083000000000001E-3</v>
      </c>
      <c r="I1010" s="334">
        <v>0</v>
      </c>
      <c r="J1010" s="393">
        <v>0</v>
      </c>
      <c r="N1010" s="126"/>
      <c r="O1010" s="126"/>
      <c r="R1010" s="121"/>
    </row>
    <row r="1011" spans="1:18">
      <c r="A1011" s="332" t="s">
        <v>318</v>
      </c>
      <c r="B1011" s="333" t="s">
        <v>631</v>
      </c>
      <c r="C1011" s="423" t="s">
        <v>330</v>
      </c>
      <c r="D1011" s="332" t="s">
        <v>632</v>
      </c>
      <c r="E1011" s="333">
        <v>201607</v>
      </c>
      <c r="F1011" s="334">
        <v>470.37</v>
      </c>
      <c r="G1011" s="332">
        <v>9.5</v>
      </c>
      <c r="H1011" s="336">
        <v>1.3083000000000001E-3</v>
      </c>
      <c r="I1011" s="334">
        <v>5.85</v>
      </c>
      <c r="J1011" s="393">
        <v>7.38</v>
      </c>
      <c r="N1011" s="126"/>
      <c r="O1011" s="126"/>
      <c r="R1011" s="121"/>
    </row>
    <row r="1012" spans="1:18" ht="15">
      <c r="A1012" s="332" t="s">
        <v>318</v>
      </c>
      <c r="B1012" s="333" t="s">
        <v>631</v>
      </c>
      <c r="C1012" s="424" t="s">
        <v>330</v>
      </c>
      <c r="D1012" s="332" t="s">
        <v>632</v>
      </c>
      <c r="E1012" s="333">
        <v>201607</v>
      </c>
      <c r="F1012" s="334">
        <v>25952.21</v>
      </c>
      <c r="G1012" s="332">
        <v>9.5</v>
      </c>
      <c r="H1012" s="336">
        <v>1.3083000000000001E-3</v>
      </c>
      <c r="I1012" s="334">
        <v>322.56</v>
      </c>
      <c r="J1012" s="393">
        <v>407.44</v>
      </c>
      <c r="N1012" s="126"/>
      <c r="O1012" s="126"/>
      <c r="R1012" s="121"/>
    </row>
    <row r="1013" spans="1:18" ht="15">
      <c r="A1013" s="332" t="s">
        <v>318</v>
      </c>
      <c r="B1013" s="333" t="s">
        <v>649</v>
      </c>
      <c r="C1013" s="424" t="s">
        <v>330</v>
      </c>
      <c r="D1013" s="332" t="s">
        <v>650</v>
      </c>
      <c r="E1013" s="333">
        <v>201607</v>
      </c>
      <c r="F1013" s="334">
        <v>675.06</v>
      </c>
      <c r="G1013" s="332">
        <v>9.5</v>
      </c>
      <c r="H1013" s="336">
        <v>1.3083000000000001E-3</v>
      </c>
      <c r="I1013" s="334">
        <v>8.39</v>
      </c>
      <c r="J1013" s="393">
        <v>10.6</v>
      </c>
      <c r="N1013" s="126"/>
      <c r="O1013" s="126"/>
      <c r="R1013" s="121"/>
    </row>
    <row r="1014" spans="1:18">
      <c r="A1014" s="332" t="s">
        <v>318</v>
      </c>
      <c r="B1014" s="333" t="s">
        <v>649</v>
      </c>
      <c r="C1014" s="423" t="s">
        <v>330</v>
      </c>
      <c r="D1014" s="332" t="s">
        <v>650</v>
      </c>
      <c r="E1014" s="333">
        <v>201607</v>
      </c>
      <c r="F1014" s="334">
        <v>9200.09</v>
      </c>
      <c r="G1014" s="332">
        <v>9.5</v>
      </c>
      <c r="H1014" s="336">
        <v>1.3083000000000001E-3</v>
      </c>
      <c r="I1014" s="334">
        <v>114.35</v>
      </c>
      <c r="J1014" s="393">
        <v>144.44</v>
      </c>
      <c r="N1014" s="126"/>
      <c r="O1014" s="126"/>
      <c r="R1014" s="121"/>
    </row>
    <row r="1015" spans="1:18">
      <c r="A1015" s="332" t="s">
        <v>318</v>
      </c>
      <c r="B1015" s="333" t="s">
        <v>838</v>
      </c>
      <c r="C1015" s="423" t="s">
        <v>330</v>
      </c>
      <c r="D1015" s="332" t="s">
        <v>839</v>
      </c>
      <c r="E1015" s="333">
        <v>201607</v>
      </c>
      <c r="F1015" s="334">
        <v>425.98</v>
      </c>
      <c r="G1015" s="332">
        <v>9.5</v>
      </c>
      <c r="H1015" s="336">
        <v>1.3083000000000001E-3</v>
      </c>
      <c r="I1015" s="334">
        <v>5.29</v>
      </c>
      <c r="J1015" s="393">
        <v>6.69</v>
      </c>
      <c r="N1015" s="126"/>
      <c r="O1015" s="126"/>
      <c r="R1015" s="121"/>
    </row>
    <row r="1016" spans="1:18" ht="15">
      <c r="A1016" s="332" t="s">
        <v>318</v>
      </c>
      <c r="B1016" s="333" t="s">
        <v>838</v>
      </c>
      <c r="C1016" s="424" t="s">
        <v>330</v>
      </c>
      <c r="D1016" s="332" t="s">
        <v>839</v>
      </c>
      <c r="E1016" s="333">
        <v>201607</v>
      </c>
      <c r="F1016" s="334">
        <v>20490.63</v>
      </c>
      <c r="G1016" s="332">
        <v>9.5</v>
      </c>
      <c r="H1016" s="336">
        <v>1.3083000000000001E-3</v>
      </c>
      <c r="I1016" s="334">
        <v>254.67</v>
      </c>
      <c r="J1016" s="393">
        <v>321.69</v>
      </c>
      <c r="N1016" s="126"/>
      <c r="O1016" s="126"/>
      <c r="R1016" s="121"/>
    </row>
    <row r="1017" spans="1:18" ht="15">
      <c r="A1017" s="332" t="s">
        <v>318</v>
      </c>
      <c r="B1017" s="333" t="s">
        <v>651</v>
      </c>
      <c r="C1017" s="424" t="s">
        <v>330</v>
      </c>
      <c r="D1017" s="332" t="s">
        <v>652</v>
      </c>
      <c r="E1017" s="333">
        <v>201607</v>
      </c>
      <c r="F1017" s="334">
        <v>209.22</v>
      </c>
      <c r="G1017" s="332">
        <v>9.5</v>
      </c>
      <c r="H1017" s="336">
        <v>1.3083000000000001E-3</v>
      </c>
      <c r="I1017" s="334">
        <v>2.6</v>
      </c>
      <c r="J1017" s="393">
        <v>3.28</v>
      </c>
      <c r="N1017" s="126"/>
      <c r="O1017" s="126"/>
      <c r="R1017" s="121"/>
    </row>
    <row r="1018" spans="1:18" ht="15">
      <c r="A1018" s="332" t="s">
        <v>318</v>
      </c>
      <c r="B1018" s="333" t="s">
        <v>651</v>
      </c>
      <c r="C1018" s="424" t="s">
        <v>330</v>
      </c>
      <c r="D1018" s="332" t="s">
        <v>652</v>
      </c>
      <c r="E1018" s="333">
        <v>201607</v>
      </c>
      <c r="F1018" s="334">
        <v>5644.68</v>
      </c>
      <c r="G1018" s="332">
        <v>9.5</v>
      </c>
      <c r="H1018" s="336">
        <v>1.3083000000000001E-3</v>
      </c>
      <c r="I1018" s="334">
        <v>70.16</v>
      </c>
      <c r="J1018" s="393">
        <v>88.62</v>
      </c>
      <c r="N1018" s="126"/>
      <c r="O1018" s="126"/>
      <c r="R1018" s="121"/>
    </row>
    <row r="1019" spans="1:18" ht="15">
      <c r="A1019" s="332" t="s">
        <v>318</v>
      </c>
      <c r="B1019" s="333" t="s">
        <v>786</v>
      </c>
      <c r="C1019" s="424" t="s">
        <v>330</v>
      </c>
      <c r="D1019" s="332" t="s">
        <v>787</v>
      </c>
      <c r="E1019" s="333">
        <v>201607</v>
      </c>
      <c r="F1019" s="334">
        <v>53.74</v>
      </c>
      <c r="G1019" s="332">
        <v>9.5</v>
      </c>
      <c r="H1019" s="336">
        <v>1.3083000000000001E-3</v>
      </c>
      <c r="I1019" s="334">
        <v>0.67</v>
      </c>
      <c r="J1019" s="393">
        <v>0.84</v>
      </c>
      <c r="N1019" s="126"/>
      <c r="O1019" s="126"/>
      <c r="R1019" s="121"/>
    </row>
    <row r="1020" spans="1:18" ht="15">
      <c r="A1020" s="332" t="s">
        <v>318</v>
      </c>
      <c r="B1020" s="333" t="s">
        <v>786</v>
      </c>
      <c r="C1020" s="424" t="s">
        <v>330</v>
      </c>
      <c r="D1020" s="332" t="s">
        <v>787</v>
      </c>
      <c r="E1020" s="333">
        <v>201607</v>
      </c>
      <c r="F1020" s="334">
        <v>7817.92</v>
      </c>
      <c r="G1020" s="332">
        <v>9.5</v>
      </c>
      <c r="H1020" s="336">
        <v>1.3083000000000001E-3</v>
      </c>
      <c r="I1020" s="334">
        <v>97.17</v>
      </c>
      <c r="J1020" s="393">
        <v>122.74</v>
      </c>
      <c r="N1020" s="126"/>
      <c r="O1020" s="126"/>
      <c r="R1020" s="121"/>
    </row>
    <row r="1021" spans="1:18" ht="15">
      <c r="A1021" s="332" t="s">
        <v>318</v>
      </c>
      <c r="B1021" s="333" t="s">
        <v>653</v>
      </c>
      <c r="C1021" s="424" t="s">
        <v>330</v>
      </c>
      <c r="D1021" s="332" t="s">
        <v>654</v>
      </c>
      <c r="E1021" s="333">
        <v>201607</v>
      </c>
      <c r="F1021" s="334">
        <v>298.42</v>
      </c>
      <c r="G1021" s="332">
        <v>9.5</v>
      </c>
      <c r="H1021" s="336">
        <v>1.3083000000000001E-3</v>
      </c>
      <c r="I1021" s="334">
        <v>3.71</v>
      </c>
      <c r="J1021" s="393">
        <v>4.6900000000000004</v>
      </c>
      <c r="N1021" s="126"/>
      <c r="O1021" s="126"/>
      <c r="R1021" s="121"/>
    </row>
    <row r="1022" spans="1:18">
      <c r="A1022" s="332" t="s">
        <v>318</v>
      </c>
      <c r="B1022" s="333" t="s">
        <v>653</v>
      </c>
      <c r="C1022" s="423" t="s">
        <v>330</v>
      </c>
      <c r="D1022" s="332" t="s">
        <v>654</v>
      </c>
      <c r="E1022" s="333">
        <v>201607</v>
      </c>
      <c r="F1022" s="334">
        <v>6533.84</v>
      </c>
      <c r="G1022" s="332">
        <v>9.5</v>
      </c>
      <c r="H1022" s="336">
        <v>1.3083000000000001E-3</v>
      </c>
      <c r="I1022" s="334">
        <v>81.209999999999994</v>
      </c>
      <c r="J1022" s="393">
        <v>102.58</v>
      </c>
      <c r="N1022" s="126"/>
      <c r="O1022" s="126"/>
      <c r="R1022" s="121"/>
    </row>
    <row r="1023" spans="1:18">
      <c r="A1023" s="332" t="s">
        <v>318</v>
      </c>
      <c r="B1023" s="333" t="s">
        <v>655</v>
      </c>
      <c r="C1023" s="423" t="s">
        <v>330</v>
      </c>
      <c r="D1023" s="332" t="s">
        <v>656</v>
      </c>
      <c r="E1023" s="333">
        <v>201607</v>
      </c>
      <c r="F1023" s="334">
        <v>0.16</v>
      </c>
      <c r="G1023" s="332">
        <v>9.5</v>
      </c>
      <c r="H1023" s="336">
        <v>1.3083000000000001E-3</v>
      </c>
      <c r="I1023" s="334">
        <v>0</v>
      </c>
      <c r="J1023" s="393">
        <v>0</v>
      </c>
      <c r="N1023" s="126"/>
      <c r="O1023" s="126"/>
      <c r="R1023" s="121"/>
    </row>
    <row r="1024" spans="1:18">
      <c r="A1024" s="332" t="s">
        <v>318</v>
      </c>
      <c r="B1024" s="333" t="s">
        <v>655</v>
      </c>
      <c r="C1024" s="423" t="s">
        <v>330</v>
      </c>
      <c r="D1024" s="332" t="s">
        <v>656</v>
      </c>
      <c r="E1024" s="333">
        <v>201607</v>
      </c>
      <c r="F1024" s="334">
        <v>11.25</v>
      </c>
      <c r="G1024" s="332">
        <v>9.5</v>
      </c>
      <c r="H1024" s="336">
        <v>1.3083000000000001E-3</v>
      </c>
      <c r="I1024" s="334">
        <v>0.14000000000000001</v>
      </c>
      <c r="J1024" s="393">
        <v>0.18</v>
      </c>
      <c r="N1024" s="126"/>
      <c r="O1024" s="126"/>
      <c r="R1024" s="121"/>
    </row>
    <row r="1025" spans="1:18">
      <c r="A1025" s="332" t="s">
        <v>318</v>
      </c>
      <c r="B1025" s="333" t="s">
        <v>594</v>
      </c>
      <c r="C1025" s="423" t="s">
        <v>330</v>
      </c>
      <c r="D1025" s="332" t="s">
        <v>595</v>
      </c>
      <c r="E1025" s="333">
        <v>201607</v>
      </c>
      <c r="F1025" s="334">
        <v>0.03</v>
      </c>
      <c r="G1025" s="332">
        <v>9.5</v>
      </c>
      <c r="H1025" s="336">
        <v>1.3083000000000001E-3</v>
      </c>
      <c r="I1025" s="334">
        <v>0</v>
      </c>
      <c r="J1025" s="393">
        <v>0</v>
      </c>
      <c r="N1025" s="126"/>
      <c r="O1025" s="126"/>
      <c r="R1025" s="121"/>
    </row>
    <row r="1026" spans="1:18">
      <c r="A1026" s="332" t="s">
        <v>318</v>
      </c>
      <c r="B1026" s="333" t="s">
        <v>594</v>
      </c>
      <c r="C1026" s="423" t="s">
        <v>330</v>
      </c>
      <c r="D1026" s="332" t="s">
        <v>595</v>
      </c>
      <c r="E1026" s="333">
        <v>201607</v>
      </c>
      <c r="F1026" s="334">
        <v>1.08</v>
      </c>
      <c r="G1026" s="332">
        <v>9.5</v>
      </c>
      <c r="H1026" s="336">
        <v>1.3083000000000001E-3</v>
      </c>
      <c r="I1026" s="334">
        <v>0.01</v>
      </c>
      <c r="J1026" s="393">
        <v>0.02</v>
      </c>
      <c r="N1026" s="126"/>
      <c r="O1026" s="126"/>
      <c r="R1026" s="121"/>
    </row>
    <row r="1027" spans="1:18">
      <c r="A1027" s="332" t="s">
        <v>318</v>
      </c>
      <c r="B1027" s="333" t="s">
        <v>596</v>
      </c>
      <c r="C1027" s="423" t="s">
        <v>330</v>
      </c>
      <c r="D1027" s="332" t="s">
        <v>597</v>
      </c>
      <c r="E1027" s="333">
        <v>201607</v>
      </c>
      <c r="F1027" s="334">
        <v>0.03</v>
      </c>
      <c r="G1027" s="332">
        <v>9.5</v>
      </c>
      <c r="H1027" s="336">
        <v>1.3083000000000001E-3</v>
      </c>
      <c r="I1027" s="334">
        <v>0</v>
      </c>
      <c r="J1027" s="393">
        <v>0</v>
      </c>
      <c r="N1027" s="126"/>
      <c r="O1027" s="126"/>
      <c r="R1027" s="121"/>
    </row>
    <row r="1028" spans="1:18">
      <c r="A1028" s="332" t="s">
        <v>318</v>
      </c>
      <c r="B1028" s="333" t="s">
        <v>596</v>
      </c>
      <c r="C1028" s="423" t="s">
        <v>330</v>
      </c>
      <c r="D1028" s="332" t="s">
        <v>597</v>
      </c>
      <c r="E1028" s="333">
        <v>201607</v>
      </c>
      <c r="F1028" s="334">
        <v>1.78</v>
      </c>
      <c r="G1028" s="332">
        <v>9.5</v>
      </c>
      <c r="H1028" s="336">
        <v>1.3083000000000001E-3</v>
      </c>
      <c r="I1028" s="334">
        <v>0.02</v>
      </c>
      <c r="J1028" s="393">
        <v>0.03</v>
      </c>
      <c r="N1028" s="126"/>
      <c r="O1028" s="126"/>
      <c r="R1028" s="121"/>
    </row>
    <row r="1029" spans="1:18">
      <c r="A1029" s="332" t="s">
        <v>318</v>
      </c>
      <c r="B1029" s="333" t="s">
        <v>657</v>
      </c>
      <c r="C1029" s="423" t="s">
        <v>330</v>
      </c>
      <c r="D1029" s="332" t="s">
        <v>658</v>
      </c>
      <c r="E1029" s="333">
        <v>201607</v>
      </c>
      <c r="F1029" s="334">
        <v>-18.34</v>
      </c>
      <c r="G1029" s="332">
        <v>9.5</v>
      </c>
      <c r="H1029" s="336">
        <v>1.3083000000000001E-3</v>
      </c>
      <c r="I1029" s="334">
        <v>-0.23</v>
      </c>
      <c r="J1029" s="393">
        <v>-0.28999999999999998</v>
      </c>
      <c r="N1029" s="126"/>
      <c r="O1029" s="126"/>
      <c r="R1029" s="121"/>
    </row>
    <row r="1030" spans="1:18">
      <c r="A1030" s="332" t="s">
        <v>318</v>
      </c>
      <c r="B1030" s="333" t="s">
        <v>657</v>
      </c>
      <c r="C1030" s="423" t="s">
        <v>330</v>
      </c>
      <c r="D1030" s="332" t="s">
        <v>658</v>
      </c>
      <c r="E1030" s="333">
        <v>201607</v>
      </c>
      <c r="F1030" s="334">
        <v>-0.15</v>
      </c>
      <c r="G1030" s="332">
        <v>9.5</v>
      </c>
      <c r="H1030" s="336">
        <v>1.3083000000000001E-3</v>
      </c>
      <c r="I1030" s="334">
        <v>0</v>
      </c>
      <c r="J1030" s="393">
        <v>0</v>
      </c>
      <c r="N1030" s="126"/>
      <c r="O1030" s="126"/>
      <c r="R1030" s="121"/>
    </row>
    <row r="1031" spans="1:18" ht="15">
      <c r="A1031" s="332" t="s">
        <v>318</v>
      </c>
      <c r="B1031" s="333" t="s">
        <v>659</v>
      </c>
      <c r="C1031" s="424" t="s">
        <v>330</v>
      </c>
      <c r="D1031" s="332" t="s">
        <v>660</v>
      </c>
      <c r="E1031" s="333">
        <v>201607</v>
      </c>
      <c r="F1031" s="334">
        <v>-93.56</v>
      </c>
      <c r="G1031" s="332">
        <v>9.5</v>
      </c>
      <c r="H1031" s="336">
        <v>1.3083000000000001E-3</v>
      </c>
      <c r="I1031" s="334">
        <v>-1.1599999999999999</v>
      </c>
      <c r="J1031" s="393">
        <v>-1.47</v>
      </c>
      <c r="N1031" s="126"/>
      <c r="O1031" s="126"/>
      <c r="R1031" s="121"/>
    </row>
    <row r="1032" spans="1:18" ht="15">
      <c r="A1032" s="332" t="s">
        <v>318</v>
      </c>
      <c r="B1032" s="333" t="s">
        <v>659</v>
      </c>
      <c r="C1032" s="424" t="s">
        <v>330</v>
      </c>
      <c r="D1032" s="332" t="s">
        <v>660</v>
      </c>
      <c r="E1032" s="333">
        <v>201607</v>
      </c>
      <c r="F1032" s="334">
        <v>-1.79</v>
      </c>
      <c r="G1032" s="332">
        <v>9.5</v>
      </c>
      <c r="H1032" s="336">
        <v>1.3083000000000001E-3</v>
      </c>
      <c r="I1032" s="334">
        <v>-0.02</v>
      </c>
      <c r="J1032" s="393">
        <v>-0.03</v>
      </c>
      <c r="N1032" s="126"/>
      <c r="O1032" s="126"/>
      <c r="R1032" s="121"/>
    </row>
    <row r="1033" spans="1:18">
      <c r="A1033" s="332" t="s">
        <v>318</v>
      </c>
      <c r="B1033" s="333" t="s">
        <v>661</v>
      </c>
      <c r="C1033" s="423" t="s">
        <v>330</v>
      </c>
      <c r="D1033" s="332" t="s">
        <v>662</v>
      </c>
      <c r="E1033" s="333">
        <v>201607</v>
      </c>
      <c r="F1033" s="334">
        <v>937.99</v>
      </c>
      <c r="G1033" s="332">
        <v>9.5</v>
      </c>
      <c r="H1033" s="336">
        <v>1.3083000000000001E-3</v>
      </c>
      <c r="I1033" s="334">
        <v>11.66</v>
      </c>
      <c r="J1033" s="393">
        <v>14.73</v>
      </c>
      <c r="N1033" s="126"/>
      <c r="O1033" s="126"/>
      <c r="R1033" s="121"/>
    </row>
    <row r="1034" spans="1:18">
      <c r="A1034" s="332" t="s">
        <v>318</v>
      </c>
      <c r="B1034" s="333" t="s">
        <v>661</v>
      </c>
      <c r="C1034" s="423" t="s">
        <v>330</v>
      </c>
      <c r="D1034" s="332" t="s">
        <v>662</v>
      </c>
      <c r="E1034" s="333">
        <v>201607</v>
      </c>
      <c r="F1034" s="334">
        <v>14169.79</v>
      </c>
      <c r="G1034" s="332">
        <v>9.5</v>
      </c>
      <c r="H1034" s="336">
        <v>1.3083000000000001E-3</v>
      </c>
      <c r="I1034" s="334">
        <v>176.11</v>
      </c>
      <c r="J1034" s="393">
        <v>222.46</v>
      </c>
      <c r="N1034" s="126"/>
      <c r="O1034" s="126"/>
      <c r="R1034" s="121"/>
    </row>
    <row r="1035" spans="1:18">
      <c r="A1035" s="332" t="s">
        <v>318</v>
      </c>
      <c r="B1035" s="333" t="s">
        <v>663</v>
      </c>
      <c r="C1035" s="423" t="s">
        <v>330</v>
      </c>
      <c r="D1035" s="332" t="s">
        <v>664</v>
      </c>
      <c r="E1035" s="333">
        <v>201607</v>
      </c>
      <c r="F1035" s="334">
        <v>110.87</v>
      </c>
      <c r="G1035" s="332">
        <v>9.5</v>
      </c>
      <c r="H1035" s="336">
        <v>1.3083000000000001E-3</v>
      </c>
      <c r="I1035" s="334">
        <v>1.38</v>
      </c>
      <c r="J1035" s="393">
        <v>1.74</v>
      </c>
      <c r="N1035" s="126"/>
      <c r="O1035" s="126"/>
      <c r="R1035" s="121"/>
    </row>
    <row r="1036" spans="1:18">
      <c r="A1036" s="332" t="s">
        <v>318</v>
      </c>
      <c r="B1036" s="333" t="s">
        <v>663</v>
      </c>
      <c r="C1036" s="423" t="s">
        <v>330</v>
      </c>
      <c r="D1036" s="332" t="s">
        <v>664</v>
      </c>
      <c r="E1036" s="333">
        <v>201607</v>
      </c>
      <c r="F1036" s="334">
        <v>6275.9</v>
      </c>
      <c r="G1036" s="332">
        <v>9.5</v>
      </c>
      <c r="H1036" s="336">
        <v>1.3083000000000001E-3</v>
      </c>
      <c r="I1036" s="334">
        <v>78</v>
      </c>
      <c r="J1036" s="393">
        <v>98.53</v>
      </c>
      <c r="N1036" s="126"/>
      <c r="O1036" s="126"/>
      <c r="R1036" s="121"/>
    </row>
    <row r="1037" spans="1:18" ht="15">
      <c r="A1037" s="332" t="s">
        <v>318</v>
      </c>
      <c r="B1037" s="333" t="s">
        <v>665</v>
      </c>
      <c r="C1037" s="424" t="s">
        <v>330</v>
      </c>
      <c r="D1037" s="332" t="s">
        <v>666</v>
      </c>
      <c r="E1037" s="333">
        <v>201607</v>
      </c>
      <c r="F1037" s="334">
        <v>2.54</v>
      </c>
      <c r="G1037" s="332">
        <v>9.5</v>
      </c>
      <c r="H1037" s="336">
        <v>1.3083000000000001E-3</v>
      </c>
      <c r="I1037" s="334">
        <v>0.03</v>
      </c>
      <c r="J1037" s="393">
        <v>0.04</v>
      </c>
      <c r="N1037" s="126"/>
      <c r="O1037" s="126"/>
      <c r="R1037" s="121"/>
    </row>
    <row r="1038" spans="1:18" ht="15">
      <c r="A1038" s="332" t="s">
        <v>318</v>
      </c>
      <c r="B1038" s="333" t="s">
        <v>665</v>
      </c>
      <c r="C1038" s="424" t="s">
        <v>330</v>
      </c>
      <c r="D1038" s="332" t="s">
        <v>666</v>
      </c>
      <c r="E1038" s="333">
        <v>201607</v>
      </c>
      <c r="F1038" s="334">
        <v>241.42</v>
      </c>
      <c r="G1038" s="332">
        <v>9.5</v>
      </c>
      <c r="H1038" s="336">
        <v>1.3083000000000001E-3</v>
      </c>
      <c r="I1038" s="334">
        <v>3</v>
      </c>
      <c r="J1038" s="393">
        <v>3.79</v>
      </c>
      <c r="N1038" s="126"/>
      <c r="O1038" s="126"/>
      <c r="R1038" s="121"/>
    </row>
    <row r="1039" spans="1:18" ht="15">
      <c r="A1039" s="332" t="s">
        <v>318</v>
      </c>
      <c r="B1039" s="333" t="s">
        <v>801</v>
      </c>
      <c r="C1039" s="424" t="s">
        <v>330</v>
      </c>
      <c r="D1039" s="332" t="s">
        <v>802</v>
      </c>
      <c r="E1039" s="333">
        <v>201607</v>
      </c>
      <c r="F1039" s="334">
        <v>-8946.09</v>
      </c>
      <c r="G1039" s="332">
        <v>9.5</v>
      </c>
      <c r="H1039" s="336">
        <v>1.3083000000000001E-3</v>
      </c>
      <c r="I1039" s="334">
        <v>-111.19</v>
      </c>
      <c r="J1039" s="393">
        <v>-140.44999999999999</v>
      </c>
      <c r="N1039" s="126"/>
      <c r="O1039" s="126"/>
      <c r="R1039" s="121"/>
    </row>
    <row r="1040" spans="1:18" ht="15">
      <c r="A1040" s="332" t="s">
        <v>318</v>
      </c>
      <c r="B1040" s="333" t="s">
        <v>801</v>
      </c>
      <c r="C1040" s="424" t="s">
        <v>330</v>
      </c>
      <c r="D1040" s="332" t="s">
        <v>802</v>
      </c>
      <c r="E1040" s="333">
        <v>201607</v>
      </c>
      <c r="F1040" s="334">
        <v>22986.77</v>
      </c>
      <c r="G1040" s="332">
        <v>9.5</v>
      </c>
      <c r="H1040" s="336">
        <v>1.3083000000000001E-3</v>
      </c>
      <c r="I1040" s="334">
        <v>285.7</v>
      </c>
      <c r="J1040" s="393">
        <v>360.88</v>
      </c>
      <c r="N1040" s="126"/>
      <c r="O1040" s="126"/>
      <c r="R1040" s="121"/>
    </row>
    <row r="1041" spans="1:18" ht="15">
      <c r="A1041" s="332" t="s">
        <v>318</v>
      </c>
      <c r="B1041" s="333" t="s">
        <v>803</v>
      </c>
      <c r="C1041" s="424" t="s">
        <v>330</v>
      </c>
      <c r="D1041" s="332" t="s">
        <v>804</v>
      </c>
      <c r="E1041" s="333">
        <v>201607</v>
      </c>
      <c r="F1041" s="334">
        <v>683.22</v>
      </c>
      <c r="G1041" s="332">
        <v>9.5</v>
      </c>
      <c r="H1041" s="336">
        <v>1.3083000000000001E-3</v>
      </c>
      <c r="I1041" s="334">
        <v>8.49</v>
      </c>
      <c r="J1041" s="393">
        <v>10.73</v>
      </c>
      <c r="N1041" s="126"/>
      <c r="O1041" s="126"/>
      <c r="R1041" s="121"/>
    </row>
    <row r="1042" spans="1:18" ht="15">
      <c r="A1042" s="332" t="s">
        <v>318</v>
      </c>
      <c r="B1042" s="333" t="s">
        <v>803</v>
      </c>
      <c r="C1042" s="424" t="s">
        <v>330</v>
      </c>
      <c r="D1042" s="332" t="s">
        <v>804</v>
      </c>
      <c r="E1042" s="333">
        <v>201607</v>
      </c>
      <c r="F1042" s="334">
        <v>9256.44</v>
      </c>
      <c r="G1042" s="332">
        <v>9.5</v>
      </c>
      <c r="H1042" s="336">
        <v>1.3083000000000001E-3</v>
      </c>
      <c r="I1042" s="334">
        <v>115.05</v>
      </c>
      <c r="J1042" s="393">
        <v>145.32</v>
      </c>
      <c r="N1042" s="126"/>
      <c r="O1042" s="126"/>
      <c r="R1042" s="121"/>
    </row>
    <row r="1043" spans="1:18">
      <c r="A1043" s="332" t="s">
        <v>318</v>
      </c>
      <c r="B1043" s="333" t="s">
        <v>805</v>
      </c>
      <c r="C1043" s="423" t="s">
        <v>330</v>
      </c>
      <c r="D1043" s="332" t="s">
        <v>806</v>
      </c>
      <c r="E1043" s="333">
        <v>201607</v>
      </c>
      <c r="F1043" s="334">
        <v>553</v>
      </c>
      <c r="G1043" s="332">
        <v>9.5</v>
      </c>
      <c r="H1043" s="336">
        <v>1.3083000000000001E-3</v>
      </c>
      <c r="I1043" s="334">
        <v>6.87</v>
      </c>
      <c r="J1043" s="393">
        <v>8.68</v>
      </c>
      <c r="N1043" s="126"/>
      <c r="O1043" s="126"/>
      <c r="R1043" s="121"/>
    </row>
    <row r="1044" spans="1:18">
      <c r="A1044" s="332" t="s">
        <v>318</v>
      </c>
      <c r="B1044" s="333" t="s">
        <v>805</v>
      </c>
      <c r="C1044" s="423" t="s">
        <v>330</v>
      </c>
      <c r="D1044" s="332" t="s">
        <v>806</v>
      </c>
      <c r="E1044" s="333">
        <v>201607</v>
      </c>
      <c r="F1044" s="334">
        <v>14513.27</v>
      </c>
      <c r="G1044" s="332">
        <v>9.5</v>
      </c>
      <c r="H1044" s="336">
        <v>1.3083000000000001E-3</v>
      </c>
      <c r="I1044" s="334">
        <v>180.38</v>
      </c>
      <c r="J1044" s="393">
        <v>227.85</v>
      </c>
      <c r="N1044" s="126"/>
      <c r="O1044" s="126"/>
      <c r="R1044" s="121"/>
    </row>
    <row r="1045" spans="1:18" ht="15">
      <c r="A1045" s="332" t="s">
        <v>318</v>
      </c>
      <c r="B1045" s="333" t="s">
        <v>633</v>
      </c>
      <c r="C1045" s="424" t="s">
        <v>329</v>
      </c>
      <c r="D1045" s="332" t="s">
        <v>807</v>
      </c>
      <c r="E1045" s="333">
        <v>201607</v>
      </c>
      <c r="F1045" s="334">
        <v>838.49</v>
      </c>
      <c r="G1045" s="332">
        <v>9.5</v>
      </c>
      <c r="H1045" s="336">
        <v>1.3083000000000001E-3</v>
      </c>
      <c r="I1045" s="334">
        <v>10.42</v>
      </c>
      <c r="J1045" s="393">
        <v>13.16</v>
      </c>
      <c r="N1045" s="126"/>
      <c r="O1045" s="126"/>
      <c r="R1045" s="121"/>
    </row>
    <row r="1046" spans="1:18" ht="15">
      <c r="A1046" s="332" t="s">
        <v>318</v>
      </c>
      <c r="B1046" s="333" t="s">
        <v>633</v>
      </c>
      <c r="C1046" s="424" t="s">
        <v>329</v>
      </c>
      <c r="D1046" s="332" t="s">
        <v>807</v>
      </c>
      <c r="E1046" s="333">
        <v>201607</v>
      </c>
      <c r="F1046" s="334">
        <v>4555.87</v>
      </c>
      <c r="G1046" s="332">
        <v>9.5</v>
      </c>
      <c r="H1046" s="336">
        <v>1.3083000000000001E-3</v>
      </c>
      <c r="I1046" s="334">
        <v>56.62</v>
      </c>
      <c r="J1046" s="393">
        <v>71.53</v>
      </c>
      <c r="N1046" s="126"/>
      <c r="O1046" s="126"/>
      <c r="R1046" s="121"/>
    </row>
    <row r="1047" spans="1:18" ht="15">
      <c r="A1047" s="332" t="s">
        <v>318</v>
      </c>
      <c r="B1047" s="333" t="s">
        <v>858</v>
      </c>
      <c r="C1047" s="424" t="s">
        <v>329</v>
      </c>
      <c r="D1047" s="332" t="s">
        <v>859</v>
      </c>
      <c r="E1047" s="333">
        <v>201607</v>
      </c>
      <c r="F1047" s="334">
        <v>785.7</v>
      </c>
      <c r="G1047" s="332">
        <v>9.5</v>
      </c>
      <c r="H1047" s="336">
        <v>1.3083000000000001E-3</v>
      </c>
      <c r="I1047" s="334">
        <v>9.77</v>
      </c>
      <c r="J1047" s="393">
        <v>12.34</v>
      </c>
      <c r="N1047" s="126"/>
      <c r="O1047" s="126"/>
      <c r="R1047" s="121"/>
    </row>
    <row r="1048" spans="1:18" ht="15">
      <c r="A1048" s="332" t="s">
        <v>318</v>
      </c>
      <c r="B1048" s="333" t="s">
        <v>858</v>
      </c>
      <c r="C1048" s="424" t="s">
        <v>329</v>
      </c>
      <c r="D1048" s="332" t="s">
        <v>859</v>
      </c>
      <c r="E1048" s="333">
        <v>201607</v>
      </c>
      <c r="F1048" s="334">
        <v>11719.59</v>
      </c>
      <c r="G1048" s="332">
        <v>9.5</v>
      </c>
      <c r="H1048" s="336">
        <v>1.3083000000000001E-3</v>
      </c>
      <c r="I1048" s="334">
        <v>145.66</v>
      </c>
      <c r="J1048" s="393">
        <v>183.99</v>
      </c>
      <c r="N1048" s="126"/>
      <c r="O1048" s="126"/>
      <c r="R1048" s="121"/>
    </row>
    <row r="1049" spans="1:18" ht="15">
      <c r="A1049" s="332" t="s">
        <v>318</v>
      </c>
      <c r="B1049" s="333" t="s">
        <v>808</v>
      </c>
      <c r="C1049" s="424" t="s">
        <v>329</v>
      </c>
      <c r="D1049" s="332" t="s">
        <v>809</v>
      </c>
      <c r="E1049" s="333">
        <v>201607</v>
      </c>
      <c r="F1049" s="334">
        <v>4752.45</v>
      </c>
      <c r="G1049" s="332">
        <v>9.5</v>
      </c>
      <c r="H1049" s="336">
        <v>1.3083000000000001E-3</v>
      </c>
      <c r="I1049" s="334">
        <v>59.07</v>
      </c>
      <c r="J1049" s="393">
        <v>74.61</v>
      </c>
      <c r="N1049" s="126"/>
      <c r="O1049" s="126"/>
      <c r="R1049" s="121"/>
    </row>
    <row r="1050" spans="1:18" ht="15">
      <c r="A1050" s="332" t="s">
        <v>318</v>
      </c>
      <c r="B1050" s="333" t="s">
        <v>808</v>
      </c>
      <c r="C1050" s="424" t="s">
        <v>329</v>
      </c>
      <c r="D1050" s="332" t="s">
        <v>809</v>
      </c>
      <c r="E1050" s="333">
        <v>201607</v>
      </c>
      <c r="F1050" s="334">
        <v>24791.82</v>
      </c>
      <c r="G1050" s="332">
        <v>9.5</v>
      </c>
      <c r="H1050" s="336">
        <v>1.3083000000000001E-3</v>
      </c>
      <c r="I1050" s="334">
        <v>308.13</v>
      </c>
      <c r="J1050" s="393">
        <v>389.22</v>
      </c>
      <c r="N1050" s="126"/>
      <c r="O1050" s="126"/>
      <c r="R1050" s="121"/>
    </row>
    <row r="1051" spans="1:18">
      <c r="A1051" s="332" t="s">
        <v>322</v>
      </c>
      <c r="B1051" s="333" t="s">
        <v>667</v>
      </c>
      <c r="C1051" s="423" t="s">
        <v>329</v>
      </c>
      <c r="D1051" s="332" t="s">
        <v>668</v>
      </c>
      <c r="E1051" s="333">
        <v>201607</v>
      </c>
      <c r="F1051" s="334">
        <v>115.32</v>
      </c>
      <c r="G1051" s="332">
        <v>9.5</v>
      </c>
      <c r="H1051" s="336">
        <v>1.1999999999999999E-3</v>
      </c>
      <c r="I1051" s="334">
        <v>1.31</v>
      </c>
      <c r="J1051" s="393">
        <v>1.66</v>
      </c>
      <c r="N1051" s="126"/>
      <c r="O1051" s="126"/>
      <c r="R1051" s="121"/>
    </row>
    <row r="1052" spans="1:18">
      <c r="A1052" s="332" t="s">
        <v>318</v>
      </c>
      <c r="B1052" s="333" t="s">
        <v>667</v>
      </c>
      <c r="C1052" s="423" t="s">
        <v>329</v>
      </c>
      <c r="D1052" s="332" t="s">
        <v>668</v>
      </c>
      <c r="E1052" s="333">
        <v>201607</v>
      </c>
      <c r="F1052" s="334">
        <v>303.88</v>
      </c>
      <c r="G1052" s="332">
        <v>9.5</v>
      </c>
      <c r="H1052" s="336">
        <v>1.3083000000000001E-3</v>
      </c>
      <c r="I1052" s="334">
        <v>3.78</v>
      </c>
      <c r="J1052" s="393">
        <v>4.7699999999999996</v>
      </c>
      <c r="N1052" s="126"/>
      <c r="O1052" s="126"/>
      <c r="R1052" s="121"/>
    </row>
    <row r="1053" spans="1:18">
      <c r="A1053" s="332" t="s">
        <v>318</v>
      </c>
      <c r="B1053" s="333" t="s">
        <v>667</v>
      </c>
      <c r="C1053" s="423" t="s">
        <v>329</v>
      </c>
      <c r="D1053" s="332" t="s">
        <v>668</v>
      </c>
      <c r="E1053" s="333">
        <v>201607</v>
      </c>
      <c r="F1053" s="334">
        <v>1870.76</v>
      </c>
      <c r="G1053" s="332">
        <v>9.5</v>
      </c>
      <c r="H1053" s="336">
        <v>1.3083000000000001E-3</v>
      </c>
      <c r="I1053" s="334">
        <v>23.25</v>
      </c>
      <c r="J1053" s="393">
        <v>29.37</v>
      </c>
      <c r="N1053" s="126"/>
      <c r="O1053" s="126"/>
      <c r="R1053" s="121"/>
    </row>
    <row r="1054" spans="1:18">
      <c r="A1054" s="332" t="s">
        <v>318</v>
      </c>
      <c r="B1054" s="333" t="s">
        <v>598</v>
      </c>
      <c r="C1054" s="423" t="s">
        <v>330</v>
      </c>
      <c r="D1054" s="332" t="s">
        <v>599</v>
      </c>
      <c r="E1054" s="333">
        <v>201607</v>
      </c>
      <c r="F1054" s="334">
        <v>-0.33</v>
      </c>
      <c r="G1054" s="332">
        <v>9.5</v>
      </c>
      <c r="H1054" s="336">
        <v>1.3083000000000001E-3</v>
      </c>
      <c r="I1054" s="334">
        <v>0</v>
      </c>
      <c r="J1054" s="393">
        <v>-0.01</v>
      </c>
      <c r="N1054" s="126"/>
      <c r="O1054" s="126"/>
      <c r="R1054" s="121"/>
    </row>
    <row r="1055" spans="1:18" ht="15">
      <c r="A1055" s="332" t="s">
        <v>318</v>
      </c>
      <c r="B1055" s="333" t="s">
        <v>598</v>
      </c>
      <c r="C1055" s="424" t="s">
        <v>330</v>
      </c>
      <c r="D1055" s="332" t="s">
        <v>599</v>
      </c>
      <c r="E1055" s="333">
        <v>201607</v>
      </c>
      <c r="F1055" s="334">
        <v>-0.02</v>
      </c>
      <c r="G1055" s="332">
        <v>9.5</v>
      </c>
      <c r="H1055" s="336">
        <v>1.3083000000000001E-3</v>
      </c>
      <c r="I1055" s="334">
        <v>0</v>
      </c>
      <c r="J1055" s="393">
        <v>0</v>
      </c>
      <c r="N1055" s="126"/>
      <c r="O1055" s="126"/>
      <c r="R1055" s="121"/>
    </row>
    <row r="1056" spans="1:18" ht="15">
      <c r="A1056" s="332" t="s">
        <v>318</v>
      </c>
      <c r="B1056" s="333" t="s">
        <v>600</v>
      </c>
      <c r="C1056" s="424" t="s">
        <v>330</v>
      </c>
      <c r="D1056" s="332" t="s">
        <v>601</v>
      </c>
      <c r="E1056" s="333">
        <v>201607</v>
      </c>
      <c r="F1056" s="334">
        <v>0.02</v>
      </c>
      <c r="G1056" s="332">
        <v>9.5</v>
      </c>
      <c r="H1056" s="336">
        <v>1.3083000000000001E-3</v>
      </c>
      <c r="I1056" s="334">
        <v>0</v>
      </c>
      <c r="J1056" s="393">
        <v>0</v>
      </c>
      <c r="N1056" s="126"/>
      <c r="O1056" s="126"/>
      <c r="R1056" s="121"/>
    </row>
    <row r="1057" spans="1:18" ht="15">
      <c r="A1057" s="332" t="s">
        <v>318</v>
      </c>
      <c r="B1057" s="333" t="s">
        <v>600</v>
      </c>
      <c r="C1057" s="424" t="s">
        <v>330</v>
      </c>
      <c r="D1057" s="332" t="s">
        <v>601</v>
      </c>
      <c r="E1057" s="333">
        <v>201607</v>
      </c>
      <c r="F1057" s="334">
        <v>1.6</v>
      </c>
      <c r="G1057" s="332">
        <v>9.5</v>
      </c>
      <c r="H1057" s="336">
        <v>1.3083000000000001E-3</v>
      </c>
      <c r="I1057" s="334">
        <v>0.02</v>
      </c>
      <c r="J1057" s="393">
        <v>0.03</v>
      </c>
      <c r="N1057" s="126"/>
      <c r="O1057" s="126"/>
      <c r="R1057" s="121"/>
    </row>
    <row r="1058" spans="1:18" ht="15">
      <c r="A1058" s="332" t="s">
        <v>318</v>
      </c>
      <c r="B1058" s="333" t="s">
        <v>554</v>
      </c>
      <c r="C1058" s="424" t="s">
        <v>330</v>
      </c>
      <c r="D1058" s="332" t="s">
        <v>555</v>
      </c>
      <c r="E1058" s="333">
        <v>201607</v>
      </c>
      <c r="F1058" s="334">
        <v>0.08</v>
      </c>
      <c r="G1058" s="332">
        <v>9.5</v>
      </c>
      <c r="H1058" s="336">
        <v>1.3083000000000001E-3</v>
      </c>
      <c r="I1058" s="334">
        <v>0</v>
      </c>
      <c r="J1058" s="393">
        <v>0</v>
      </c>
      <c r="N1058" s="126"/>
      <c r="O1058" s="126"/>
      <c r="R1058" s="121"/>
    </row>
    <row r="1059" spans="1:18" ht="15">
      <c r="A1059" s="332" t="s">
        <v>318</v>
      </c>
      <c r="B1059" s="333" t="s">
        <v>554</v>
      </c>
      <c r="C1059" s="424" t="s">
        <v>330</v>
      </c>
      <c r="D1059" s="332" t="s">
        <v>555</v>
      </c>
      <c r="E1059" s="333">
        <v>201607</v>
      </c>
      <c r="F1059" s="334">
        <v>1.41</v>
      </c>
      <c r="G1059" s="332">
        <v>9.5</v>
      </c>
      <c r="H1059" s="336">
        <v>1.3083000000000001E-3</v>
      </c>
      <c r="I1059" s="334">
        <v>0.02</v>
      </c>
      <c r="J1059" s="393">
        <v>0.02</v>
      </c>
      <c r="N1059" s="126"/>
      <c r="O1059" s="126"/>
      <c r="R1059" s="121"/>
    </row>
    <row r="1060" spans="1:18" ht="15">
      <c r="A1060" s="332" t="s">
        <v>318</v>
      </c>
      <c r="B1060" s="333" t="s">
        <v>556</v>
      </c>
      <c r="C1060" s="424" t="s">
        <v>330</v>
      </c>
      <c r="D1060" s="332" t="s">
        <v>557</v>
      </c>
      <c r="E1060" s="333">
        <v>201607</v>
      </c>
      <c r="F1060" s="334">
        <v>0.13</v>
      </c>
      <c r="G1060" s="332">
        <v>9.5</v>
      </c>
      <c r="H1060" s="336">
        <v>1.3083000000000001E-3</v>
      </c>
      <c r="I1060" s="334">
        <v>0</v>
      </c>
      <c r="J1060" s="393">
        <v>0</v>
      </c>
      <c r="N1060" s="126"/>
      <c r="O1060" s="126"/>
      <c r="R1060" s="121"/>
    </row>
    <row r="1061" spans="1:18">
      <c r="A1061" s="332" t="s">
        <v>318</v>
      </c>
      <c r="B1061" s="333" t="s">
        <v>556</v>
      </c>
      <c r="C1061" s="423" t="s">
        <v>330</v>
      </c>
      <c r="D1061" s="332" t="s">
        <v>557</v>
      </c>
      <c r="E1061" s="333">
        <v>201607</v>
      </c>
      <c r="F1061" s="334">
        <v>4.76</v>
      </c>
      <c r="G1061" s="332">
        <v>9.5</v>
      </c>
      <c r="H1061" s="336">
        <v>1.3083000000000001E-3</v>
      </c>
      <c r="I1061" s="334">
        <v>0.06</v>
      </c>
      <c r="J1061" s="393">
        <v>7.0000000000000007E-2</v>
      </c>
      <c r="N1061" s="126"/>
      <c r="O1061" s="126"/>
      <c r="R1061" s="121"/>
    </row>
    <row r="1062" spans="1:18">
      <c r="A1062" s="332" t="s">
        <v>318</v>
      </c>
      <c r="B1062" s="333" t="s">
        <v>558</v>
      </c>
      <c r="C1062" s="423" t="s">
        <v>330</v>
      </c>
      <c r="D1062" s="332" t="s">
        <v>559</v>
      </c>
      <c r="E1062" s="333">
        <v>201607</v>
      </c>
      <c r="F1062" s="334">
        <v>-2.5099999999999998</v>
      </c>
      <c r="G1062" s="332">
        <v>9.5</v>
      </c>
      <c r="H1062" s="336">
        <v>1.3083000000000001E-3</v>
      </c>
      <c r="I1062" s="334">
        <v>-0.03</v>
      </c>
      <c r="J1062" s="393">
        <v>-0.04</v>
      </c>
      <c r="N1062" s="126"/>
      <c r="O1062" s="126"/>
      <c r="R1062" s="121"/>
    </row>
    <row r="1063" spans="1:18" ht="15">
      <c r="A1063" s="332" t="s">
        <v>318</v>
      </c>
      <c r="B1063" s="333" t="s">
        <v>558</v>
      </c>
      <c r="C1063" s="424" t="s">
        <v>330</v>
      </c>
      <c r="D1063" s="332" t="s">
        <v>559</v>
      </c>
      <c r="E1063" s="333">
        <v>201607</v>
      </c>
      <c r="F1063" s="334">
        <v>-0.39</v>
      </c>
      <c r="G1063" s="332">
        <v>9.5</v>
      </c>
      <c r="H1063" s="336">
        <v>1.3083000000000001E-3</v>
      </c>
      <c r="I1063" s="334">
        <v>0</v>
      </c>
      <c r="J1063" s="393">
        <v>-0.01</v>
      </c>
      <c r="N1063" s="126"/>
      <c r="O1063" s="126"/>
      <c r="R1063" s="121"/>
    </row>
    <row r="1064" spans="1:18" ht="15">
      <c r="A1064" s="332" t="s">
        <v>318</v>
      </c>
      <c r="B1064" s="333" t="s">
        <v>560</v>
      </c>
      <c r="C1064" s="424" t="s">
        <v>330</v>
      </c>
      <c r="D1064" s="332" t="s">
        <v>561</v>
      </c>
      <c r="E1064" s="333">
        <v>201607</v>
      </c>
      <c r="F1064" s="334">
        <v>-5.27</v>
      </c>
      <c r="G1064" s="332">
        <v>9.5</v>
      </c>
      <c r="H1064" s="336">
        <v>1.3083000000000001E-3</v>
      </c>
      <c r="I1064" s="334">
        <v>-7.0000000000000007E-2</v>
      </c>
      <c r="J1064" s="393">
        <v>-0.08</v>
      </c>
      <c r="N1064" s="126"/>
      <c r="O1064" s="126"/>
      <c r="R1064" s="121"/>
    </row>
    <row r="1065" spans="1:18" ht="15">
      <c r="A1065" s="332" t="s">
        <v>318</v>
      </c>
      <c r="B1065" s="333" t="s">
        <v>560</v>
      </c>
      <c r="C1065" s="424" t="s">
        <v>330</v>
      </c>
      <c r="D1065" s="332" t="s">
        <v>561</v>
      </c>
      <c r="E1065" s="333">
        <v>201607</v>
      </c>
      <c r="F1065" s="334">
        <v>-0.41</v>
      </c>
      <c r="G1065" s="332">
        <v>9.5</v>
      </c>
      <c r="H1065" s="336">
        <v>1.3083000000000001E-3</v>
      </c>
      <c r="I1065" s="334">
        <v>-0.01</v>
      </c>
      <c r="J1065" s="393">
        <v>-0.01</v>
      </c>
      <c r="N1065" s="126"/>
      <c r="O1065" s="126"/>
      <c r="R1065" s="121"/>
    </row>
    <row r="1066" spans="1:18" ht="15">
      <c r="A1066" s="332" t="s">
        <v>318</v>
      </c>
      <c r="B1066" s="333" t="s">
        <v>562</v>
      </c>
      <c r="C1066" s="424" t="s">
        <v>330</v>
      </c>
      <c r="D1066" s="332" t="s">
        <v>563</v>
      </c>
      <c r="E1066" s="333">
        <v>201607</v>
      </c>
      <c r="F1066" s="334">
        <v>4.45</v>
      </c>
      <c r="G1066" s="332">
        <v>9.5</v>
      </c>
      <c r="H1066" s="336">
        <v>1.3083000000000001E-3</v>
      </c>
      <c r="I1066" s="334">
        <v>0.06</v>
      </c>
      <c r="J1066" s="393">
        <v>7.0000000000000007E-2</v>
      </c>
      <c r="N1066" s="126"/>
      <c r="O1066" s="126"/>
      <c r="R1066" s="121"/>
    </row>
    <row r="1067" spans="1:18" ht="15">
      <c r="A1067" s="332" t="s">
        <v>318</v>
      </c>
      <c r="B1067" s="333" t="s">
        <v>562</v>
      </c>
      <c r="C1067" s="424" t="s">
        <v>330</v>
      </c>
      <c r="D1067" s="332" t="s">
        <v>563</v>
      </c>
      <c r="E1067" s="333">
        <v>201607</v>
      </c>
      <c r="F1067" s="334">
        <v>73.14</v>
      </c>
      <c r="G1067" s="332">
        <v>9.5</v>
      </c>
      <c r="H1067" s="336">
        <v>1.3083000000000001E-3</v>
      </c>
      <c r="I1067" s="334">
        <v>0.91</v>
      </c>
      <c r="J1067" s="393">
        <v>1.1499999999999999</v>
      </c>
      <c r="N1067" s="126"/>
      <c r="O1067" s="126"/>
      <c r="R1067" s="121"/>
    </row>
    <row r="1068" spans="1:18" ht="15">
      <c r="A1068" s="332" t="s">
        <v>318</v>
      </c>
      <c r="B1068" s="333" t="s">
        <v>602</v>
      </c>
      <c r="C1068" s="424" t="s">
        <v>330</v>
      </c>
      <c r="D1068" s="332" t="s">
        <v>603</v>
      </c>
      <c r="E1068" s="333">
        <v>201607</v>
      </c>
      <c r="F1068" s="334">
        <v>0.15</v>
      </c>
      <c r="G1068" s="332">
        <v>9.5</v>
      </c>
      <c r="H1068" s="336">
        <v>1.3083000000000001E-3</v>
      </c>
      <c r="I1068" s="334">
        <v>0</v>
      </c>
      <c r="J1068" s="393">
        <v>0</v>
      </c>
      <c r="N1068" s="126"/>
      <c r="O1068" s="126"/>
      <c r="R1068" s="121"/>
    </row>
    <row r="1069" spans="1:18">
      <c r="A1069" s="332" t="s">
        <v>318</v>
      </c>
      <c r="B1069" s="333" t="s">
        <v>602</v>
      </c>
      <c r="C1069" s="423" t="s">
        <v>330</v>
      </c>
      <c r="D1069" s="332" t="s">
        <v>603</v>
      </c>
      <c r="E1069" s="333">
        <v>201607</v>
      </c>
      <c r="F1069" s="334">
        <v>2.57</v>
      </c>
      <c r="G1069" s="332">
        <v>9.5</v>
      </c>
      <c r="H1069" s="336">
        <v>1.3083000000000001E-3</v>
      </c>
      <c r="I1069" s="334">
        <v>0.03</v>
      </c>
      <c r="J1069" s="393">
        <v>0.04</v>
      </c>
      <c r="N1069" s="126"/>
      <c r="O1069" s="126"/>
      <c r="R1069" s="121"/>
    </row>
    <row r="1070" spans="1:18">
      <c r="A1070" s="332" t="s">
        <v>318</v>
      </c>
      <c r="B1070" s="333" t="s">
        <v>810</v>
      </c>
      <c r="C1070" s="423" t="s">
        <v>330</v>
      </c>
      <c r="D1070" s="332" t="s">
        <v>811</v>
      </c>
      <c r="E1070" s="333">
        <v>201607</v>
      </c>
      <c r="F1070" s="334">
        <v>971.15</v>
      </c>
      <c r="G1070" s="332">
        <v>9.5</v>
      </c>
      <c r="H1070" s="336">
        <v>1.3083000000000001E-3</v>
      </c>
      <c r="I1070" s="334">
        <v>12.07</v>
      </c>
      <c r="J1070" s="393">
        <v>15.25</v>
      </c>
      <c r="N1070" s="126"/>
      <c r="O1070" s="126"/>
      <c r="R1070" s="121"/>
    </row>
    <row r="1071" spans="1:18">
      <c r="A1071" s="332" t="s">
        <v>318</v>
      </c>
      <c r="B1071" s="333" t="s">
        <v>810</v>
      </c>
      <c r="C1071" s="423" t="s">
        <v>330</v>
      </c>
      <c r="D1071" s="332" t="s">
        <v>811</v>
      </c>
      <c r="E1071" s="333">
        <v>201607</v>
      </c>
      <c r="F1071" s="334">
        <v>14806.83</v>
      </c>
      <c r="G1071" s="332">
        <v>9.5</v>
      </c>
      <c r="H1071" s="336">
        <v>1.3083000000000001E-3</v>
      </c>
      <c r="I1071" s="334">
        <v>184.03</v>
      </c>
      <c r="J1071" s="393">
        <v>232.46</v>
      </c>
      <c r="N1071" s="126"/>
      <c r="O1071" s="126"/>
      <c r="R1071" s="121"/>
    </row>
    <row r="1072" spans="1:18">
      <c r="A1072" s="332" t="s">
        <v>318</v>
      </c>
      <c r="B1072" s="333" t="s">
        <v>635</v>
      </c>
      <c r="C1072" s="423" t="s">
        <v>329</v>
      </c>
      <c r="D1072" s="332" t="s">
        <v>636</v>
      </c>
      <c r="E1072" s="333">
        <v>201607</v>
      </c>
      <c r="F1072" s="334">
        <v>0.36</v>
      </c>
      <c r="G1072" s="332">
        <v>9.5</v>
      </c>
      <c r="H1072" s="336">
        <v>1.3083000000000001E-3</v>
      </c>
      <c r="I1072" s="334">
        <v>0</v>
      </c>
      <c r="J1072" s="393">
        <v>0.01</v>
      </c>
      <c r="N1072" s="126"/>
      <c r="O1072" s="126"/>
      <c r="R1072" s="121"/>
    </row>
    <row r="1073" spans="1:18">
      <c r="A1073" s="332" t="s">
        <v>318</v>
      </c>
      <c r="B1073" s="333" t="s">
        <v>635</v>
      </c>
      <c r="C1073" s="423" t="s">
        <v>329</v>
      </c>
      <c r="D1073" s="332" t="s">
        <v>636</v>
      </c>
      <c r="E1073" s="333">
        <v>201607</v>
      </c>
      <c r="F1073" s="334">
        <v>11.34</v>
      </c>
      <c r="G1073" s="332">
        <v>9.5</v>
      </c>
      <c r="H1073" s="336">
        <v>1.3083000000000001E-3</v>
      </c>
      <c r="I1073" s="334">
        <v>0.14000000000000001</v>
      </c>
      <c r="J1073" s="393">
        <v>0.18</v>
      </c>
      <c r="N1073" s="126"/>
      <c r="O1073" s="126"/>
      <c r="R1073" s="121"/>
    </row>
    <row r="1074" spans="1:18" ht="15">
      <c r="A1074" s="332" t="s">
        <v>318</v>
      </c>
      <c r="B1074" s="333" t="s">
        <v>812</v>
      </c>
      <c r="C1074" s="424" t="s">
        <v>330</v>
      </c>
      <c r="D1074" s="332" t="s">
        <v>813</v>
      </c>
      <c r="E1074" s="333">
        <v>201607</v>
      </c>
      <c r="F1074" s="334">
        <v>715.44</v>
      </c>
      <c r="G1074" s="332">
        <v>9.5</v>
      </c>
      <c r="H1074" s="336">
        <v>1.3083000000000001E-3</v>
      </c>
      <c r="I1074" s="334">
        <v>8.89</v>
      </c>
      <c r="J1074" s="393">
        <v>11.23</v>
      </c>
      <c r="N1074" s="126"/>
      <c r="O1074" s="126"/>
      <c r="R1074" s="121"/>
    </row>
    <row r="1075" spans="1:18" ht="15">
      <c r="A1075" s="332" t="s">
        <v>318</v>
      </c>
      <c r="B1075" s="333" t="s">
        <v>812</v>
      </c>
      <c r="C1075" s="424" t="s">
        <v>330</v>
      </c>
      <c r="D1075" s="332" t="s">
        <v>813</v>
      </c>
      <c r="E1075" s="333">
        <v>201607</v>
      </c>
      <c r="F1075" s="334">
        <v>12861.72</v>
      </c>
      <c r="G1075" s="332">
        <v>9.5</v>
      </c>
      <c r="H1075" s="336">
        <v>1.3083000000000001E-3</v>
      </c>
      <c r="I1075" s="334">
        <v>159.86000000000001</v>
      </c>
      <c r="J1075" s="393">
        <v>201.92</v>
      </c>
      <c r="N1075" s="126"/>
      <c r="O1075" s="126"/>
      <c r="R1075" s="121"/>
    </row>
    <row r="1076" spans="1:18" ht="15">
      <c r="A1076" s="332" t="s">
        <v>318</v>
      </c>
      <c r="B1076" s="333" t="s">
        <v>788</v>
      </c>
      <c r="C1076" s="424" t="s">
        <v>330</v>
      </c>
      <c r="D1076" s="332" t="s">
        <v>789</v>
      </c>
      <c r="E1076" s="333">
        <v>201607</v>
      </c>
      <c r="F1076" s="334">
        <v>21.16</v>
      </c>
      <c r="G1076" s="332">
        <v>9.5</v>
      </c>
      <c r="H1076" s="336">
        <v>1.3083000000000001E-3</v>
      </c>
      <c r="I1076" s="334">
        <v>0.26</v>
      </c>
      <c r="J1076" s="393">
        <v>0.33</v>
      </c>
      <c r="N1076" s="126"/>
      <c r="O1076" s="126"/>
      <c r="R1076" s="121"/>
    </row>
    <row r="1077" spans="1:18">
      <c r="A1077" s="332" t="s">
        <v>318</v>
      </c>
      <c r="B1077" s="333" t="s">
        <v>788</v>
      </c>
      <c r="C1077" s="423" t="s">
        <v>330</v>
      </c>
      <c r="D1077" s="332" t="s">
        <v>789</v>
      </c>
      <c r="E1077" s="333">
        <v>201607</v>
      </c>
      <c r="F1077" s="334">
        <v>4555.2</v>
      </c>
      <c r="G1077" s="332">
        <v>9.5</v>
      </c>
      <c r="H1077" s="336">
        <v>1.3083000000000001E-3</v>
      </c>
      <c r="I1077" s="334">
        <v>56.62</v>
      </c>
      <c r="J1077" s="393">
        <v>71.510000000000005</v>
      </c>
      <c r="N1077" s="126"/>
      <c r="O1077" s="126"/>
      <c r="R1077" s="121"/>
    </row>
    <row r="1078" spans="1:18">
      <c r="A1078" s="332" t="s">
        <v>318</v>
      </c>
      <c r="B1078" s="333" t="s">
        <v>564</v>
      </c>
      <c r="C1078" s="423" t="s">
        <v>330</v>
      </c>
      <c r="D1078" s="332" t="s">
        <v>669</v>
      </c>
      <c r="E1078" s="333">
        <v>201607</v>
      </c>
      <c r="F1078" s="334">
        <v>-2.83</v>
      </c>
      <c r="G1078" s="332">
        <v>9.5</v>
      </c>
      <c r="H1078" s="336">
        <v>1.3083000000000001E-3</v>
      </c>
      <c r="I1078" s="334">
        <v>-0.04</v>
      </c>
      <c r="J1078" s="393">
        <v>-0.04</v>
      </c>
      <c r="N1078" s="126"/>
      <c r="O1078" s="126"/>
      <c r="R1078" s="121"/>
    </row>
    <row r="1079" spans="1:18">
      <c r="A1079" s="332" t="s">
        <v>318</v>
      </c>
      <c r="B1079" s="333" t="s">
        <v>564</v>
      </c>
      <c r="C1079" s="423" t="s">
        <v>330</v>
      </c>
      <c r="D1079" s="332" t="s">
        <v>669</v>
      </c>
      <c r="E1079" s="333">
        <v>201607</v>
      </c>
      <c r="F1079" s="334">
        <v>-0.24</v>
      </c>
      <c r="G1079" s="332">
        <v>9.5</v>
      </c>
      <c r="H1079" s="336">
        <v>1.3083000000000001E-3</v>
      </c>
      <c r="I1079" s="334">
        <v>0</v>
      </c>
      <c r="J1079" s="393">
        <v>0</v>
      </c>
      <c r="N1079" s="126"/>
      <c r="O1079" s="126"/>
      <c r="R1079" s="121"/>
    </row>
    <row r="1080" spans="1:18">
      <c r="A1080" s="332" t="s">
        <v>318</v>
      </c>
      <c r="B1080" s="333" t="s">
        <v>829</v>
      </c>
      <c r="C1080" s="423" t="s">
        <v>330</v>
      </c>
      <c r="D1080" s="332" t="s">
        <v>831</v>
      </c>
      <c r="E1080" s="333">
        <v>201607</v>
      </c>
      <c r="F1080" s="334">
        <v>97.42</v>
      </c>
      <c r="G1080" s="332">
        <v>9.5</v>
      </c>
      <c r="H1080" s="336">
        <v>1.3083000000000001E-3</v>
      </c>
      <c r="I1080" s="334">
        <v>1.21</v>
      </c>
      <c r="J1080" s="393">
        <v>1.53</v>
      </c>
      <c r="N1080" s="126"/>
      <c r="O1080" s="126"/>
      <c r="R1080" s="121"/>
    </row>
    <row r="1081" spans="1:18">
      <c r="A1081" s="332" t="s">
        <v>318</v>
      </c>
      <c r="B1081" s="333" t="s">
        <v>829</v>
      </c>
      <c r="C1081" s="423" t="s">
        <v>330</v>
      </c>
      <c r="D1081" s="332" t="s">
        <v>831</v>
      </c>
      <c r="E1081" s="333">
        <v>201607</v>
      </c>
      <c r="F1081" s="334">
        <v>1304.8599999999999</v>
      </c>
      <c r="G1081" s="332">
        <v>9.5</v>
      </c>
      <c r="H1081" s="336">
        <v>1.3083000000000001E-3</v>
      </c>
      <c r="I1081" s="334">
        <v>16.22</v>
      </c>
      <c r="J1081" s="393">
        <v>20.49</v>
      </c>
      <c r="N1081" s="126"/>
      <c r="O1081" s="126"/>
      <c r="R1081" s="121"/>
    </row>
    <row r="1082" spans="1:18">
      <c r="A1082" s="332" t="s">
        <v>318</v>
      </c>
      <c r="B1082" s="333" t="s">
        <v>832</v>
      </c>
      <c r="C1082" s="423" t="s">
        <v>330</v>
      </c>
      <c r="D1082" s="332" t="s">
        <v>833</v>
      </c>
      <c r="E1082" s="333">
        <v>201607</v>
      </c>
      <c r="F1082" s="334">
        <v>103.94</v>
      </c>
      <c r="G1082" s="332">
        <v>9.5</v>
      </c>
      <c r="H1082" s="336">
        <v>1.3083000000000001E-3</v>
      </c>
      <c r="I1082" s="334">
        <v>1.29</v>
      </c>
      <c r="J1082" s="393">
        <v>1.63</v>
      </c>
      <c r="N1082" s="126"/>
      <c r="O1082" s="126"/>
      <c r="R1082" s="121"/>
    </row>
    <row r="1083" spans="1:18" ht="15">
      <c r="A1083" s="332" t="s">
        <v>318</v>
      </c>
      <c r="B1083" s="333" t="s">
        <v>832</v>
      </c>
      <c r="C1083" s="424" t="s">
        <v>330</v>
      </c>
      <c r="D1083" s="332" t="s">
        <v>833</v>
      </c>
      <c r="E1083" s="333">
        <v>201607</v>
      </c>
      <c r="F1083" s="334">
        <v>4971.55</v>
      </c>
      <c r="G1083" s="332">
        <v>9.5</v>
      </c>
      <c r="H1083" s="336">
        <v>1.3083000000000001E-3</v>
      </c>
      <c r="I1083" s="334">
        <v>61.79</v>
      </c>
      <c r="J1083" s="393">
        <v>78.05</v>
      </c>
      <c r="N1083" s="126"/>
      <c r="O1083" s="126"/>
      <c r="R1083" s="121"/>
    </row>
    <row r="1084" spans="1:18" ht="15">
      <c r="A1084" s="332" t="s">
        <v>318</v>
      </c>
      <c r="B1084" s="333" t="s">
        <v>670</v>
      </c>
      <c r="C1084" s="424" t="s">
        <v>330</v>
      </c>
      <c r="D1084" s="332" t="s">
        <v>671</v>
      </c>
      <c r="E1084" s="333">
        <v>201607</v>
      </c>
      <c r="F1084" s="334">
        <v>19.739999999999998</v>
      </c>
      <c r="G1084" s="332">
        <v>9.5</v>
      </c>
      <c r="H1084" s="336">
        <v>1.3083000000000001E-3</v>
      </c>
      <c r="I1084" s="334">
        <v>0.25</v>
      </c>
      <c r="J1084" s="393">
        <v>0.31</v>
      </c>
      <c r="N1084" s="126"/>
      <c r="O1084" s="126"/>
      <c r="R1084" s="121"/>
    </row>
    <row r="1085" spans="1:18" ht="15">
      <c r="A1085" s="332" t="s">
        <v>318</v>
      </c>
      <c r="B1085" s="333" t="s">
        <v>670</v>
      </c>
      <c r="C1085" s="424" t="s">
        <v>330</v>
      </c>
      <c r="D1085" s="332" t="s">
        <v>671</v>
      </c>
      <c r="E1085" s="333">
        <v>201607</v>
      </c>
      <c r="F1085" s="334">
        <v>3179.07</v>
      </c>
      <c r="G1085" s="332">
        <v>9.5</v>
      </c>
      <c r="H1085" s="336">
        <v>1.3083000000000001E-3</v>
      </c>
      <c r="I1085" s="334">
        <v>39.51</v>
      </c>
      <c r="J1085" s="393">
        <v>49.91</v>
      </c>
      <c r="N1085" s="126"/>
      <c r="O1085" s="126"/>
      <c r="R1085" s="121"/>
    </row>
    <row r="1086" spans="1:18" ht="15">
      <c r="A1086" s="332" t="s">
        <v>318</v>
      </c>
      <c r="B1086" s="333" t="s">
        <v>606</v>
      </c>
      <c r="C1086" s="424" t="s">
        <v>330</v>
      </c>
      <c r="D1086" s="332" t="s">
        <v>607</v>
      </c>
      <c r="E1086" s="333">
        <v>201607</v>
      </c>
      <c r="F1086" s="334">
        <v>0.22</v>
      </c>
      <c r="G1086" s="332">
        <v>9.5</v>
      </c>
      <c r="H1086" s="336">
        <v>1.3083000000000001E-3</v>
      </c>
      <c r="I1086" s="334">
        <v>0</v>
      </c>
      <c r="J1086" s="393">
        <v>0</v>
      </c>
      <c r="N1086" s="126"/>
      <c r="O1086" s="126"/>
      <c r="R1086" s="121"/>
    </row>
    <row r="1087" spans="1:18" ht="15">
      <c r="A1087" s="332" t="s">
        <v>318</v>
      </c>
      <c r="B1087" s="333" t="s">
        <v>606</v>
      </c>
      <c r="C1087" s="424" t="s">
        <v>330</v>
      </c>
      <c r="D1087" s="332" t="s">
        <v>607</v>
      </c>
      <c r="E1087" s="333">
        <v>201607</v>
      </c>
      <c r="F1087" s="334">
        <v>14.29</v>
      </c>
      <c r="G1087" s="332">
        <v>9.5</v>
      </c>
      <c r="H1087" s="336">
        <v>1.3083000000000001E-3</v>
      </c>
      <c r="I1087" s="334">
        <v>0.18</v>
      </c>
      <c r="J1087" s="393">
        <v>0.22</v>
      </c>
      <c r="N1087" s="126"/>
      <c r="O1087" s="126"/>
      <c r="R1087" s="121"/>
    </row>
    <row r="1088" spans="1:18" ht="15">
      <c r="A1088" s="332" t="s">
        <v>318</v>
      </c>
      <c r="B1088" s="333" t="s">
        <v>834</v>
      </c>
      <c r="C1088" s="424" t="s">
        <v>330</v>
      </c>
      <c r="D1088" s="332" t="s">
        <v>835</v>
      </c>
      <c r="E1088" s="333">
        <v>201607</v>
      </c>
      <c r="F1088" s="334">
        <v>2797.97</v>
      </c>
      <c r="G1088" s="332">
        <v>9.5</v>
      </c>
      <c r="H1088" s="336">
        <v>1.3083000000000001E-3</v>
      </c>
      <c r="I1088" s="334">
        <v>34.78</v>
      </c>
      <c r="J1088" s="393">
        <v>43.93</v>
      </c>
      <c r="N1088" s="126"/>
      <c r="O1088" s="126"/>
      <c r="R1088" s="121"/>
    </row>
    <row r="1089" spans="1:18">
      <c r="A1089" s="332" t="s">
        <v>318</v>
      </c>
      <c r="B1089" s="333" t="s">
        <v>834</v>
      </c>
      <c r="C1089" s="423" t="s">
        <v>330</v>
      </c>
      <c r="D1089" s="332" t="s">
        <v>835</v>
      </c>
      <c r="E1089" s="333">
        <v>201607</v>
      </c>
      <c r="F1089" s="334">
        <v>31643.200000000001</v>
      </c>
      <c r="G1089" s="332">
        <v>9.5</v>
      </c>
      <c r="H1089" s="336">
        <v>1.3083000000000001E-3</v>
      </c>
      <c r="I1089" s="334">
        <v>393.29</v>
      </c>
      <c r="J1089" s="393">
        <v>496.79</v>
      </c>
      <c r="N1089" s="126"/>
      <c r="O1089" s="126"/>
      <c r="R1089" s="121"/>
    </row>
    <row r="1090" spans="1:18">
      <c r="A1090" s="332" t="s">
        <v>318</v>
      </c>
      <c r="B1090" s="333" t="s">
        <v>608</v>
      </c>
      <c r="C1090" s="423" t="s">
        <v>330</v>
      </c>
      <c r="D1090" s="332" t="s">
        <v>609</v>
      </c>
      <c r="E1090" s="333">
        <v>201607</v>
      </c>
      <c r="F1090" s="334">
        <v>0.1</v>
      </c>
      <c r="G1090" s="332">
        <v>9.5</v>
      </c>
      <c r="H1090" s="336">
        <v>1.3083000000000001E-3</v>
      </c>
      <c r="I1090" s="334">
        <v>0</v>
      </c>
      <c r="J1090" s="393">
        <v>0</v>
      </c>
      <c r="N1090" s="126"/>
      <c r="O1090" s="126"/>
      <c r="R1090" s="121"/>
    </row>
    <row r="1091" spans="1:18" ht="15">
      <c r="A1091" s="332" t="s">
        <v>318</v>
      </c>
      <c r="B1091" s="333" t="s">
        <v>608</v>
      </c>
      <c r="C1091" s="424" t="s">
        <v>330</v>
      </c>
      <c r="D1091" s="332" t="s">
        <v>609</v>
      </c>
      <c r="E1091" s="333">
        <v>201607</v>
      </c>
      <c r="F1091" s="334">
        <v>1.37</v>
      </c>
      <c r="G1091" s="332">
        <v>9.5</v>
      </c>
      <c r="H1091" s="336">
        <v>1.3083000000000001E-3</v>
      </c>
      <c r="I1091" s="334">
        <v>0.02</v>
      </c>
      <c r="J1091" s="393">
        <v>0.02</v>
      </c>
      <c r="N1091" s="126"/>
      <c r="O1091" s="126"/>
      <c r="R1091" s="121"/>
    </row>
    <row r="1092" spans="1:18" ht="15">
      <c r="A1092" s="332" t="s">
        <v>318</v>
      </c>
      <c r="B1092" s="333" t="s">
        <v>565</v>
      </c>
      <c r="C1092" s="424" t="s">
        <v>330</v>
      </c>
      <c r="D1092" s="332" t="s">
        <v>566</v>
      </c>
      <c r="E1092" s="333">
        <v>201607</v>
      </c>
      <c r="F1092" s="334">
        <v>0.04</v>
      </c>
      <c r="G1092" s="332">
        <v>9.5</v>
      </c>
      <c r="H1092" s="336">
        <v>1.3083000000000001E-3</v>
      </c>
      <c r="I1092" s="334">
        <v>0</v>
      </c>
      <c r="J1092" s="393">
        <v>0</v>
      </c>
      <c r="N1092" s="126"/>
      <c r="O1092" s="126"/>
      <c r="R1092" s="121"/>
    </row>
    <row r="1093" spans="1:18" ht="15">
      <c r="A1093" s="332" t="s">
        <v>318</v>
      </c>
      <c r="B1093" s="333" t="s">
        <v>610</v>
      </c>
      <c r="C1093" s="424" t="s">
        <v>330</v>
      </c>
      <c r="D1093" s="332" t="s">
        <v>611</v>
      </c>
      <c r="E1093" s="333">
        <v>201607</v>
      </c>
      <c r="F1093" s="334">
        <v>0.25</v>
      </c>
      <c r="G1093" s="332">
        <v>9.5</v>
      </c>
      <c r="H1093" s="336">
        <v>1.3083000000000001E-3</v>
      </c>
      <c r="I1093" s="334">
        <v>0</v>
      </c>
      <c r="J1093" s="393">
        <v>0</v>
      </c>
      <c r="N1093" s="126"/>
      <c r="O1093" s="126"/>
      <c r="R1093" s="121"/>
    </row>
    <row r="1094" spans="1:18" ht="15">
      <c r="A1094" s="332" t="s">
        <v>318</v>
      </c>
      <c r="B1094" s="333" t="s">
        <v>610</v>
      </c>
      <c r="C1094" s="424" t="s">
        <v>330</v>
      </c>
      <c r="D1094" s="332" t="s">
        <v>611</v>
      </c>
      <c r="E1094" s="333">
        <v>201607</v>
      </c>
      <c r="F1094" s="334">
        <v>4.82</v>
      </c>
      <c r="G1094" s="332">
        <v>9.5</v>
      </c>
      <c r="H1094" s="336">
        <v>1.3083000000000001E-3</v>
      </c>
      <c r="I1094" s="334">
        <v>0.06</v>
      </c>
      <c r="J1094" s="393">
        <v>0.08</v>
      </c>
      <c r="N1094" s="126"/>
      <c r="O1094" s="126"/>
      <c r="R1094" s="121"/>
    </row>
    <row r="1095" spans="1:18">
      <c r="A1095" s="332" t="s">
        <v>318</v>
      </c>
      <c r="B1095" s="333" t="s">
        <v>672</v>
      </c>
      <c r="C1095" s="423" t="s">
        <v>330</v>
      </c>
      <c r="D1095" s="332" t="s">
        <v>673</v>
      </c>
      <c r="E1095" s="333">
        <v>201607</v>
      </c>
      <c r="F1095" s="334">
        <v>60.67</v>
      </c>
      <c r="G1095" s="332">
        <v>9.5</v>
      </c>
      <c r="H1095" s="336">
        <v>1.3083000000000001E-3</v>
      </c>
      <c r="I1095" s="334">
        <v>0.75</v>
      </c>
      <c r="J1095" s="393">
        <v>0.95</v>
      </c>
      <c r="N1095" s="126"/>
      <c r="O1095" s="126"/>
      <c r="R1095" s="121"/>
    </row>
    <row r="1096" spans="1:18" ht="15">
      <c r="A1096" s="332" t="s">
        <v>318</v>
      </c>
      <c r="B1096" s="333" t="s">
        <v>637</v>
      </c>
      <c r="C1096" s="424" t="s">
        <v>329</v>
      </c>
      <c r="D1096" s="332" t="s">
        <v>638</v>
      </c>
      <c r="E1096" s="333">
        <v>201607</v>
      </c>
      <c r="F1096" s="334">
        <v>0.44</v>
      </c>
      <c r="G1096" s="332">
        <v>9.5</v>
      </c>
      <c r="H1096" s="336">
        <v>1.3083000000000001E-3</v>
      </c>
      <c r="I1096" s="334">
        <v>0.01</v>
      </c>
      <c r="J1096" s="393">
        <v>0.01</v>
      </c>
      <c r="N1096" s="126"/>
      <c r="O1096" s="126"/>
      <c r="R1096" s="121"/>
    </row>
    <row r="1097" spans="1:18">
      <c r="A1097" s="332" t="s">
        <v>318</v>
      </c>
      <c r="B1097" s="333" t="s">
        <v>637</v>
      </c>
      <c r="C1097" s="423" t="s">
        <v>329</v>
      </c>
      <c r="D1097" s="332" t="s">
        <v>638</v>
      </c>
      <c r="E1097" s="333">
        <v>201607</v>
      </c>
      <c r="F1097" s="334">
        <v>5.6</v>
      </c>
      <c r="G1097" s="332">
        <v>9.5</v>
      </c>
      <c r="H1097" s="336">
        <v>1.3083000000000001E-3</v>
      </c>
      <c r="I1097" s="334">
        <v>7.0000000000000007E-2</v>
      </c>
      <c r="J1097" s="393">
        <v>0.09</v>
      </c>
      <c r="N1097" s="126"/>
      <c r="O1097" s="126"/>
      <c r="R1097" s="121"/>
    </row>
    <row r="1098" spans="1:18">
      <c r="A1098" s="332" t="s">
        <v>318</v>
      </c>
      <c r="B1098" s="333" t="s">
        <v>814</v>
      </c>
      <c r="C1098" s="423" t="s">
        <v>330</v>
      </c>
      <c r="D1098" s="332" t="s">
        <v>815</v>
      </c>
      <c r="E1098" s="333">
        <v>201607</v>
      </c>
      <c r="F1098" s="334">
        <v>540.73</v>
      </c>
      <c r="G1098" s="332">
        <v>9.5</v>
      </c>
      <c r="H1098" s="336">
        <v>1.3083000000000001E-3</v>
      </c>
      <c r="I1098" s="334">
        <v>6.72</v>
      </c>
      <c r="J1098" s="393">
        <v>8.49</v>
      </c>
      <c r="N1098" s="126"/>
      <c r="O1098" s="126"/>
      <c r="R1098" s="121"/>
    </row>
    <row r="1099" spans="1:18">
      <c r="A1099" s="332" t="s">
        <v>318</v>
      </c>
      <c r="B1099" s="333" t="s">
        <v>814</v>
      </c>
      <c r="C1099" s="423" t="s">
        <v>330</v>
      </c>
      <c r="D1099" s="332" t="s">
        <v>815</v>
      </c>
      <c r="E1099" s="333">
        <v>201607</v>
      </c>
      <c r="F1099" s="334">
        <v>12601.46</v>
      </c>
      <c r="G1099" s="332">
        <v>9.5</v>
      </c>
      <c r="H1099" s="336">
        <v>1.3083000000000001E-3</v>
      </c>
      <c r="I1099" s="334">
        <v>156.62</v>
      </c>
      <c r="J1099" s="393">
        <v>197.84</v>
      </c>
      <c r="N1099" s="126"/>
      <c r="O1099" s="126"/>
      <c r="R1099" s="121"/>
    </row>
    <row r="1100" spans="1:18">
      <c r="A1100" s="332" t="s">
        <v>318</v>
      </c>
      <c r="B1100" s="333" t="s">
        <v>674</v>
      </c>
      <c r="C1100" s="423" t="s">
        <v>330</v>
      </c>
      <c r="D1100" s="332" t="s">
        <v>675</v>
      </c>
      <c r="E1100" s="333">
        <v>201607</v>
      </c>
      <c r="F1100" s="334">
        <v>35.07</v>
      </c>
      <c r="G1100" s="332">
        <v>9.5</v>
      </c>
      <c r="H1100" s="336">
        <v>1.3083000000000001E-3</v>
      </c>
      <c r="I1100" s="334">
        <v>0.44</v>
      </c>
      <c r="J1100" s="393">
        <v>0.55000000000000004</v>
      </c>
      <c r="N1100" s="126"/>
      <c r="O1100" s="126"/>
      <c r="R1100" s="121"/>
    </row>
    <row r="1101" spans="1:18">
      <c r="A1101" s="332" t="s">
        <v>318</v>
      </c>
      <c r="B1101" s="333" t="s">
        <v>674</v>
      </c>
      <c r="C1101" s="423" t="s">
        <v>330</v>
      </c>
      <c r="D1101" s="332" t="s">
        <v>675</v>
      </c>
      <c r="E1101" s="333">
        <v>201607</v>
      </c>
      <c r="F1101" s="334">
        <v>662.41</v>
      </c>
      <c r="G1101" s="332">
        <v>9.5</v>
      </c>
      <c r="H1101" s="336">
        <v>1.3083000000000001E-3</v>
      </c>
      <c r="I1101" s="334">
        <v>8.23</v>
      </c>
      <c r="J1101" s="393">
        <v>10.4</v>
      </c>
      <c r="N1101" s="126"/>
      <c r="O1101" s="126"/>
      <c r="R1101" s="121"/>
    </row>
    <row r="1102" spans="1:18">
      <c r="A1102" s="332" t="s">
        <v>318</v>
      </c>
      <c r="B1102" s="333" t="s">
        <v>790</v>
      </c>
      <c r="C1102" s="423" t="s">
        <v>330</v>
      </c>
      <c r="D1102" s="332" t="s">
        <v>791</v>
      </c>
      <c r="E1102" s="333">
        <v>201607</v>
      </c>
      <c r="F1102" s="334">
        <v>353.37</v>
      </c>
      <c r="G1102" s="332">
        <v>9.5</v>
      </c>
      <c r="H1102" s="336">
        <v>1.3083000000000001E-3</v>
      </c>
      <c r="I1102" s="334">
        <v>4.3899999999999997</v>
      </c>
      <c r="J1102" s="393">
        <v>5.55</v>
      </c>
      <c r="N1102" s="126"/>
      <c r="O1102" s="126"/>
      <c r="R1102" s="121"/>
    </row>
    <row r="1103" spans="1:18" ht="15">
      <c r="A1103" s="332" t="s">
        <v>318</v>
      </c>
      <c r="B1103" s="333" t="s">
        <v>790</v>
      </c>
      <c r="C1103" s="424" t="s">
        <v>330</v>
      </c>
      <c r="D1103" s="332" t="s">
        <v>791</v>
      </c>
      <c r="E1103" s="333">
        <v>201607</v>
      </c>
      <c r="F1103" s="334">
        <v>8321.8799999999992</v>
      </c>
      <c r="G1103" s="332">
        <v>9.5</v>
      </c>
      <c r="H1103" s="336">
        <v>1.3083000000000001E-3</v>
      </c>
      <c r="I1103" s="334">
        <v>103.43</v>
      </c>
      <c r="J1103" s="393">
        <v>130.65</v>
      </c>
      <c r="N1103" s="126"/>
      <c r="O1103" s="126"/>
      <c r="R1103" s="121"/>
    </row>
    <row r="1104" spans="1:18" ht="15">
      <c r="A1104" s="332" t="s">
        <v>318</v>
      </c>
      <c r="B1104" s="333" t="s">
        <v>840</v>
      </c>
      <c r="C1104" s="424" t="s">
        <v>330</v>
      </c>
      <c r="D1104" s="332" t="s">
        <v>841</v>
      </c>
      <c r="E1104" s="333">
        <v>201607</v>
      </c>
      <c r="F1104" s="334">
        <v>2070.64</v>
      </c>
      <c r="G1104" s="332">
        <v>9.5</v>
      </c>
      <c r="H1104" s="336">
        <v>1.3083000000000001E-3</v>
      </c>
      <c r="I1104" s="334">
        <v>25.74</v>
      </c>
      <c r="J1104" s="393">
        <v>32.51</v>
      </c>
      <c r="N1104" s="126"/>
      <c r="O1104" s="126"/>
      <c r="R1104" s="121"/>
    </row>
    <row r="1105" spans="1:18">
      <c r="A1105" s="332" t="s">
        <v>318</v>
      </c>
      <c r="B1105" s="333" t="s">
        <v>840</v>
      </c>
      <c r="C1105" s="423" t="s">
        <v>330</v>
      </c>
      <c r="D1105" s="332" t="s">
        <v>841</v>
      </c>
      <c r="E1105" s="333">
        <v>201607</v>
      </c>
      <c r="F1105" s="334">
        <v>21984.99</v>
      </c>
      <c r="G1105" s="332">
        <v>9.5</v>
      </c>
      <c r="H1105" s="336">
        <v>1.3083000000000001E-3</v>
      </c>
      <c r="I1105" s="334">
        <v>273.25</v>
      </c>
      <c r="J1105" s="393">
        <v>345.16</v>
      </c>
      <c r="N1105" s="126"/>
      <c r="O1105" s="126"/>
      <c r="R1105" s="121"/>
    </row>
    <row r="1106" spans="1:18">
      <c r="A1106" s="332" t="s">
        <v>318</v>
      </c>
      <c r="B1106" s="333" t="s">
        <v>842</v>
      </c>
      <c r="C1106" s="423" t="s">
        <v>330</v>
      </c>
      <c r="D1106" s="332" t="s">
        <v>843</v>
      </c>
      <c r="E1106" s="333">
        <v>201607</v>
      </c>
      <c r="F1106" s="334">
        <v>3270.02</v>
      </c>
      <c r="G1106" s="332">
        <v>9.5</v>
      </c>
      <c r="H1106" s="336">
        <v>1.3083000000000001E-3</v>
      </c>
      <c r="I1106" s="334">
        <v>40.64</v>
      </c>
      <c r="J1106" s="393">
        <v>51.34</v>
      </c>
      <c r="N1106" s="126"/>
      <c r="O1106" s="126"/>
      <c r="R1106" s="121"/>
    </row>
    <row r="1107" spans="1:18">
      <c r="A1107" s="332" t="s">
        <v>318</v>
      </c>
      <c r="B1107" s="333" t="s">
        <v>842</v>
      </c>
      <c r="C1107" s="423" t="s">
        <v>330</v>
      </c>
      <c r="D1107" s="332" t="s">
        <v>843</v>
      </c>
      <c r="E1107" s="333">
        <v>201607</v>
      </c>
      <c r="F1107" s="334">
        <v>47272.3</v>
      </c>
      <c r="G1107" s="332">
        <v>9.5</v>
      </c>
      <c r="H1107" s="336">
        <v>1.3083000000000001E-3</v>
      </c>
      <c r="I1107" s="334">
        <v>587.54</v>
      </c>
      <c r="J1107" s="393">
        <v>742.16</v>
      </c>
      <c r="N1107" s="126"/>
      <c r="O1107" s="126"/>
      <c r="R1107" s="121"/>
    </row>
    <row r="1108" spans="1:18">
      <c r="A1108" s="332" t="s">
        <v>318</v>
      </c>
      <c r="B1108" s="333" t="s">
        <v>860</v>
      </c>
      <c r="C1108" s="423" t="s">
        <v>330</v>
      </c>
      <c r="D1108" s="332" t="s">
        <v>861</v>
      </c>
      <c r="E1108" s="333">
        <v>201607</v>
      </c>
      <c r="F1108" s="334">
        <v>1138.44</v>
      </c>
      <c r="G1108" s="332">
        <v>9.5</v>
      </c>
      <c r="H1108" s="336">
        <v>1.3083000000000001E-3</v>
      </c>
      <c r="I1108" s="334">
        <v>14.15</v>
      </c>
      <c r="J1108" s="393">
        <v>17.87</v>
      </c>
      <c r="N1108" s="126"/>
      <c r="O1108" s="126"/>
      <c r="R1108" s="121"/>
    </row>
    <row r="1109" spans="1:18" ht="15">
      <c r="A1109" s="332" t="s">
        <v>318</v>
      </c>
      <c r="B1109" s="333" t="s">
        <v>860</v>
      </c>
      <c r="C1109" s="424" t="s">
        <v>330</v>
      </c>
      <c r="D1109" s="332" t="s">
        <v>861</v>
      </c>
      <c r="E1109" s="333">
        <v>201607</v>
      </c>
      <c r="F1109" s="334">
        <v>18202.91</v>
      </c>
      <c r="G1109" s="332">
        <v>9.5</v>
      </c>
      <c r="H1109" s="336">
        <v>1.3083000000000001E-3</v>
      </c>
      <c r="I1109" s="334">
        <v>226.24</v>
      </c>
      <c r="J1109" s="393">
        <v>285.77999999999997</v>
      </c>
      <c r="N1109" s="126"/>
      <c r="O1109" s="126"/>
      <c r="R1109" s="121"/>
    </row>
    <row r="1110" spans="1:18" ht="15">
      <c r="A1110" s="332" t="s">
        <v>318</v>
      </c>
      <c r="B1110" s="333" t="s">
        <v>639</v>
      </c>
      <c r="C1110" s="424" t="s">
        <v>329</v>
      </c>
      <c r="D1110" s="332" t="s">
        <v>640</v>
      </c>
      <c r="E1110" s="333">
        <v>201607</v>
      </c>
      <c r="F1110" s="334">
        <v>1.38</v>
      </c>
      <c r="G1110" s="332">
        <v>9.5</v>
      </c>
      <c r="H1110" s="336">
        <v>1.3083000000000001E-3</v>
      </c>
      <c r="I1110" s="334">
        <v>0.02</v>
      </c>
      <c r="J1110" s="393">
        <v>0.02</v>
      </c>
      <c r="N1110" s="126"/>
      <c r="O1110" s="126"/>
      <c r="R1110" s="121"/>
    </row>
    <row r="1111" spans="1:18">
      <c r="A1111" s="332" t="s">
        <v>318</v>
      </c>
      <c r="B1111" s="333" t="s">
        <v>639</v>
      </c>
      <c r="C1111" s="423" t="s">
        <v>329</v>
      </c>
      <c r="D1111" s="332" t="s">
        <v>640</v>
      </c>
      <c r="E1111" s="333">
        <v>201607</v>
      </c>
      <c r="F1111" s="334">
        <v>5.75</v>
      </c>
      <c r="G1111" s="332">
        <v>9.5</v>
      </c>
      <c r="H1111" s="336">
        <v>1.3083000000000001E-3</v>
      </c>
      <c r="I1111" s="334">
        <v>7.0000000000000007E-2</v>
      </c>
      <c r="J1111" s="393">
        <v>0.09</v>
      </c>
      <c r="N1111" s="126"/>
      <c r="O1111" s="126"/>
      <c r="R1111" s="121"/>
    </row>
    <row r="1112" spans="1:18">
      <c r="A1112" s="332" t="s">
        <v>318</v>
      </c>
      <c r="B1112" s="333" t="s">
        <v>676</v>
      </c>
      <c r="C1112" s="423" t="s">
        <v>329</v>
      </c>
      <c r="D1112" s="332" t="s">
        <v>677</v>
      </c>
      <c r="E1112" s="333">
        <v>201607</v>
      </c>
      <c r="F1112" s="334">
        <v>-335.93</v>
      </c>
      <c r="G1112" s="332">
        <v>9.5</v>
      </c>
      <c r="H1112" s="336">
        <v>1.3083000000000001E-3</v>
      </c>
      <c r="I1112" s="334">
        <v>-4.18</v>
      </c>
      <c r="J1112" s="393">
        <v>-5.27</v>
      </c>
      <c r="N1112" s="126"/>
      <c r="O1112" s="126"/>
      <c r="R1112" s="121"/>
    </row>
    <row r="1113" spans="1:18">
      <c r="A1113" s="332" t="s">
        <v>318</v>
      </c>
      <c r="B1113" s="333" t="s">
        <v>676</v>
      </c>
      <c r="C1113" s="423" t="s">
        <v>329</v>
      </c>
      <c r="D1113" s="332" t="s">
        <v>677</v>
      </c>
      <c r="E1113" s="333">
        <v>201607</v>
      </c>
      <c r="F1113" s="334">
        <v>-54.45</v>
      </c>
      <c r="G1113" s="332">
        <v>9.5</v>
      </c>
      <c r="H1113" s="336">
        <v>1.3083000000000001E-3</v>
      </c>
      <c r="I1113" s="334">
        <v>-0.68</v>
      </c>
      <c r="J1113" s="393">
        <v>-0.85</v>
      </c>
      <c r="N1113" s="126"/>
      <c r="O1113" s="126"/>
      <c r="R1113" s="121"/>
    </row>
    <row r="1114" spans="1:18">
      <c r="A1114" s="332" t="s">
        <v>318</v>
      </c>
      <c r="B1114" s="333" t="s">
        <v>844</v>
      </c>
      <c r="C1114" s="423" t="s">
        <v>329</v>
      </c>
      <c r="D1114" s="332" t="s">
        <v>845</v>
      </c>
      <c r="E1114" s="333">
        <v>201607</v>
      </c>
      <c r="F1114" s="334">
        <v>1838.62</v>
      </c>
      <c r="G1114" s="332">
        <v>9.5</v>
      </c>
      <c r="H1114" s="336">
        <v>1.3083000000000001E-3</v>
      </c>
      <c r="I1114" s="334">
        <v>22.85</v>
      </c>
      <c r="J1114" s="393">
        <v>28.87</v>
      </c>
      <c r="N1114" s="126"/>
      <c r="O1114" s="126"/>
      <c r="R1114" s="121"/>
    </row>
    <row r="1115" spans="1:18">
      <c r="A1115" s="332" t="s">
        <v>318</v>
      </c>
      <c r="B1115" s="333" t="s">
        <v>844</v>
      </c>
      <c r="C1115" s="423" t="s">
        <v>329</v>
      </c>
      <c r="D1115" s="332" t="s">
        <v>845</v>
      </c>
      <c r="E1115" s="333">
        <v>201607</v>
      </c>
      <c r="F1115" s="334">
        <v>35374.32</v>
      </c>
      <c r="G1115" s="332">
        <v>9.5</v>
      </c>
      <c r="H1115" s="336">
        <v>1.3083000000000001E-3</v>
      </c>
      <c r="I1115" s="334">
        <v>439.66</v>
      </c>
      <c r="J1115" s="393">
        <v>555.36</v>
      </c>
      <c r="N1115" s="126"/>
      <c r="O1115" s="126"/>
      <c r="R1115" s="121"/>
    </row>
    <row r="1116" spans="1:18">
      <c r="A1116" s="332" t="s">
        <v>318</v>
      </c>
      <c r="B1116" s="333" t="s">
        <v>678</v>
      </c>
      <c r="C1116" s="423" t="s">
        <v>330</v>
      </c>
      <c r="D1116" s="332" t="s">
        <v>679</v>
      </c>
      <c r="E1116" s="333">
        <v>201607</v>
      </c>
      <c r="F1116" s="334">
        <v>150.05000000000001</v>
      </c>
      <c r="G1116" s="332">
        <v>9.5</v>
      </c>
      <c r="H1116" s="336">
        <v>1.3083000000000001E-3</v>
      </c>
      <c r="I1116" s="334">
        <v>1.86</v>
      </c>
      <c r="J1116" s="393">
        <v>2.36</v>
      </c>
      <c r="N1116" s="126"/>
      <c r="O1116" s="126"/>
      <c r="R1116" s="121"/>
    </row>
    <row r="1117" spans="1:18" ht="15">
      <c r="A1117" s="332" t="s">
        <v>318</v>
      </c>
      <c r="B1117" s="333" t="s">
        <v>678</v>
      </c>
      <c r="C1117" s="424" t="s">
        <v>330</v>
      </c>
      <c r="D1117" s="332" t="s">
        <v>679</v>
      </c>
      <c r="E1117" s="333">
        <v>201607</v>
      </c>
      <c r="F1117" s="334">
        <v>2486.87</v>
      </c>
      <c r="G1117" s="332">
        <v>9.5</v>
      </c>
      <c r="H1117" s="336">
        <v>1.3083000000000001E-3</v>
      </c>
      <c r="I1117" s="334">
        <v>30.91</v>
      </c>
      <c r="J1117" s="393">
        <v>39.04</v>
      </c>
      <c r="N1117" s="126"/>
      <c r="O1117" s="126"/>
      <c r="R1117" s="121"/>
    </row>
    <row r="1118" spans="1:18" ht="15">
      <c r="A1118" s="332" t="s">
        <v>318</v>
      </c>
      <c r="B1118" s="333" t="s">
        <v>862</v>
      </c>
      <c r="C1118" s="424" t="s">
        <v>330</v>
      </c>
      <c r="D1118" s="332" t="s">
        <v>863</v>
      </c>
      <c r="E1118" s="333">
        <v>201607</v>
      </c>
      <c r="F1118" s="334">
        <v>1204.3499999999999</v>
      </c>
      <c r="G1118" s="332">
        <v>9.5</v>
      </c>
      <c r="H1118" s="336">
        <v>1.3083000000000001E-3</v>
      </c>
      <c r="I1118" s="334">
        <v>14.97</v>
      </c>
      <c r="J1118" s="393">
        <v>18.91</v>
      </c>
      <c r="N1118" s="126"/>
      <c r="O1118" s="126"/>
      <c r="R1118" s="121"/>
    </row>
    <row r="1119" spans="1:18" ht="15">
      <c r="A1119" s="332" t="s">
        <v>318</v>
      </c>
      <c r="B1119" s="333" t="s">
        <v>862</v>
      </c>
      <c r="C1119" s="424" t="s">
        <v>330</v>
      </c>
      <c r="D1119" s="332" t="s">
        <v>863</v>
      </c>
      <c r="E1119" s="333">
        <v>201607</v>
      </c>
      <c r="F1119" s="334">
        <v>18948.919999999998</v>
      </c>
      <c r="G1119" s="332">
        <v>9.5</v>
      </c>
      <c r="H1119" s="336">
        <v>1.3083000000000001E-3</v>
      </c>
      <c r="I1119" s="334">
        <v>235.51</v>
      </c>
      <c r="J1119" s="393">
        <v>297.49</v>
      </c>
      <c r="N1119" s="126"/>
      <c r="O1119" s="126"/>
      <c r="R1119" s="121"/>
    </row>
    <row r="1120" spans="1:18" ht="15">
      <c r="A1120" s="332" t="s">
        <v>318</v>
      </c>
      <c r="B1120" s="333" t="s">
        <v>680</v>
      </c>
      <c r="C1120" s="424" t="s">
        <v>330</v>
      </c>
      <c r="D1120" s="332" t="s">
        <v>681</v>
      </c>
      <c r="E1120" s="333">
        <v>201607</v>
      </c>
      <c r="F1120" s="334">
        <v>-57.13</v>
      </c>
      <c r="G1120" s="332">
        <v>9.5</v>
      </c>
      <c r="H1120" s="336">
        <v>1.3083000000000001E-3</v>
      </c>
      <c r="I1120" s="334">
        <v>-0.71</v>
      </c>
      <c r="J1120" s="393">
        <v>-0.9</v>
      </c>
      <c r="N1120" s="126"/>
      <c r="O1120" s="126"/>
      <c r="R1120" s="121"/>
    </row>
    <row r="1121" spans="1:18" ht="15">
      <c r="A1121" s="332" t="s">
        <v>318</v>
      </c>
      <c r="B1121" s="333" t="s">
        <v>680</v>
      </c>
      <c r="C1121" s="424" t="s">
        <v>330</v>
      </c>
      <c r="D1121" s="332" t="s">
        <v>681</v>
      </c>
      <c r="E1121" s="333">
        <v>201607</v>
      </c>
      <c r="F1121" s="334">
        <v>-1.41</v>
      </c>
      <c r="G1121" s="332">
        <v>9.5</v>
      </c>
      <c r="H1121" s="336">
        <v>1.3083000000000001E-3</v>
      </c>
      <c r="I1121" s="334">
        <v>-0.02</v>
      </c>
      <c r="J1121" s="393">
        <v>-0.02</v>
      </c>
      <c r="N1121" s="126"/>
      <c r="O1121" s="126"/>
      <c r="R1121" s="121"/>
    </row>
    <row r="1122" spans="1:18" ht="15">
      <c r="A1122" s="332" t="s">
        <v>318</v>
      </c>
      <c r="B1122" s="333" t="s">
        <v>682</v>
      </c>
      <c r="C1122" s="424" t="s">
        <v>330</v>
      </c>
      <c r="D1122" s="332" t="s">
        <v>683</v>
      </c>
      <c r="E1122" s="333">
        <v>201607</v>
      </c>
      <c r="F1122" s="334">
        <v>1634.15</v>
      </c>
      <c r="G1122" s="332">
        <v>9.5</v>
      </c>
      <c r="H1122" s="336">
        <v>1.3083000000000001E-3</v>
      </c>
      <c r="I1122" s="334">
        <v>20.309999999999999</v>
      </c>
      <c r="J1122" s="393">
        <v>25.66</v>
      </c>
      <c r="N1122" s="126"/>
      <c r="O1122" s="126"/>
      <c r="R1122" s="121"/>
    </row>
    <row r="1123" spans="1:18">
      <c r="A1123" s="332" t="s">
        <v>318</v>
      </c>
      <c r="B1123" s="333" t="s">
        <v>682</v>
      </c>
      <c r="C1123" s="423" t="s">
        <v>330</v>
      </c>
      <c r="D1123" s="332" t="s">
        <v>683</v>
      </c>
      <c r="E1123" s="333">
        <v>201607</v>
      </c>
      <c r="F1123" s="334">
        <v>39173.440000000002</v>
      </c>
      <c r="G1123" s="332">
        <v>9.5</v>
      </c>
      <c r="H1123" s="336">
        <v>1.3083000000000001E-3</v>
      </c>
      <c r="I1123" s="334">
        <v>486.88</v>
      </c>
      <c r="J1123" s="393">
        <v>615.01</v>
      </c>
      <c r="N1123" s="126"/>
      <c r="O1123" s="126"/>
      <c r="R1123" s="121"/>
    </row>
    <row r="1124" spans="1:18">
      <c r="A1124" s="332" t="s">
        <v>318</v>
      </c>
      <c r="B1124" s="333" t="s">
        <v>641</v>
      </c>
      <c r="C1124" s="423" t="s">
        <v>330</v>
      </c>
      <c r="D1124" s="332" t="s">
        <v>642</v>
      </c>
      <c r="E1124" s="333">
        <v>201607</v>
      </c>
      <c r="F1124" s="334">
        <v>0.06</v>
      </c>
      <c r="G1124" s="332">
        <v>9.5</v>
      </c>
      <c r="H1124" s="381">
        <v>1.3083000000000001E-3</v>
      </c>
      <c r="I1124" s="334">
        <v>0</v>
      </c>
      <c r="J1124" s="393">
        <v>0</v>
      </c>
      <c r="N1124" s="126"/>
      <c r="O1124" s="126"/>
      <c r="R1124" s="121"/>
    </row>
    <row r="1125" spans="1:18">
      <c r="A1125" s="332" t="s">
        <v>318</v>
      </c>
      <c r="B1125" s="333" t="s">
        <v>641</v>
      </c>
      <c r="C1125" s="423" t="s">
        <v>330</v>
      </c>
      <c r="D1125" s="332" t="s">
        <v>642</v>
      </c>
      <c r="E1125" s="333">
        <v>201607</v>
      </c>
      <c r="F1125" s="334">
        <v>0.71</v>
      </c>
      <c r="G1125" s="332">
        <v>9.5</v>
      </c>
      <c r="H1125" s="381">
        <v>1.3083000000000001E-3</v>
      </c>
      <c r="I1125" s="334">
        <v>0.01</v>
      </c>
      <c r="J1125" s="393">
        <v>0.01</v>
      </c>
      <c r="N1125" s="126"/>
      <c r="O1125" s="126"/>
      <c r="R1125" s="121"/>
    </row>
    <row r="1126" spans="1:18">
      <c r="A1126" s="332" t="s">
        <v>318</v>
      </c>
      <c r="B1126" s="333" t="s">
        <v>816</v>
      </c>
      <c r="C1126" s="423" t="s">
        <v>329</v>
      </c>
      <c r="D1126" s="332" t="s">
        <v>817</v>
      </c>
      <c r="E1126" s="333">
        <v>201607</v>
      </c>
      <c r="F1126" s="334">
        <v>803.55</v>
      </c>
      <c r="G1126" s="332">
        <v>9.5</v>
      </c>
      <c r="H1126" s="381">
        <v>1.3083000000000001E-3</v>
      </c>
      <c r="I1126" s="334">
        <v>9.99</v>
      </c>
      <c r="J1126" s="393">
        <v>12.62</v>
      </c>
      <c r="N1126" s="126"/>
      <c r="O1126" s="126"/>
      <c r="R1126" s="121"/>
    </row>
    <row r="1127" spans="1:18">
      <c r="A1127" s="332" t="s">
        <v>318</v>
      </c>
      <c r="B1127" s="333" t="s">
        <v>816</v>
      </c>
      <c r="C1127" s="423" t="s">
        <v>329</v>
      </c>
      <c r="D1127" s="332" t="s">
        <v>817</v>
      </c>
      <c r="E1127" s="333">
        <v>201607</v>
      </c>
      <c r="F1127" s="334">
        <v>19324.95</v>
      </c>
      <c r="G1127" s="332">
        <v>9.5</v>
      </c>
      <c r="H1127" s="381">
        <v>1.3083000000000001E-3</v>
      </c>
      <c r="I1127" s="334">
        <v>240.19</v>
      </c>
      <c r="J1127" s="393">
        <v>303.39</v>
      </c>
      <c r="N1127" s="126"/>
      <c r="O1127" s="126"/>
      <c r="R1127" s="121"/>
    </row>
    <row r="1128" spans="1:18">
      <c r="A1128" s="332" t="s">
        <v>318</v>
      </c>
      <c r="B1128" s="333" t="s">
        <v>846</v>
      </c>
      <c r="C1128" s="423" t="s">
        <v>330</v>
      </c>
      <c r="D1128" s="332" t="s">
        <v>847</v>
      </c>
      <c r="E1128" s="333">
        <v>201607</v>
      </c>
      <c r="F1128" s="334">
        <v>572.44000000000005</v>
      </c>
      <c r="G1128" s="332">
        <v>9.5</v>
      </c>
      <c r="H1128" s="381">
        <v>1.3083000000000001E-3</v>
      </c>
      <c r="I1128" s="334">
        <v>7.11</v>
      </c>
      <c r="J1128" s="393">
        <v>8.99</v>
      </c>
      <c r="N1128" s="126"/>
      <c r="O1128" s="126"/>
      <c r="R1128" s="121"/>
    </row>
    <row r="1129" spans="1:18">
      <c r="A1129" s="332" t="s">
        <v>318</v>
      </c>
      <c r="B1129" s="333" t="s">
        <v>846</v>
      </c>
      <c r="C1129" s="423" t="s">
        <v>330</v>
      </c>
      <c r="D1129" s="332" t="s">
        <v>847</v>
      </c>
      <c r="E1129" s="333">
        <v>201607</v>
      </c>
      <c r="F1129" s="334">
        <v>15107.24</v>
      </c>
      <c r="G1129" s="332">
        <v>9.5</v>
      </c>
      <c r="H1129" s="381">
        <v>1.3083000000000001E-3</v>
      </c>
      <c r="I1129" s="334">
        <v>187.77</v>
      </c>
      <c r="J1129" s="393">
        <v>237.18</v>
      </c>
      <c r="N1129" s="126"/>
      <c r="O1129" s="126"/>
      <c r="R1129" s="121"/>
    </row>
    <row r="1130" spans="1:18">
      <c r="A1130" s="332" t="s">
        <v>318</v>
      </c>
      <c r="B1130" s="333" t="s">
        <v>864</v>
      </c>
      <c r="C1130" s="423" t="s">
        <v>329</v>
      </c>
      <c r="D1130" s="332" t="s">
        <v>865</v>
      </c>
      <c r="E1130" s="333">
        <v>201607</v>
      </c>
      <c r="F1130" s="334">
        <v>288.88</v>
      </c>
      <c r="G1130" s="332">
        <v>9.5</v>
      </c>
      <c r="H1130" s="381">
        <v>1.3083000000000001E-3</v>
      </c>
      <c r="I1130" s="334">
        <v>3.59</v>
      </c>
      <c r="J1130" s="393">
        <v>4.54</v>
      </c>
      <c r="N1130" s="126"/>
      <c r="O1130" s="126"/>
      <c r="R1130" s="121"/>
    </row>
    <row r="1131" spans="1:18" ht="15">
      <c r="A1131" s="332" t="s">
        <v>318</v>
      </c>
      <c r="B1131" s="333" t="s">
        <v>864</v>
      </c>
      <c r="C1131" s="424" t="s">
        <v>329</v>
      </c>
      <c r="D1131" s="332" t="s">
        <v>865</v>
      </c>
      <c r="E1131" s="333">
        <v>201607</v>
      </c>
      <c r="F1131" s="334">
        <v>4488.83</v>
      </c>
      <c r="G1131" s="332">
        <v>9.5</v>
      </c>
      <c r="H1131" s="381">
        <v>1.3083000000000001E-3</v>
      </c>
      <c r="I1131" s="334">
        <v>55.79</v>
      </c>
      <c r="J1131" s="393">
        <v>70.47</v>
      </c>
      <c r="N1131" s="126"/>
      <c r="O1131" s="126"/>
      <c r="R1131" s="121"/>
    </row>
    <row r="1132" spans="1:18" ht="15">
      <c r="A1132" s="332" t="s">
        <v>318</v>
      </c>
      <c r="B1132" s="333" t="s">
        <v>848</v>
      </c>
      <c r="C1132" s="424" t="s">
        <v>329</v>
      </c>
      <c r="D1132" s="332" t="s">
        <v>849</v>
      </c>
      <c r="E1132" s="333">
        <v>201607</v>
      </c>
      <c r="F1132" s="334">
        <v>1637.99</v>
      </c>
      <c r="G1132" s="332">
        <v>9.5</v>
      </c>
      <c r="H1132" s="381">
        <v>1.3083000000000001E-3</v>
      </c>
      <c r="I1132" s="334">
        <v>20.36</v>
      </c>
      <c r="J1132" s="393">
        <v>25.72</v>
      </c>
      <c r="N1132" s="126"/>
      <c r="O1132" s="126"/>
      <c r="R1132" s="121"/>
    </row>
    <row r="1133" spans="1:18">
      <c r="A1133" s="332" t="s">
        <v>318</v>
      </c>
      <c r="B1133" s="333" t="s">
        <v>848</v>
      </c>
      <c r="C1133" s="423" t="s">
        <v>329</v>
      </c>
      <c r="D1133" s="332" t="s">
        <v>849</v>
      </c>
      <c r="E1133" s="333">
        <v>201607</v>
      </c>
      <c r="F1133" s="334">
        <v>34270.18</v>
      </c>
      <c r="G1133" s="332">
        <v>9.5</v>
      </c>
      <c r="H1133" s="381">
        <v>1.3083000000000001E-3</v>
      </c>
      <c r="I1133" s="334">
        <v>425.94</v>
      </c>
      <c r="J1133" s="393">
        <v>538.03</v>
      </c>
      <c r="N1133" s="126"/>
      <c r="O1133" s="126"/>
      <c r="R1133" s="121"/>
    </row>
    <row r="1134" spans="1:18">
      <c r="A1134" s="332" t="s">
        <v>318</v>
      </c>
      <c r="B1134" s="333" t="s">
        <v>684</v>
      </c>
      <c r="C1134" s="423" t="s">
        <v>330</v>
      </c>
      <c r="D1134" s="332" t="s">
        <v>685</v>
      </c>
      <c r="E1134" s="333">
        <v>201607</v>
      </c>
      <c r="F1134" s="334">
        <v>-4.7300000000000004</v>
      </c>
      <c r="G1134" s="332">
        <v>9.5</v>
      </c>
      <c r="H1134" s="381">
        <v>1.3083000000000001E-3</v>
      </c>
      <c r="I1134" s="334">
        <v>-0.06</v>
      </c>
      <c r="J1134" s="393">
        <v>-7.0000000000000007E-2</v>
      </c>
      <c r="N1134" s="126"/>
      <c r="O1134" s="126"/>
      <c r="R1134" s="121"/>
    </row>
    <row r="1135" spans="1:18">
      <c r="A1135" s="332" t="s">
        <v>318</v>
      </c>
      <c r="B1135" s="333" t="s">
        <v>684</v>
      </c>
      <c r="C1135" s="423" t="s">
        <v>330</v>
      </c>
      <c r="D1135" s="332" t="s">
        <v>685</v>
      </c>
      <c r="E1135" s="333">
        <v>201607</v>
      </c>
      <c r="F1135" s="334">
        <v>-0.09</v>
      </c>
      <c r="G1135" s="332">
        <v>9.5</v>
      </c>
      <c r="H1135" s="381">
        <v>1.3083000000000001E-3</v>
      </c>
      <c r="I1135" s="334">
        <v>0</v>
      </c>
      <c r="J1135" s="393">
        <v>0</v>
      </c>
      <c r="N1135" s="126"/>
      <c r="O1135" s="126"/>
      <c r="R1135" s="121"/>
    </row>
    <row r="1136" spans="1:18">
      <c r="A1136" s="332" t="s">
        <v>318</v>
      </c>
      <c r="B1136" s="333" t="s">
        <v>866</v>
      </c>
      <c r="C1136" s="423" t="s">
        <v>329</v>
      </c>
      <c r="D1136" s="332" t="s">
        <v>867</v>
      </c>
      <c r="E1136" s="333">
        <v>201607</v>
      </c>
      <c r="F1136" s="334">
        <v>255.66</v>
      </c>
      <c r="G1136" s="332">
        <v>9.5</v>
      </c>
      <c r="H1136" s="381">
        <v>1.3083000000000001E-3</v>
      </c>
      <c r="I1136" s="334">
        <v>3.18</v>
      </c>
      <c r="J1136" s="393">
        <v>4.01</v>
      </c>
      <c r="N1136" s="126"/>
      <c r="O1136" s="126"/>
      <c r="R1136" s="121"/>
    </row>
    <row r="1137" spans="1:18" ht="15">
      <c r="A1137" s="332" t="s">
        <v>318</v>
      </c>
      <c r="B1137" s="333" t="s">
        <v>866</v>
      </c>
      <c r="C1137" s="424" t="s">
        <v>329</v>
      </c>
      <c r="D1137" s="332" t="s">
        <v>867</v>
      </c>
      <c r="E1137" s="333">
        <v>201607</v>
      </c>
      <c r="F1137" s="334">
        <v>2725.22</v>
      </c>
      <c r="G1137" s="332">
        <v>9.5</v>
      </c>
      <c r="H1137" s="381">
        <v>1.3083000000000001E-3</v>
      </c>
      <c r="I1137" s="334">
        <v>33.869999999999997</v>
      </c>
      <c r="J1137" s="393">
        <v>42.78</v>
      </c>
      <c r="N1137" s="126"/>
      <c r="O1137" s="126"/>
      <c r="R1137" s="121"/>
    </row>
    <row r="1138" spans="1:18" ht="15">
      <c r="A1138" s="332" t="s">
        <v>318</v>
      </c>
      <c r="B1138" s="333" t="s">
        <v>792</v>
      </c>
      <c r="C1138" s="424" t="s">
        <v>329</v>
      </c>
      <c r="D1138" s="332" t="s">
        <v>793</v>
      </c>
      <c r="E1138" s="333">
        <v>201607</v>
      </c>
      <c r="F1138" s="334">
        <v>5747.69</v>
      </c>
      <c r="G1138" s="332">
        <v>9.5</v>
      </c>
      <c r="H1138" s="381">
        <v>1.3083000000000001E-3</v>
      </c>
      <c r="I1138" s="334">
        <v>71.44</v>
      </c>
      <c r="J1138" s="393">
        <v>90.24</v>
      </c>
      <c r="N1138" s="126"/>
      <c r="O1138" s="126"/>
      <c r="R1138" s="121"/>
    </row>
    <row r="1139" spans="1:18" ht="15">
      <c r="A1139" s="332" t="s">
        <v>318</v>
      </c>
      <c r="B1139" s="333" t="s">
        <v>792</v>
      </c>
      <c r="C1139" s="424" t="s">
        <v>329</v>
      </c>
      <c r="D1139" s="332" t="s">
        <v>793</v>
      </c>
      <c r="E1139" s="333">
        <v>201607</v>
      </c>
      <c r="F1139" s="334">
        <v>26593.03</v>
      </c>
      <c r="G1139" s="332">
        <v>9.5</v>
      </c>
      <c r="H1139" s="381">
        <v>1.3083000000000001E-3</v>
      </c>
      <c r="I1139" s="334">
        <v>330.52</v>
      </c>
      <c r="J1139" s="393">
        <v>417.5</v>
      </c>
      <c r="N1139" s="126"/>
      <c r="O1139" s="126"/>
      <c r="R1139" s="121"/>
    </row>
    <row r="1140" spans="1:18" ht="15">
      <c r="A1140" s="332" t="s">
        <v>318</v>
      </c>
      <c r="B1140" s="333" t="s">
        <v>686</v>
      </c>
      <c r="C1140" s="424" t="s">
        <v>329</v>
      </c>
      <c r="D1140" s="332" t="s">
        <v>687</v>
      </c>
      <c r="E1140" s="333">
        <v>201607</v>
      </c>
      <c r="F1140" s="334">
        <v>964.13</v>
      </c>
      <c r="G1140" s="332">
        <v>9.5</v>
      </c>
      <c r="H1140" s="381">
        <v>1.3083000000000001E-3</v>
      </c>
      <c r="I1140" s="334">
        <v>11.98</v>
      </c>
      <c r="J1140" s="393">
        <v>15.14</v>
      </c>
      <c r="N1140" s="126"/>
      <c r="O1140" s="126"/>
      <c r="R1140" s="121"/>
    </row>
    <row r="1141" spans="1:18" ht="15">
      <c r="A1141" s="332" t="s">
        <v>318</v>
      </c>
      <c r="B1141" s="333" t="s">
        <v>686</v>
      </c>
      <c r="C1141" s="424" t="s">
        <v>329</v>
      </c>
      <c r="D1141" s="332" t="s">
        <v>687</v>
      </c>
      <c r="E1141" s="333">
        <v>201607</v>
      </c>
      <c r="F1141" s="334">
        <v>13218.24</v>
      </c>
      <c r="G1141" s="332">
        <v>9.5</v>
      </c>
      <c r="H1141" s="381">
        <v>1.3083000000000001E-3</v>
      </c>
      <c r="I1141" s="334">
        <v>164.29</v>
      </c>
      <c r="J1141" s="393">
        <v>207.52</v>
      </c>
      <c r="N1141" s="126"/>
      <c r="O1141" s="126"/>
      <c r="R1141" s="121"/>
    </row>
    <row r="1142" spans="1:18" ht="15">
      <c r="A1142" s="332" t="s">
        <v>318</v>
      </c>
      <c r="B1142" s="333" t="s">
        <v>818</v>
      </c>
      <c r="C1142" s="424" t="s">
        <v>329</v>
      </c>
      <c r="D1142" s="332" t="s">
        <v>819</v>
      </c>
      <c r="E1142" s="333">
        <v>201607</v>
      </c>
      <c r="F1142" s="334">
        <v>3421.58</v>
      </c>
      <c r="G1142" s="332">
        <v>9.5</v>
      </c>
      <c r="H1142" s="381">
        <v>1.3083000000000001E-3</v>
      </c>
      <c r="I1142" s="334">
        <v>42.53</v>
      </c>
      <c r="J1142" s="393">
        <v>53.72</v>
      </c>
      <c r="N1142" s="126"/>
      <c r="O1142" s="126"/>
      <c r="R1142" s="121"/>
    </row>
    <row r="1143" spans="1:18" ht="15">
      <c r="A1143" s="332" t="s">
        <v>318</v>
      </c>
      <c r="B1143" s="333" t="s">
        <v>818</v>
      </c>
      <c r="C1143" s="424" t="s">
        <v>329</v>
      </c>
      <c r="D1143" s="332" t="s">
        <v>819</v>
      </c>
      <c r="E1143" s="333">
        <v>201607</v>
      </c>
      <c r="F1143" s="334">
        <v>20768.82</v>
      </c>
      <c r="G1143" s="332">
        <v>9.5</v>
      </c>
      <c r="H1143" s="381">
        <v>1.3083000000000001E-3</v>
      </c>
      <c r="I1143" s="334">
        <v>258.13</v>
      </c>
      <c r="J1143" s="393">
        <v>326.06</v>
      </c>
      <c r="N1143" s="126"/>
      <c r="O1143" s="126"/>
      <c r="R1143" s="121"/>
    </row>
    <row r="1144" spans="1:18" ht="15">
      <c r="A1144" s="332" t="s">
        <v>318</v>
      </c>
      <c r="B1144" s="333" t="s">
        <v>820</v>
      </c>
      <c r="C1144" s="424" t="s">
        <v>329</v>
      </c>
      <c r="D1144" s="332" t="s">
        <v>821</v>
      </c>
      <c r="E1144" s="333">
        <v>201607</v>
      </c>
      <c r="F1144" s="334">
        <v>775.68</v>
      </c>
      <c r="G1144" s="332">
        <v>9.5</v>
      </c>
      <c r="H1144" s="381">
        <v>1.3083000000000001E-3</v>
      </c>
      <c r="I1144" s="334">
        <v>9.64</v>
      </c>
      <c r="J1144" s="393">
        <v>12.18</v>
      </c>
      <c r="N1144" s="126"/>
      <c r="O1144" s="126"/>
      <c r="R1144" s="121"/>
    </row>
    <row r="1145" spans="1:18">
      <c r="A1145" s="332" t="s">
        <v>318</v>
      </c>
      <c r="B1145" s="333" t="s">
        <v>820</v>
      </c>
      <c r="C1145" s="423" t="s">
        <v>329</v>
      </c>
      <c r="D1145" s="332" t="s">
        <v>821</v>
      </c>
      <c r="E1145" s="333">
        <v>201607</v>
      </c>
      <c r="F1145" s="334">
        <v>14031.46</v>
      </c>
      <c r="G1145" s="332">
        <v>9.5</v>
      </c>
      <c r="H1145" s="381">
        <v>1.3083000000000001E-3</v>
      </c>
      <c r="I1145" s="334">
        <v>174.39</v>
      </c>
      <c r="J1145" s="393">
        <v>220.29</v>
      </c>
      <c r="N1145" s="126"/>
      <c r="O1145" s="126"/>
      <c r="R1145" s="121"/>
    </row>
    <row r="1146" spans="1:18">
      <c r="A1146" s="332" t="s">
        <v>318</v>
      </c>
      <c r="B1146" s="333" t="s">
        <v>688</v>
      </c>
      <c r="C1146" s="423" t="s">
        <v>329</v>
      </c>
      <c r="D1146" s="332" t="s">
        <v>689</v>
      </c>
      <c r="E1146" s="333">
        <v>201607</v>
      </c>
      <c r="F1146" s="334">
        <v>-334.72</v>
      </c>
      <c r="G1146" s="332">
        <v>9.5</v>
      </c>
      <c r="H1146" s="381">
        <v>1.3083000000000001E-3</v>
      </c>
      <c r="I1146" s="334">
        <v>-4.16</v>
      </c>
      <c r="J1146" s="393">
        <v>-5.25</v>
      </c>
      <c r="N1146" s="126"/>
      <c r="O1146" s="126"/>
      <c r="R1146" s="121"/>
    </row>
    <row r="1147" spans="1:18" ht="15">
      <c r="A1147" s="332" t="s">
        <v>318</v>
      </c>
      <c r="B1147" s="333" t="s">
        <v>688</v>
      </c>
      <c r="C1147" s="424" t="s">
        <v>329</v>
      </c>
      <c r="D1147" s="332" t="s">
        <v>689</v>
      </c>
      <c r="E1147" s="333">
        <v>201607</v>
      </c>
      <c r="F1147" s="334">
        <v>-62.03</v>
      </c>
      <c r="G1147" s="332">
        <v>9.5</v>
      </c>
      <c r="H1147" s="381">
        <v>1.3083000000000001E-3</v>
      </c>
      <c r="I1147" s="334">
        <v>-0.77</v>
      </c>
      <c r="J1147" s="393">
        <v>-0.97</v>
      </c>
      <c r="N1147" s="126"/>
      <c r="O1147" s="126"/>
      <c r="R1147" s="121"/>
    </row>
    <row r="1148" spans="1:18" ht="15">
      <c r="A1148" s="332" t="s">
        <v>322</v>
      </c>
      <c r="B1148" s="333" t="s">
        <v>688</v>
      </c>
      <c r="C1148" s="424" t="s">
        <v>329</v>
      </c>
      <c r="D1148" s="332" t="s">
        <v>689</v>
      </c>
      <c r="E1148" s="333">
        <v>201607</v>
      </c>
      <c r="F1148" s="334">
        <v>-5.88</v>
      </c>
      <c r="G1148" s="332">
        <v>9.5</v>
      </c>
      <c r="H1148" s="381">
        <v>1.1999999999999999E-3</v>
      </c>
      <c r="I1148" s="334">
        <v>-7.0000000000000007E-2</v>
      </c>
      <c r="J1148" s="393">
        <v>-0.08</v>
      </c>
      <c r="N1148" s="126"/>
      <c r="O1148" s="126"/>
      <c r="R1148" s="121"/>
    </row>
    <row r="1149" spans="1:18">
      <c r="A1149" s="332" t="s">
        <v>318</v>
      </c>
      <c r="B1149" s="333" t="s">
        <v>822</v>
      </c>
      <c r="C1149" s="423" t="s">
        <v>330</v>
      </c>
      <c r="D1149" s="332" t="s">
        <v>823</v>
      </c>
      <c r="E1149" s="333">
        <v>201607</v>
      </c>
      <c r="F1149" s="334">
        <v>1540.81</v>
      </c>
      <c r="G1149" s="332">
        <v>9.5</v>
      </c>
      <c r="H1149" s="381">
        <v>1.3083000000000001E-3</v>
      </c>
      <c r="I1149" s="334">
        <v>19.149999999999999</v>
      </c>
      <c r="J1149" s="393">
        <v>24.19</v>
      </c>
      <c r="N1149" s="126"/>
      <c r="O1149" s="126"/>
      <c r="R1149" s="121"/>
    </row>
    <row r="1150" spans="1:18">
      <c r="A1150" s="332" t="s">
        <v>318</v>
      </c>
      <c r="B1150" s="333" t="s">
        <v>822</v>
      </c>
      <c r="C1150" s="423" t="s">
        <v>330</v>
      </c>
      <c r="D1150" s="332" t="s">
        <v>823</v>
      </c>
      <c r="E1150" s="333">
        <v>201607</v>
      </c>
      <c r="F1150" s="334">
        <v>21543.47</v>
      </c>
      <c r="G1150" s="332">
        <v>9.5</v>
      </c>
      <c r="H1150" s="381">
        <v>1.3083000000000001E-3</v>
      </c>
      <c r="I1150" s="334">
        <v>267.76</v>
      </c>
      <c r="J1150" s="393">
        <v>338.22</v>
      </c>
      <c r="N1150" s="126"/>
      <c r="O1150" s="126"/>
      <c r="R1150" s="121"/>
    </row>
    <row r="1151" spans="1:18" ht="15">
      <c r="A1151" s="332" t="s">
        <v>318</v>
      </c>
      <c r="B1151" s="333" t="s">
        <v>690</v>
      </c>
      <c r="C1151" s="424" t="s">
        <v>330</v>
      </c>
      <c r="D1151" s="332" t="s">
        <v>691</v>
      </c>
      <c r="E1151" s="333">
        <v>201607</v>
      </c>
      <c r="F1151" s="334">
        <v>5848.77</v>
      </c>
      <c r="G1151" s="332">
        <v>9.5</v>
      </c>
      <c r="H1151" s="381">
        <v>1.3083000000000001E-3</v>
      </c>
      <c r="I1151" s="334">
        <v>72.69</v>
      </c>
      <c r="J1151" s="393">
        <v>91.82</v>
      </c>
      <c r="N1151" s="126"/>
      <c r="O1151" s="126"/>
      <c r="R1151" s="121"/>
    </row>
    <row r="1152" spans="1:18" ht="15">
      <c r="A1152" s="332" t="s">
        <v>318</v>
      </c>
      <c r="B1152" s="333" t="s">
        <v>868</v>
      </c>
      <c r="C1152" s="424" t="s">
        <v>330</v>
      </c>
      <c r="D1152" s="332" t="s">
        <v>869</v>
      </c>
      <c r="E1152" s="333">
        <v>201607</v>
      </c>
      <c r="F1152" s="334">
        <v>596.23</v>
      </c>
      <c r="G1152" s="332">
        <v>9.5</v>
      </c>
      <c r="H1152" s="381">
        <v>1.3083000000000001E-3</v>
      </c>
      <c r="I1152" s="334">
        <v>7.41</v>
      </c>
      <c r="J1152" s="393">
        <v>9.36</v>
      </c>
      <c r="N1152" s="126"/>
      <c r="O1152" s="126"/>
      <c r="R1152" s="121"/>
    </row>
    <row r="1153" spans="1:18" ht="15">
      <c r="A1153" s="332" t="s">
        <v>318</v>
      </c>
      <c r="B1153" s="333" t="s">
        <v>868</v>
      </c>
      <c r="C1153" s="424" t="s">
        <v>330</v>
      </c>
      <c r="D1153" s="332" t="s">
        <v>869</v>
      </c>
      <c r="E1153" s="333">
        <v>201607</v>
      </c>
      <c r="F1153" s="334">
        <v>14258.41</v>
      </c>
      <c r="G1153" s="332">
        <v>9.5</v>
      </c>
      <c r="H1153" s="381">
        <v>1.3083000000000001E-3</v>
      </c>
      <c r="I1153" s="334">
        <v>177.22</v>
      </c>
      <c r="J1153" s="393">
        <v>223.85</v>
      </c>
      <c r="N1153" s="126"/>
      <c r="O1153" s="126"/>
      <c r="R1153" s="121"/>
    </row>
    <row r="1154" spans="1:18" ht="15">
      <c r="A1154" s="332" t="s">
        <v>318</v>
      </c>
      <c r="B1154" s="333" t="s">
        <v>824</v>
      </c>
      <c r="C1154" s="424" t="s">
        <v>329</v>
      </c>
      <c r="D1154" s="332" t="s">
        <v>825</v>
      </c>
      <c r="E1154" s="333">
        <v>201607</v>
      </c>
      <c r="F1154" s="334">
        <v>3322.02</v>
      </c>
      <c r="G1154" s="332">
        <v>9.5</v>
      </c>
      <c r="H1154" s="381">
        <v>1.3083000000000001E-3</v>
      </c>
      <c r="I1154" s="334">
        <v>41.29</v>
      </c>
      <c r="J1154" s="393">
        <v>52.15</v>
      </c>
      <c r="N1154" s="126"/>
      <c r="O1154" s="126"/>
      <c r="R1154" s="121"/>
    </row>
    <row r="1155" spans="1:18" ht="15">
      <c r="A1155" s="332" t="s">
        <v>318</v>
      </c>
      <c r="B1155" s="333" t="s">
        <v>824</v>
      </c>
      <c r="C1155" s="424" t="s">
        <v>329</v>
      </c>
      <c r="D1155" s="332" t="s">
        <v>825</v>
      </c>
      <c r="E1155" s="333">
        <v>201607</v>
      </c>
      <c r="F1155" s="334">
        <v>14657.81</v>
      </c>
      <c r="G1155" s="332">
        <v>9.5</v>
      </c>
      <c r="H1155" s="381">
        <v>1.3083000000000001E-3</v>
      </c>
      <c r="I1155" s="334">
        <v>182.18</v>
      </c>
      <c r="J1155" s="393">
        <v>230.12</v>
      </c>
      <c r="N1155" s="126"/>
      <c r="O1155" s="126"/>
      <c r="R1155" s="121"/>
    </row>
    <row r="1156" spans="1:18" ht="15">
      <c r="A1156" s="332" t="s">
        <v>318</v>
      </c>
      <c r="B1156" s="333" t="s">
        <v>850</v>
      </c>
      <c r="C1156" s="424" t="s">
        <v>329</v>
      </c>
      <c r="D1156" s="332" t="s">
        <v>851</v>
      </c>
      <c r="E1156" s="333">
        <v>201607</v>
      </c>
      <c r="F1156" s="334">
        <v>4692.5600000000004</v>
      </c>
      <c r="G1156" s="332">
        <v>9.5</v>
      </c>
      <c r="H1156" s="381">
        <v>1.3083000000000001E-3</v>
      </c>
      <c r="I1156" s="334">
        <v>58.32</v>
      </c>
      <c r="J1156" s="393">
        <v>73.67</v>
      </c>
      <c r="N1156" s="126"/>
      <c r="O1156" s="126"/>
      <c r="R1156" s="121"/>
    </row>
    <row r="1157" spans="1:18">
      <c r="A1157" s="332" t="s">
        <v>318</v>
      </c>
      <c r="B1157" s="333" t="s">
        <v>850</v>
      </c>
      <c r="C1157" s="423" t="s">
        <v>329</v>
      </c>
      <c r="D1157" s="332" t="s">
        <v>851</v>
      </c>
      <c r="E1157" s="333">
        <v>201607</v>
      </c>
      <c r="F1157" s="334">
        <v>57030.79</v>
      </c>
      <c r="G1157" s="332">
        <v>9.5</v>
      </c>
      <c r="H1157" s="381">
        <v>1.3083000000000001E-3</v>
      </c>
      <c r="I1157" s="334">
        <v>708.83</v>
      </c>
      <c r="J1157" s="393">
        <v>895.36</v>
      </c>
      <c r="N1157" s="126"/>
      <c r="O1157" s="126"/>
      <c r="R1157" s="121"/>
    </row>
    <row r="1158" spans="1:18">
      <c r="A1158" s="332" t="s">
        <v>318</v>
      </c>
      <c r="B1158" s="333" t="s">
        <v>692</v>
      </c>
      <c r="C1158" s="423" t="s">
        <v>330</v>
      </c>
      <c r="D1158" s="332" t="s">
        <v>693</v>
      </c>
      <c r="E1158" s="333">
        <v>201607</v>
      </c>
      <c r="F1158" s="334">
        <v>3.16</v>
      </c>
      <c r="G1158" s="332">
        <v>9.5</v>
      </c>
      <c r="H1158" s="381">
        <v>1.3083000000000001E-3</v>
      </c>
      <c r="I1158" s="334">
        <v>0.04</v>
      </c>
      <c r="J1158" s="393">
        <v>0.05</v>
      </c>
      <c r="N1158" s="126"/>
      <c r="O1158" s="126"/>
      <c r="R1158" s="121"/>
    </row>
    <row r="1159" spans="1:18" ht="15">
      <c r="A1159" s="332" t="s">
        <v>318</v>
      </c>
      <c r="B1159" s="333" t="s">
        <v>692</v>
      </c>
      <c r="C1159" s="424" t="s">
        <v>330</v>
      </c>
      <c r="D1159" s="332" t="s">
        <v>693</v>
      </c>
      <c r="E1159" s="333">
        <v>201607</v>
      </c>
      <c r="F1159" s="334">
        <v>134.81</v>
      </c>
      <c r="G1159" s="332">
        <v>9.5</v>
      </c>
      <c r="H1159" s="381">
        <v>1.3083000000000001E-3</v>
      </c>
      <c r="I1159" s="334">
        <v>1.68</v>
      </c>
      <c r="J1159" s="393">
        <v>2.12</v>
      </c>
      <c r="N1159" s="126"/>
      <c r="O1159" s="126"/>
      <c r="R1159" s="121"/>
    </row>
    <row r="1160" spans="1:18" ht="15">
      <c r="A1160" s="332" t="s">
        <v>318</v>
      </c>
      <c r="B1160" s="333" t="s">
        <v>694</v>
      </c>
      <c r="C1160" s="424" t="s">
        <v>330</v>
      </c>
      <c r="D1160" s="332" t="s">
        <v>695</v>
      </c>
      <c r="E1160" s="333">
        <v>201607</v>
      </c>
      <c r="F1160" s="334">
        <v>0.32</v>
      </c>
      <c r="G1160" s="332">
        <v>9.5</v>
      </c>
      <c r="H1160" s="381">
        <v>1.3083000000000001E-3</v>
      </c>
      <c r="I1160" s="334">
        <v>0</v>
      </c>
      <c r="J1160" s="393">
        <v>0.01</v>
      </c>
      <c r="N1160" s="126"/>
      <c r="O1160" s="126"/>
      <c r="R1160" s="121"/>
    </row>
    <row r="1161" spans="1:18">
      <c r="A1161" s="332" t="s">
        <v>318</v>
      </c>
      <c r="B1161" s="333" t="s">
        <v>694</v>
      </c>
      <c r="C1161" s="423" t="s">
        <v>330</v>
      </c>
      <c r="D1161" s="332" t="s">
        <v>695</v>
      </c>
      <c r="E1161" s="333">
        <v>201607</v>
      </c>
      <c r="F1161" s="334">
        <v>9.59</v>
      </c>
      <c r="G1161" s="332">
        <v>9.5</v>
      </c>
      <c r="H1161" s="381">
        <v>1.3083000000000001E-3</v>
      </c>
      <c r="I1161" s="334">
        <v>0.12</v>
      </c>
      <c r="J1161" s="393">
        <v>0.15</v>
      </c>
      <c r="N1161" s="126"/>
      <c r="O1161" s="126"/>
      <c r="R1161" s="121"/>
    </row>
    <row r="1162" spans="1:18">
      <c r="A1162" s="332" t="s">
        <v>318</v>
      </c>
      <c r="B1162" s="333" t="s">
        <v>696</v>
      </c>
      <c r="C1162" s="423" t="s">
        <v>330</v>
      </c>
      <c r="D1162" s="332" t="s">
        <v>697</v>
      </c>
      <c r="E1162" s="333">
        <v>201607</v>
      </c>
      <c r="F1162" s="334">
        <v>-3.71</v>
      </c>
      <c r="G1162" s="332">
        <v>9.5</v>
      </c>
      <c r="H1162" s="381">
        <v>1.3083000000000001E-3</v>
      </c>
      <c r="I1162" s="334">
        <v>-0.05</v>
      </c>
      <c r="J1162" s="393">
        <v>-0.06</v>
      </c>
      <c r="N1162" s="126"/>
      <c r="O1162" s="126"/>
      <c r="R1162" s="121"/>
    </row>
    <row r="1163" spans="1:18" ht="15">
      <c r="A1163" s="332" t="s">
        <v>318</v>
      </c>
      <c r="B1163" s="333" t="s">
        <v>696</v>
      </c>
      <c r="C1163" s="424" t="s">
        <v>330</v>
      </c>
      <c r="D1163" s="332" t="s">
        <v>697</v>
      </c>
      <c r="E1163" s="333">
        <v>201607</v>
      </c>
      <c r="F1163" s="334">
        <v>-0.34</v>
      </c>
      <c r="G1163" s="332">
        <v>9.5</v>
      </c>
      <c r="H1163" s="381">
        <v>1.3083000000000001E-3</v>
      </c>
      <c r="I1163" s="334">
        <v>0</v>
      </c>
      <c r="J1163" s="393">
        <v>-0.01</v>
      </c>
      <c r="N1163" s="126"/>
      <c r="O1163" s="126"/>
      <c r="R1163" s="121"/>
    </row>
    <row r="1164" spans="1:18" ht="15">
      <c r="A1164" s="332" t="s">
        <v>318</v>
      </c>
      <c r="B1164" s="333" t="s">
        <v>698</v>
      </c>
      <c r="C1164" s="424" t="s">
        <v>330</v>
      </c>
      <c r="D1164" s="332" t="s">
        <v>699</v>
      </c>
      <c r="E1164" s="333">
        <v>201607</v>
      </c>
      <c r="F1164" s="334">
        <v>2014.99</v>
      </c>
      <c r="G1164" s="332">
        <v>9.5</v>
      </c>
      <c r="H1164" s="381">
        <v>1.3083000000000001E-3</v>
      </c>
      <c r="I1164" s="334">
        <v>25.04</v>
      </c>
      <c r="J1164" s="393">
        <v>31.63</v>
      </c>
      <c r="N1164" s="126"/>
      <c r="O1164" s="126"/>
      <c r="R1164" s="121"/>
    </row>
    <row r="1165" spans="1:18" ht="15">
      <c r="A1165" s="332" t="s">
        <v>318</v>
      </c>
      <c r="B1165" s="333" t="s">
        <v>700</v>
      </c>
      <c r="C1165" s="424" t="s">
        <v>330</v>
      </c>
      <c r="D1165" s="332" t="s">
        <v>701</v>
      </c>
      <c r="E1165" s="333">
        <v>201607</v>
      </c>
      <c r="F1165" s="334">
        <v>75.64</v>
      </c>
      <c r="G1165" s="332">
        <v>9.5</v>
      </c>
      <c r="H1165" s="381">
        <v>1.3083000000000001E-3</v>
      </c>
      <c r="I1165" s="334">
        <v>0.94</v>
      </c>
      <c r="J1165" s="393">
        <v>1.19</v>
      </c>
      <c r="N1165" s="126"/>
      <c r="O1165" s="126"/>
      <c r="R1165" s="121"/>
    </row>
    <row r="1166" spans="1:18" ht="15">
      <c r="A1166" s="332" t="s">
        <v>318</v>
      </c>
      <c r="B1166" s="333" t="s">
        <v>700</v>
      </c>
      <c r="C1166" s="424" t="s">
        <v>330</v>
      </c>
      <c r="D1166" s="332" t="s">
        <v>701</v>
      </c>
      <c r="E1166" s="333">
        <v>201607</v>
      </c>
      <c r="F1166" s="334">
        <v>1878.18</v>
      </c>
      <c r="G1166" s="332">
        <v>9.5</v>
      </c>
      <c r="H1166" s="381">
        <v>1.3083000000000001E-3</v>
      </c>
      <c r="I1166" s="334">
        <v>23.34</v>
      </c>
      <c r="J1166" s="393">
        <v>29.49</v>
      </c>
      <c r="N1166" s="126"/>
      <c r="O1166" s="126"/>
      <c r="R1166" s="121"/>
    </row>
    <row r="1167" spans="1:18">
      <c r="A1167" s="332" t="s">
        <v>318</v>
      </c>
      <c r="B1167" s="333" t="s">
        <v>794</v>
      </c>
      <c r="C1167" s="423" t="s">
        <v>330</v>
      </c>
      <c r="D1167" s="332" t="s">
        <v>795</v>
      </c>
      <c r="E1167" s="333">
        <v>201607</v>
      </c>
      <c r="F1167" s="334">
        <v>60.45</v>
      </c>
      <c r="G1167" s="332">
        <v>9.5</v>
      </c>
      <c r="H1167" s="381">
        <v>1.3083000000000001E-3</v>
      </c>
      <c r="I1167" s="334">
        <v>0.75</v>
      </c>
      <c r="J1167" s="393">
        <v>0.95</v>
      </c>
      <c r="N1167" s="126"/>
      <c r="O1167" s="126"/>
      <c r="R1167" s="121"/>
    </row>
    <row r="1168" spans="1:18">
      <c r="A1168" s="332" t="s">
        <v>318</v>
      </c>
      <c r="B1168" s="333" t="s">
        <v>794</v>
      </c>
      <c r="C1168" s="423" t="s">
        <v>330</v>
      </c>
      <c r="D1168" s="332" t="s">
        <v>795</v>
      </c>
      <c r="E1168" s="333">
        <v>201607</v>
      </c>
      <c r="F1168" s="334">
        <v>2842.35</v>
      </c>
      <c r="G1168" s="332">
        <v>9.5</v>
      </c>
      <c r="H1168" s="381">
        <v>1.3083000000000001E-3</v>
      </c>
      <c r="I1168" s="334">
        <v>35.33</v>
      </c>
      <c r="J1168" s="393">
        <v>44.62</v>
      </c>
      <c r="N1168" s="126"/>
      <c r="O1168" s="126"/>
      <c r="R1168" s="121"/>
    </row>
    <row r="1169" spans="1:18" ht="15">
      <c r="A1169" s="332" t="s">
        <v>318</v>
      </c>
      <c r="B1169" s="333" t="s">
        <v>702</v>
      </c>
      <c r="C1169" s="424" t="s">
        <v>330</v>
      </c>
      <c r="D1169" s="332" t="s">
        <v>703</v>
      </c>
      <c r="E1169" s="333">
        <v>201607</v>
      </c>
      <c r="F1169" s="334">
        <v>9.4499999999999993</v>
      </c>
      <c r="G1169" s="332">
        <v>9.5</v>
      </c>
      <c r="H1169" s="381">
        <v>1.3083000000000001E-3</v>
      </c>
      <c r="I1169" s="334">
        <v>0.12</v>
      </c>
      <c r="J1169" s="393">
        <v>0.15</v>
      </c>
      <c r="N1169" s="126"/>
      <c r="O1169" s="126"/>
      <c r="R1169" s="121"/>
    </row>
    <row r="1170" spans="1:18" ht="15">
      <c r="A1170" s="332" t="s">
        <v>318</v>
      </c>
      <c r="B1170" s="333" t="s">
        <v>852</v>
      </c>
      <c r="C1170" s="424" t="s">
        <v>330</v>
      </c>
      <c r="D1170" s="332" t="s">
        <v>853</v>
      </c>
      <c r="E1170" s="333">
        <v>201607</v>
      </c>
      <c r="F1170" s="334">
        <v>417.37</v>
      </c>
      <c r="G1170" s="332">
        <v>9.5</v>
      </c>
      <c r="H1170" s="381">
        <v>1.3083000000000001E-3</v>
      </c>
      <c r="I1170" s="334">
        <v>5.19</v>
      </c>
      <c r="J1170" s="393">
        <v>6.55</v>
      </c>
      <c r="N1170" s="126"/>
      <c r="O1170" s="126"/>
      <c r="R1170" s="121"/>
    </row>
    <row r="1171" spans="1:18" ht="15">
      <c r="A1171" s="332" t="s">
        <v>318</v>
      </c>
      <c r="B1171" s="333" t="s">
        <v>852</v>
      </c>
      <c r="C1171" s="424" t="s">
        <v>330</v>
      </c>
      <c r="D1171" s="332" t="s">
        <v>853</v>
      </c>
      <c r="E1171" s="333">
        <v>201607</v>
      </c>
      <c r="F1171" s="334">
        <v>6137.22</v>
      </c>
      <c r="G1171" s="332">
        <v>9.5</v>
      </c>
      <c r="H1171" s="381">
        <v>1.3083000000000001E-3</v>
      </c>
      <c r="I1171" s="334">
        <v>76.28</v>
      </c>
      <c r="J1171" s="393">
        <v>96.35</v>
      </c>
      <c r="N1171" s="126"/>
      <c r="O1171" s="126"/>
      <c r="R1171" s="121"/>
    </row>
    <row r="1172" spans="1:18" ht="15">
      <c r="A1172" s="332" t="s">
        <v>318</v>
      </c>
      <c r="B1172" s="333" t="s">
        <v>870</v>
      </c>
      <c r="C1172" s="424" t="s">
        <v>330</v>
      </c>
      <c r="D1172" s="332" t="s">
        <v>871</v>
      </c>
      <c r="E1172" s="333">
        <v>201607</v>
      </c>
      <c r="F1172" s="334">
        <v>406.85</v>
      </c>
      <c r="G1172" s="332">
        <v>9.5</v>
      </c>
      <c r="H1172" s="381">
        <v>1.3083000000000001E-3</v>
      </c>
      <c r="I1172" s="334">
        <v>5.0599999999999996</v>
      </c>
      <c r="J1172" s="393">
        <v>6.39</v>
      </c>
      <c r="N1172" s="126"/>
      <c r="O1172" s="126"/>
      <c r="R1172" s="121"/>
    </row>
    <row r="1173" spans="1:18">
      <c r="A1173" s="332" t="s">
        <v>318</v>
      </c>
      <c r="B1173" s="333" t="s">
        <v>870</v>
      </c>
      <c r="C1173" s="423" t="s">
        <v>330</v>
      </c>
      <c r="D1173" s="332" t="s">
        <v>871</v>
      </c>
      <c r="E1173" s="333">
        <v>201607</v>
      </c>
      <c r="F1173" s="334">
        <v>6084.15</v>
      </c>
      <c r="G1173" s="332">
        <v>9.5</v>
      </c>
      <c r="H1173" s="381">
        <v>1.3083000000000001E-3</v>
      </c>
      <c r="I1173" s="334">
        <v>75.62</v>
      </c>
      <c r="J1173" s="393">
        <v>95.52</v>
      </c>
      <c r="N1173" s="126"/>
      <c r="O1173" s="126"/>
      <c r="R1173" s="121"/>
    </row>
    <row r="1174" spans="1:18">
      <c r="A1174" s="332" t="s">
        <v>318</v>
      </c>
      <c r="B1174" s="333" t="s">
        <v>872</v>
      </c>
      <c r="C1174" s="423" t="s">
        <v>330</v>
      </c>
      <c r="D1174" s="332" t="s">
        <v>873</v>
      </c>
      <c r="E1174" s="333">
        <v>201607</v>
      </c>
      <c r="F1174" s="334">
        <v>183.1</v>
      </c>
      <c r="G1174" s="332">
        <v>9.5</v>
      </c>
      <c r="H1174" s="381">
        <v>1.3083000000000001E-3</v>
      </c>
      <c r="I1174" s="334">
        <v>2.2799999999999998</v>
      </c>
      <c r="J1174" s="393">
        <v>2.87</v>
      </c>
      <c r="N1174" s="126"/>
      <c r="O1174" s="126"/>
      <c r="R1174" s="121"/>
    </row>
    <row r="1175" spans="1:18" ht="15">
      <c r="A1175" s="332" t="s">
        <v>318</v>
      </c>
      <c r="B1175" s="333" t="s">
        <v>872</v>
      </c>
      <c r="C1175" s="424" t="s">
        <v>330</v>
      </c>
      <c r="D1175" s="332" t="s">
        <v>873</v>
      </c>
      <c r="E1175" s="333">
        <v>201607</v>
      </c>
      <c r="F1175" s="334">
        <v>3661.72</v>
      </c>
      <c r="G1175" s="332">
        <v>9.5</v>
      </c>
      <c r="H1175" s="381">
        <v>1.3083000000000001E-3</v>
      </c>
      <c r="I1175" s="334">
        <v>45.51</v>
      </c>
      <c r="J1175" s="393">
        <v>57.49</v>
      </c>
      <c r="N1175" s="126"/>
      <c r="O1175" s="126"/>
      <c r="R1175" s="121"/>
    </row>
    <row r="1176" spans="1:18" ht="15">
      <c r="A1176" s="332" t="s">
        <v>318</v>
      </c>
      <c r="B1176" s="333" t="s">
        <v>826</v>
      </c>
      <c r="C1176" s="424" t="s">
        <v>330</v>
      </c>
      <c r="D1176" s="332" t="s">
        <v>827</v>
      </c>
      <c r="E1176" s="333">
        <v>201607</v>
      </c>
      <c r="F1176" s="334">
        <v>270.52999999999997</v>
      </c>
      <c r="G1176" s="332">
        <v>9.5</v>
      </c>
      <c r="H1176" s="381">
        <v>1.3083000000000001E-3</v>
      </c>
      <c r="I1176" s="334">
        <v>3.36</v>
      </c>
      <c r="J1176" s="393">
        <v>4.25</v>
      </c>
      <c r="N1176" s="126"/>
      <c r="O1176" s="126"/>
      <c r="R1176" s="121"/>
    </row>
    <row r="1177" spans="1:18" ht="15">
      <c r="A1177" s="332" t="s">
        <v>318</v>
      </c>
      <c r="B1177" s="333" t="s">
        <v>826</v>
      </c>
      <c r="C1177" s="424" t="s">
        <v>330</v>
      </c>
      <c r="D1177" s="332" t="s">
        <v>827</v>
      </c>
      <c r="E1177" s="333">
        <v>201607</v>
      </c>
      <c r="F1177" s="334">
        <v>7764.99</v>
      </c>
      <c r="G1177" s="332">
        <v>9.5</v>
      </c>
      <c r="H1177" s="381">
        <v>1.3083000000000001E-3</v>
      </c>
      <c r="I1177" s="334">
        <v>96.51</v>
      </c>
      <c r="J1177" s="393">
        <v>121.91</v>
      </c>
      <c r="N1177" s="126"/>
      <c r="O1177" s="126"/>
      <c r="R1177" s="121"/>
    </row>
    <row r="1178" spans="1:18" ht="15">
      <c r="A1178" s="332" t="s">
        <v>318</v>
      </c>
      <c r="B1178" s="333" t="s">
        <v>874</v>
      </c>
      <c r="C1178" s="424" t="s">
        <v>330</v>
      </c>
      <c r="D1178" s="332" t="s">
        <v>875</v>
      </c>
      <c r="E1178" s="333">
        <v>201607</v>
      </c>
      <c r="F1178" s="334">
        <v>144.09</v>
      </c>
      <c r="G1178" s="332">
        <v>9.5</v>
      </c>
      <c r="H1178" s="381">
        <v>1.3083000000000001E-3</v>
      </c>
      <c r="I1178" s="334">
        <v>1.79</v>
      </c>
      <c r="J1178" s="393">
        <v>2.2599999999999998</v>
      </c>
      <c r="N1178" s="126"/>
      <c r="O1178" s="126"/>
      <c r="R1178" s="121"/>
    </row>
    <row r="1179" spans="1:18" ht="15">
      <c r="A1179" s="332" t="s">
        <v>318</v>
      </c>
      <c r="B1179" s="333" t="s">
        <v>874</v>
      </c>
      <c r="C1179" s="424" t="s">
        <v>330</v>
      </c>
      <c r="D1179" s="332" t="s">
        <v>875</v>
      </c>
      <c r="E1179" s="333">
        <v>201607</v>
      </c>
      <c r="F1179" s="334">
        <v>3149.13</v>
      </c>
      <c r="G1179" s="332">
        <v>9.5</v>
      </c>
      <c r="H1179" s="381">
        <v>1.3083000000000001E-3</v>
      </c>
      <c r="I1179" s="334">
        <v>39.14</v>
      </c>
      <c r="J1179" s="393">
        <v>49.44</v>
      </c>
      <c r="N1179" s="126"/>
      <c r="O1179" s="126"/>
      <c r="R1179" s="121"/>
    </row>
    <row r="1180" spans="1:18" ht="15">
      <c r="A1180" s="332" t="s">
        <v>318</v>
      </c>
      <c r="B1180" s="333" t="s">
        <v>876</v>
      </c>
      <c r="C1180" s="424" t="s">
        <v>330</v>
      </c>
      <c r="D1180" s="332" t="s">
        <v>877</v>
      </c>
      <c r="E1180" s="333">
        <v>201607</v>
      </c>
      <c r="F1180" s="334">
        <v>577.70000000000005</v>
      </c>
      <c r="G1180" s="332">
        <v>9.5</v>
      </c>
      <c r="H1180" s="381">
        <v>1.3083000000000001E-3</v>
      </c>
      <c r="I1180" s="334">
        <v>7.18</v>
      </c>
      <c r="J1180" s="393">
        <v>9.07</v>
      </c>
      <c r="N1180" s="126"/>
      <c r="O1180" s="126"/>
      <c r="R1180" s="121"/>
    </row>
    <row r="1181" spans="1:18">
      <c r="A1181" s="332" t="s">
        <v>318</v>
      </c>
      <c r="B1181" s="333" t="s">
        <v>876</v>
      </c>
      <c r="C1181" s="423" t="s">
        <v>330</v>
      </c>
      <c r="D1181" s="332" t="s">
        <v>877</v>
      </c>
      <c r="E1181" s="333">
        <v>201607</v>
      </c>
      <c r="F1181" s="334">
        <v>10233.950000000001</v>
      </c>
      <c r="G1181" s="332">
        <v>9.5</v>
      </c>
      <c r="H1181" s="381">
        <v>1.3083000000000001E-3</v>
      </c>
      <c r="I1181" s="334">
        <v>127.2</v>
      </c>
      <c r="J1181" s="393">
        <v>160.66999999999999</v>
      </c>
      <c r="N1181" s="126"/>
      <c r="O1181" s="126"/>
      <c r="R1181" s="121"/>
    </row>
    <row r="1182" spans="1:18" ht="15">
      <c r="A1182" s="332" t="s">
        <v>318</v>
      </c>
      <c r="B1182" s="333" t="s">
        <v>878</v>
      </c>
      <c r="C1182" s="424" t="s">
        <v>330</v>
      </c>
      <c r="D1182" s="332" t="s">
        <v>879</v>
      </c>
      <c r="E1182" s="333">
        <v>201607</v>
      </c>
      <c r="F1182" s="334">
        <v>305.70999999999998</v>
      </c>
      <c r="G1182" s="332">
        <v>9.5</v>
      </c>
      <c r="H1182" s="381">
        <v>1.3083000000000001E-3</v>
      </c>
      <c r="I1182" s="334">
        <v>3.8</v>
      </c>
      <c r="J1182" s="393">
        <v>4.8</v>
      </c>
      <c r="N1182" s="126"/>
      <c r="O1182" s="126"/>
      <c r="R1182" s="121"/>
    </row>
    <row r="1183" spans="1:18" ht="15">
      <c r="A1183" s="332" t="s">
        <v>318</v>
      </c>
      <c r="B1183" s="333" t="s">
        <v>878</v>
      </c>
      <c r="C1183" s="424" t="s">
        <v>330</v>
      </c>
      <c r="D1183" s="332" t="s">
        <v>879</v>
      </c>
      <c r="E1183" s="333">
        <v>201607</v>
      </c>
      <c r="F1183" s="334">
        <v>6187.31</v>
      </c>
      <c r="G1183" s="332">
        <v>9.5</v>
      </c>
      <c r="H1183" s="381">
        <v>1.3083000000000001E-3</v>
      </c>
      <c r="I1183" s="334">
        <v>76.900000000000006</v>
      </c>
      <c r="J1183" s="393">
        <v>97.14</v>
      </c>
      <c r="N1183" s="126"/>
      <c r="O1183" s="126"/>
      <c r="R1183" s="121"/>
    </row>
    <row r="1184" spans="1:18">
      <c r="A1184" s="332" t="s">
        <v>318</v>
      </c>
      <c r="B1184" s="333" t="s">
        <v>880</v>
      </c>
      <c r="C1184" s="423" t="s">
        <v>330</v>
      </c>
      <c r="D1184" s="332" t="s">
        <v>881</v>
      </c>
      <c r="E1184" s="333">
        <v>201607</v>
      </c>
      <c r="F1184" s="334">
        <v>231.26</v>
      </c>
      <c r="G1184" s="332">
        <v>9.5</v>
      </c>
      <c r="H1184" s="381">
        <v>1.3083000000000001E-3</v>
      </c>
      <c r="I1184" s="334">
        <v>2.87</v>
      </c>
      <c r="J1184" s="393">
        <v>3.63</v>
      </c>
      <c r="N1184" s="126"/>
      <c r="O1184" s="126"/>
      <c r="R1184" s="121"/>
    </row>
    <row r="1185" spans="1:18">
      <c r="A1185" s="332" t="s">
        <v>318</v>
      </c>
      <c r="B1185" s="333" t="s">
        <v>880</v>
      </c>
      <c r="C1185" s="423" t="s">
        <v>330</v>
      </c>
      <c r="D1185" s="332" t="s">
        <v>881</v>
      </c>
      <c r="E1185" s="333">
        <v>201607</v>
      </c>
      <c r="F1185" s="334">
        <v>4533.5</v>
      </c>
      <c r="G1185" s="332">
        <v>9.5</v>
      </c>
      <c r="H1185" s="381">
        <v>1.3083000000000001E-3</v>
      </c>
      <c r="I1185" s="334">
        <v>56.35</v>
      </c>
      <c r="J1185" s="393">
        <v>71.17</v>
      </c>
      <c r="N1185" s="126"/>
      <c r="O1185" s="126"/>
      <c r="R1185" s="121"/>
    </row>
    <row r="1186" spans="1:18" ht="15">
      <c r="A1186" s="332" t="s">
        <v>318</v>
      </c>
      <c r="B1186" s="333" t="s">
        <v>882</v>
      </c>
      <c r="C1186" s="424" t="s">
        <v>330</v>
      </c>
      <c r="D1186" s="332" t="s">
        <v>883</v>
      </c>
      <c r="E1186" s="333">
        <v>201607</v>
      </c>
      <c r="F1186" s="334">
        <v>140.22999999999999</v>
      </c>
      <c r="G1186" s="332">
        <v>9.5</v>
      </c>
      <c r="H1186" s="381">
        <v>1.3083000000000001E-3</v>
      </c>
      <c r="I1186" s="334">
        <v>1.74</v>
      </c>
      <c r="J1186" s="393">
        <v>2.2000000000000002</v>
      </c>
      <c r="N1186" s="126"/>
      <c r="O1186" s="126"/>
      <c r="R1186" s="121"/>
    </row>
    <row r="1187" spans="1:18" ht="15">
      <c r="A1187" s="332" t="s">
        <v>318</v>
      </c>
      <c r="B1187" s="333" t="s">
        <v>882</v>
      </c>
      <c r="C1187" s="424" t="s">
        <v>330</v>
      </c>
      <c r="D1187" s="332" t="s">
        <v>883</v>
      </c>
      <c r="E1187" s="333">
        <v>201607</v>
      </c>
      <c r="F1187" s="334">
        <v>3657.57</v>
      </c>
      <c r="G1187" s="332">
        <v>9.5</v>
      </c>
      <c r="H1187" s="381">
        <v>1.3083000000000001E-3</v>
      </c>
      <c r="I1187" s="334">
        <v>45.46</v>
      </c>
      <c r="J1187" s="393">
        <v>57.42</v>
      </c>
      <c r="N1187" s="126"/>
      <c r="O1187" s="126"/>
      <c r="R1187" s="121"/>
    </row>
    <row r="1188" spans="1:18">
      <c r="A1188" s="332" t="s">
        <v>318</v>
      </c>
      <c r="B1188" s="333" t="s">
        <v>704</v>
      </c>
      <c r="C1188" s="423" t="s">
        <v>330</v>
      </c>
      <c r="D1188" s="332" t="s">
        <v>884</v>
      </c>
      <c r="E1188" s="333">
        <v>201607</v>
      </c>
      <c r="F1188" s="334">
        <v>0.28000000000000003</v>
      </c>
      <c r="G1188" s="332">
        <v>9.5</v>
      </c>
      <c r="H1188" s="381">
        <v>1.3083000000000001E-3</v>
      </c>
      <c r="I1188" s="334">
        <v>0</v>
      </c>
      <c r="J1188" s="393">
        <v>0</v>
      </c>
      <c r="N1188" s="126"/>
      <c r="O1188" s="126"/>
      <c r="R1188" s="121"/>
    </row>
    <row r="1189" spans="1:18">
      <c r="A1189" s="332" t="s">
        <v>318</v>
      </c>
      <c r="B1189" s="333" t="s">
        <v>704</v>
      </c>
      <c r="C1189" s="423" t="s">
        <v>330</v>
      </c>
      <c r="D1189" s="332" t="s">
        <v>884</v>
      </c>
      <c r="E1189" s="333">
        <v>201607</v>
      </c>
      <c r="F1189" s="334">
        <v>7.79</v>
      </c>
      <c r="G1189" s="332">
        <v>9.5</v>
      </c>
      <c r="H1189" s="381">
        <v>1.3083000000000001E-3</v>
      </c>
      <c r="I1189" s="334">
        <v>0.1</v>
      </c>
      <c r="J1189" s="393">
        <v>0.12</v>
      </c>
      <c r="N1189" s="126"/>
      <c r="O1189" s="126"/>
      <c r="R1189" s="121"/>
    </row>
    <row r="1190" spans="1:18" ht="15">
      <c r="A1190" s="332" t="s">
        <v>318</v>
      </c>
      <c r="B1190" s="333" t="s">
        <v>854</v>
      </c>
      <c r="C1190" s="424" t="s">
        <v>330</v>
      </c>
      <c r="D1190" s="332" t="s">
        <v>855</v>
      </c>
      <c r="E1190" s="333">
        <v>201607</v>
      </c>
      <c r="F1190" s="334">
        <v>512.76</v>
      </c>
      <c r="G1190" s="332">
        <v>9.5</v>
      </c>
      <c r="H1190" s="381">
        <v>1.3083000000000001E-3</v>
      </c>
      <c r="I1190" s="334">
        <v>6.37</v>
      </c>
      <c r="J1190" s="393">
        <v>8.0500000000000007</v>
      </c>
      <c r="N1190" s="126"/>
      <c r="O1190" s="126"/>
      <c r="R1190" s="121"/>
    </row>
    <row r="1191" spans="1:18" ht="15">
      <c r="A1191" s="332" t="s">
        <v>318</v>
      </c>
      <c r="B1191" s="333" t="s">
        <v>854</v>
      </c>
      <c r="C1191" s="424" t="s">
        <v>330</v>
      </c>
      <c r="D1191" s="332" t="s">
        <v>855</v>
      </c>
      <c r="E1191" s="333">
        <v>201607</v>
      </c>
      <c r="F1191" s="334">
        <v>14954.13</v>
      </c>
      <c r="G1191" s="332">
        <v>9.5</v>
      </c>
      <c r="H1191" s="381">
        <v>1.3083000000000001E-3</v>
      </c>
      <c r="I1191" s="334">
        <v>185.86</v>
      </c>
      <c r="J1191" s="393">
        <v>234.77</v>
      </c>
      <c r="N1191" s="126"/>
      <c r="O1191" s="126"/>
      <c r="R1191" s="121"/>
    </row>
    <row r="1192" spans="1:18">
      <c r="A1192" s="332" t="s">
        <v>318</v>
      </c>
      <c r="B1192" s="333" t="s">
        <v>885</v>
      </c>
      <c r="C1192" s="423" t="s">
        <v>414</v>
      </c>
      <c r="D1192" s="332" t="s">
        <v>886</v>
      </c>
      <c r="E1192" s="333">
        <v>201607</v>
      </c>
      <c r="F1192" s="334">
        <v>1640.7</v>
      </c>
      <c r="G1192" s="332">
        <v>9.5</v>
      </c>
      <c r="H1192" s="381">
        <v>1.3083000000000001E-3</v>
      </c>
      <c r="I1192" s="334">
        <v>20.39</v>
      </c>
      <c r="J1192" s="393">
        <v>25.76</v>
      </c>
      <c r="N1192" s="126"/>
      <c r="O1192" s="126"/>
      <c r="R1192" s="121"/>
    </row>
    <row r="1193" spans="1:18">
      <c r="A1193" s="332" t="s">
        <v>318</v>
      </c>
      <c r="B1193" s="333" t="s">
        <v>885</v>
      </c>
      <c r="C1193" s="423" t="s">
        <v>414</v>
      </c>
      <c r="D1193" s="332" t="s">
        <v>886</v>
      </c>
      <c r="E1193" s="333">
        <v>201607</v>
      </c>
      <c r="F1193" s="334">
        <v>5685.63</v>
      </c>
      <c r="G1193" s="332">
        <v>9.5</v>
      </c>
      <c r="H1193" s="381">
        <v>1.3083000000000001E-3</v>
      </c>
      <c r="I1193" s="334">
        <v>70.67</v>
      </c>
      <c r="J1193" s="393">
        <v>89.26</v>
      </c>
      <c r="N1193" s="126"/>
      <c r="O1193" s="126"/>
      <c r="R1193" s="121"/>
    </row>
    <row r="1194" spans="1:18" ht="15">
      <c r="A1194" s="332" t="s">
        <v>318</v>
      </c>
      <c r="B1194" s="333" t="s">
        <v>887</v>
      </c>
      <c r="C1194" s="424" t="s">
        <v>330</v>
      </c>
      <c r="D1194" s="332" t="s">
        <v>888</v>
      </c>
      <c r="E1194" s="333">
        <v>201607</v>
      </c>
      <c r="F1194" s="334">
        <v>33.35</v>
      </c>
      <c r="G1194" s="332">
        <v>9.5</v>
      </c>
      <c r="H1194" s="381">
        <v>1.3083000000000001E-3</v>
      </c>
      <c r="I1194" s="334">
        <v>0.41</v>
      </c>
      <c r="J1194" s="393">
        <v>0.52</v>
      </c>
      <c r="N1194" s="126"/>
      <c r="O1194" s="126"/>
      <c r="R1194" s="121"/>
    </row>
    <row r="1195" spans="1:18" ht="15">
      <c r="A1195" s="332" t="s">
        <v>318</v>
      </c>
      <c r="B1195" s="333" t="s">
        <v>887</v>
      </c>
      <c r="C1195" s="424" t="s">
        <v>330</v>
      </c>
      <c r="D1195" s="332" t="s">
        <v>888</v>
      </c>
      <c r="E1195" s="333">
        <v>201607</v>
      </c>
      <c r="F1195" s="334">
        <v>728.04</v>
      </c>
      <c r="G1195" s="332">
        <v>9.5</v>
      </c>
      <c r="H1195" s="381">
        <v>1.3083000000000001E-3</v>
      </c>
      <c r="I1195" s="334">
        <v>9.0500000000000007</v>
      </c>
      <c r="J1195" s="393">
        <v>11.43</v>
      </c>
      <c r="N1195" s="126"/>
      <c r="O1195" s="126"/>
      <c r="R1195" s="121"/>
    </row>
    <row r="1196" spans="1:18">
      <c r="A1196" s="332" t="s">
        <v>322</v>
      </c>
      <c r="B1196" s="333" t="s">
        <v>836</v>
      </c>
      <c r="C1196" s="423" t="s">
        <v>330</v>
      </c>
      <c r="D1196" s="332" t="s">
        <v>837</v>
      </c>
      <c r="E1196" s="333">
        <v>201607</v>
      </c>
      <c r="F1196" s="334">
        <v>-4233.8100000000004</v>
      </c>
      <c r="G1196" s="332">
        <v>9.5</v>
      </c>
      <c r="H1196" s="381">
        <v>1.1999999999999999E-3</v>
      </c>
      <c r="I1196" s="334">
        <v>-48.27</v>
      </c>
      <c r="J1196" s="393">
        <v>-60.97</v>
      </c>
      <c r="N1196" s="126"/>
      <c r="O1196" s="126"/>
      <c r="R1196" s="121"/>
    </row>
    <row r="1197" spans="1:18">
      <c r="A1197" s="332" t="s">
        <v>318</v>
      </c>
      <c r="B1197" s="333" t="s">
        <v>889</v>
      </c>
      <c r="C1197" s="423" t="s">
        <v>414</v>
      </c>
      <c r="D1197" s="332" t="s">
        <v>890</v>
      </c>
      <c r="E1197" s="333">
        <v>201607</v>
      </c>
      <c r="F1197" s="334">
        <v>81.06</v>
      </c>
      <c r="G1197" s="332">
        <v>9.5</v>
      </c>
      <c r="H1197" s="381">
        <v>1.3083000000000001E-3</v>
      </c>
      <c r="I1197" s="334">
        <v>1.01</v>
      </c>
      <c r="J1197" s="393">
        <v>1.27</v>
      </c>
      <c r="N1197" s="126"/>
      <c r="O1197" s="126"/>
      <c r="R1197" s="121"/>
    </row>
    <row r="1198" spans="1:18" ht="15">
      <c r="A1198" s="332" t="s">
        <v>318</v>
      </c>
      <c r="B1198" s="333" t="s">
        <v>889</v>
      </c>
      <c r="C1198" s="424" t="s">
        <v>414</v>
      </c>
      <c r="D1198" s="332" t="s">
        <v>890</v>
      </c>
      <c r="E1198" s="333">
        <v>201607</v>
      </c>
      <c r="F1198" s="334">
        <v>2149.34</v>
      </c>
      <c r="G1198" s="332">
        <v>9.5</v>
      </c>
      <c r="H1198" s="381">
        <v>1.3083000000000001E-3</v>
      </c>
      <c r="I1198" s="334">
        <v>26.71</v>
      </c>
      <c r="J1198" s="393">
        <v>33.74</v>
      </c>
      <c r="N1198" s="126"/>
      <c r="O1198" s="126"/>
      <c r="R1198" s="121"/>
    </row>
    <row r="1199" spans="1:18" ht="15">
      <c r="A1199" s="332" t="s">
        <v>318</v>
      </c>
      <c r="B1199" s="333" t="s">
        <v>627</v>
      </c>
      <c r="C1199" s="424" t="s">
        <v>330</v>
      </c>
      <c r="D1199" s="332" t="s">
        <v>628</v>
      </c>
      <c r="E1199" s="333">
        <v>201608</v>
      </c>
      <c r="F1199" s="334">
        <v>283.52</v>
      </c>
      <c r="G1199" s="332">
        <v>8.5</v>
      </c>
      <c r="H1199" s="381">
        <v>1.3083000000000001E-3</v>
      </c>
      <c r="I1199" s="334">
        <v>3.15</v>
      </c>
      <c r="J1199" s="393">
        <v>4.45</v>
      </c>
      <c r="N1199" s="126"/>
      <c r="O1199" s="126"/>
      <c r="R1199" s="121"/>
    </row>
    <row r="1200" spans="1:18">
      <c r="A1200" s="332" t="s">
        <v>318</v>
      </c>
      <c r="B1200" s="333" t="s">
        <v>320</v>
      </c>
      <c r="C1200" s="423" t="s">
        <v>319</v>
      </c>
      <c r="D1200" s="332" t="s">
        <v>321</v>
      </c>
      <c r="E1200" s="333">
        <v>201608</v>
      </c>
      <c r="F1200" s="334">
        <v>7151.41</v>
      </c>
      <c r="G1200" s="332">
        <v>8.5</v>
      </c>
      <c r="H1200" s="381">
        <v>1.3083000000000001E-3</v>
      </c>
      <c r="I1200" s="334">
        <v>79.53</v>
      </c>
      <c r="J1200" s="393">
        <v>112.27</v>
      </c>
      <c r="N1200" s="126"/>
      <c r="O1200" s="126"/>
      <c r="R1200" s="121"/>
    </row>
    <row r="1201" spans="1:18">
      <c r="A1201" s="332" t="s">
        <v>318</v>
      </c>
      <c r="B1201" s="333" t="s">
        <v>323</v>
      </c>
      <c r="C1201" s="423" t="s">
        <v>319</v>
      </c>
      <c r="D1201" s="332" t="s">
        <v>324</v>
      </c>
      <c r="E1201" s="333">
        <v>201608</v>
      </c>
      <c r="F1201" s="334">
        <v>14320.16</v>
      </c>
      <c r="G1201" s="332">
        <v>8.5</v>
      </c>
      <c r="H1201" s="381">
        <v>1.3083000000000001E-3</v>
      </c>
      <c r="I1201" s="334">
        <v>159.25</v>
      </c>
      <c r="J1201" s="393">
        <v>224.82</v>
      </c>
      <c r="N1201" s="126"/>
      <c r="O1201" s="126"/>
      <c r="R1201" s="121"/>
    </row>
    <row r="1202" spans="1:18" ht="15">
      <c r="A1202" s="332" t="s">
        <v>322</v>
      </c>
      <c r="B1202" s="333" t="s">
        <v>325</v>
      </c>
      <c r="C1202" s="424" t="s">
        <v>319</v>
      </c>
      <c r="D1202" s="332" t="s">
        <v>326</v>
      </c>
      <c r="E1202" s="333">
        <v>201608</v>
      </c>
      <c r="F1202" s="334">
        <v>2699.74</v>
      </c>
      <c r="G1202" s="332">
        <v>8.5</v>
      </c>
      <c r="H1202" s="381">
        <v>1.1999999999999999E-3</v>
      </c>
      <c r="I1202" s="334">
        <v>27.54</v>
      </c>
      <c r="J1202" s="393">
        <v>38.880000000000003</v>
      </c>
      <c r="N1202" s="126"/>
      <c r="O1202" s="126"/>
      <c r="R1202" s="121"/>
    </row>
    <row r="1203" spans="1:18" ht="15">
      <c r="A1203" s="332" t="s">
        <v>318</v>
      </c>
      <c r="B1203" s="333" t="s">
        <v>327</v>
      </c>
      <c r="C1203" s="424" t="s">
        <v>319</v>
      </c>
      <c r="D1203" s="332" t="s">
        <v>328</v>
      </c>
      <c r="E1203" s="333">
        <v>201608</v>
      </c>
      <c r="F1203" s="334">
        <v>52342.98</v>
      </c>
      <c r="G1203" s="332">
        <v>8.5</v>
      </c>
      <c r="H1203" s="381">
        <v>1.3083000000000001E-3</v>
      </c>
      <c r="I1203" s="334">
        <v>582.08000000000004</v>
      </c>
      <c r="J1203" s="393">
        <v>821.76</v>
      </c>
      <c r="N1203" s="126"/>
      <c r="O1203" s="126"/>
      <c r="R1203" s="121"/>
    </row>
    <row r="1204" spans="1:18">
      <c r="A1204" s="332" t="s">
        <v>318</v>
      </c>
      <c r="B1204" s="333" t="s">
        <v>546</v>
      </c>
      <c r="C1204" s="423" t="s">
        <v>330</v>
      </c>
      <c r="D1204" s="332" t="s">
        <v>547</v>
      </c>
      <c r="E1204" s="333">
        <v>201608</v>
      </c>
      <c r="F1204" s="334">
        <v>-0.74</v>
      </c>
      <c r="G1204" s="332">
        <v>8.5</v>
      </c>
      <c r="H1204" s="381">
        <v>1.3083000000000001E-3</v>
      </c>
      <c r="I1204" s="334">
        <v>-0.01</v>
      </c>
      <c r="J1204" s="393">
        <v>-0.01</v>
      </c>
      <c r="N1204" s="126"/>
      <c r="O1204" s="126"/>
      <c r="R1204" s="121"/>
    </row>
    <row r="1205" spans="1:18">
      <c r="A1205" s="332" t="s">
        <v>318</v>
      </c>
      <c r="B1205" s="333" t="s">
        <v>546</v>
      </c>
      <c r="C1205" s="423" t="s">
        <v>330</v>
      </c>
      <c r="D1205" s="332" t="s">
        <v>547</v>
      </c>
      <c r="E1205" s="333">
        <v>201608</v>
      </c>
      <c r="F1205" s="334">
        <v>-0.02</v>
      </c>
      <c r="G1205" s="332">
        <v>8.5</v>
      </c>
      <c r="H1205" s="381">
        <v>1.3083000000000001E-3</v>
      </c>
      <c r="I1205" s="334">
        <v>0</v>
      </c>
      <c r="J1205" s="393">
        <v>0</v>
      </c>
      <c r="N1205" s="126"/>
      <c r="O1205" s="126"/>
      <c r="R1205" s="121"/>
    </row>
    <row r="1206" spans="1:18" ht="15">
      <c r="A1206" s="332" t="s">
        <v>318</v>
      </c>
      <c r="B1206" s="333" t="s">
        <v>589</v>
      </c>
      <c r="C1206" s="424" t="s">
        <v>330</v>
      </c>
      <c r="D1206" s="332" t="s">
        <v>590</v>
      </c>
      <c r="E1206" s="333">
        <v>201608</v>
      </c>
      <c r="F1206" s="334">
        <v>34.83</v>
      </c>
      <c r="G1206" s="332">
        <v>8.5</v>
      </c>
      <c r="H1206" s="381">
        <v>1.3083000000000001E-3</v>
      </c>
      <c r="I1206" s="334">
        <v>0.39</v>
      </c>
      <c r="J1206" s="393">
        <v>0.55000000000000004</v>
      </c>
      <c r="N1206" s="126"/>
      <c r="O1206" s="126"/>
      <c r="R1206" s="121"/>
    </row>
    <row r="1207" spans="1:18" ht="15">
      <c r="A1207" s="332" t="s">
        <v>318</v>
      </c>
      <c r="B1207" s="333" t="s">
        <v>589</v>
      </c>
      <c r="C1207" s="424" t="s">
        <v>330</v>
      </c>
      <c r="D1207" s="332" t="s">
        <v>590</v>
      </c>
      <c r="E1207" s="333">
        <v>201608</v>
      </c>
      <c r="F1207" s="334">
        <v>1.1000000000000001</v>
      </c>
      <c r="G1207" s="332">
        <v>8.5</v>
      </c>
      <c r="H1207" s="381">
        <v>1.3083000000000001E-3</v>
      </c>
      <c r="I1207" s="334">
        <v>0.01</v>
      </c>
      <c r="J1207" s="393">
        <v>0.02</v>
      </c>
      <c r="N1207" s="126"/>
      <c r="O1207" s="126"/>
      <c r="R1207" s="121"/>
    </row>
    <row r="1208" spans="1:18">
      <c r="A1208" s="332" t="s">
        <v>318</v>
      </c>
      <c r="B1208" s="333" t="s">
        <v>941</v>
      </c>
      <c r="C1208" s="423" t="s">
        <v>330</v>
      </c>
      <c r="D1208" s="332" t="s">
        <v>942</v>
      </c>
      <c r="E1208" s="333">
        <v>201608</v>
      </c>
      <c r="F1208" s="334">
        <v>827093.62</v>
      </c>
      <c r="G1208" s="332">
        <v>8.5</v>
      </c>
      <c r="H1208" s="381">
        <v>1.3083000000000001E-3</v>
      </c>
      <c r="I1208" s="334">
        <v>9197.74</v>
      </c>
      <c r="J1208" s="393">
        <v>12985.04</v>
      </c>
      <c r="N1208" s="126"/>
      <c r="O1208" s="126"/>
      <c r="R1208" s="121"/>
    </row>
    <row r="1209" spans="1:18">
      <c r="A1209" s="332" t="s">
        <v>318</v>
      </c>
      <c r="B1209" s="333" t="s">
        <v>941</v>
      </c>
      <c r="C1209" s="423" t="s">
        <v>330</v>
      </c>
      <c r="D1209" s="332" t="s">
        <v>942</v>
      </c>
      <c r="E1209" s="333">
        <v>201608</v>
      </c>
      <c r="F1209" s="334">
        <v>57858.7</v>
      </c>
      <c r="G1209" s="332">
        <v>8.5</v>
      </c>
      <c r="H1209" s="381">
        <v>1.3083000000000001E-3</v>
      </c>
      <c r="I1209" s="334">
        <v>643.41999999999996</v>
      </c>
      <c r="J1209" s="393">
        <v>908.36</v>
      </c>
      <c r="N1209" s="126"/>
      <c r="O1209" s="126"/>
      <c r="R1209" s="121"/>
    </row>
    <row r="1210" spans="1:18" ht="15">
      <c r="A1210" s="332" t="s">
        <v>318</v>
      </c>
      <c r="B1210" s="333" t="s">
        <v>643</v>
      </c>
      <c r="C1210" s="424" t="s">
        <v>330</v>
      </c>
      <c r="D1210" s="332" t="s">
        <v>644</v>
      </c>
      <c r="E1210" s="333">
        <v>201608</v>
      </c>
      <c r="F1210" s="334">
        <v>-4874.88</v>
      </c>
      <c r="G1210" s="332">
        <v>8.5</v>
      </c>
      <c r="H1210" s="381">
        <v>1.3083000000000001E-3</v>
      </c>
      <c r="I1210" s="334">
        <v>-54.21</v>
      </c>
      <c r="J1210" s="393">
        <v>-76.53</v>
      </c>
      <c r="N1210" s="126"/>
      <c r="O1210" s="126"/>
      <c r="R1210" s="121"/>
    </row>
    <row r="1211" spans="1:18" ht="15">
      <c r="A1211" s="332" t="s">
        <v>322</v>
      </c>
      <c r="B1211" s="333" t="s">
        <v>643</v>
      </c>
      <c r="C1211" s="424" t="s">
        <v>330</v>
      </c>
      <c r="D1211" s="332" t="s">
        <v>644</v>
      </c>
      <c r="E1211" s="333">
        <v>201608</v>
      </c>
      <c r="F1211" s="334">
        <v>-70.98</v>
      </c>
      <c r="G1211" s="332">
        <v>8.5</v>
      </c>
      <c r="H1211" s="381">
        <v>1.1999999999999999E-3</v>
      </c>
      <c r="I1211" s="334">
        <v>-0.72</v>
      </c>
      <c r="J1211" s="393">
        <v>-1.02</v>
      </c>
      <c r="N1211" s="126"/>
      <c r="O1211" s="126"/>
      <c r="R1211" s="121"/>
    </row>
    <row r="1212" spans="1:18" ht="15">
      <c r="A1212" s="332" t="s">
        <v>318</v>
      </c>
      <c r="B1212" s="333" t="s">
        <v>643</v>
      </c>
      <c r="C1212" s="424" t="s">
        <v>330</v>
      </c>
      <c r="D1212" s="332" t="s">
        <v>644</v>
      </c>
      <c r="E1212" s="333">
        <v>201608</v>
      </c>
      <c r="F1212" s="334">
        <v>-341.04</v>
      </c>
      <c r="G1212" s="332">
        <v>8.5</v>
      </c>
      <c r="H1212" s="381">
        <v>1.3083000000000001E-3</v>
      </c>
      <c r="I1212" s="334">
        <v>-3.79</v>
      </c>
      <c r="J1212" s="393">
        <v>-5.35</v>
      </c>
      <c r="N1212" s="126"/>
      <c r="O1212" s="126"/>
      <c r="R1212" s="121"/>
    </row>
    <row r="1213" spans="1:18" ht="15">
      <c r="A1213" s="332" t="s">
        <v>318</v>
      </c>
      <c r="B1213" s="333" t="s">
        <v>856</v>
      </c>
      <c r="C1213" s="424" t="s">
        <v>330</v>
      </c>
      <c r="D1213" s="332" t="s">
        <v>857</v>
      </c>
      <c r="E1213" s="333">
        <v>201608</v>
      </c>
      <c r="F1213" s="334">
        <v>-7217.64</v>
      </c>
      <c r="G1213" s="332">
        <v>8.5</v>
      </c>
      <c r="H1213" s="381">
        <v>1.3083000000000001E-3</v>
      </c>
      <c r="I1213" s="334">
        <v>-80.260000000000005</v>
      </c>
      <c r="J1213" s="393">
        <v>-113.31</v>
      </c>
      <c r="N1213" s="126"/>
      <c r="O1213" s="126"/>
      <c r="R1213" s="121"/>
    </row>
    <row r="1214" spans="1:18" ht="15">
      <c r="A1214" s="332" t="s">
        <v>322</v>
      </c>
      <c r="B1214" s="333" t="s">
        <v>856</v>
      </c>
      <c r="C1214" s="424" t="s">
        <v>330</v>
      </c>
      <c r="D1214" s="332" t="s">
        <v>857</v>
      </c>
      <c r="E1214" s="333">
        <v>201608</v>
      </c>
      <c r="F1214" s="334">
        <v>-65.989999999999995</v>
      </c>
      <c r="G1214" s="332">
        <v>8.5</v>
      </c>
      <c r="H1214" s="381">
        <v>1.1999999999999999E-3</v>
      </c>
      <c r="I1214" s="334">
        <v>-0.67</v>
      </c>
      <c r="J1214" s="393">
        <v>-0.95</v>
      </c>
      <c r="N1214" s="126"/>
      <c r="O1214" s="126"/>
      <c r="R1214" s="121"/>
    </row>
    <row r="1215" spans="1:18" ht="15">
      <c r="A1215" s="332" t="s">
        <v>318</v>
      </c>
      <c r="B1215" s="333" t="s">
        <v>856</v>
      </c>
      <c r="C1215" s="424" t="s">
        <v>330</v>
      </c>
      <c r="D1215" s="332" t="s">
        <v>857</v>
      </c>
      <c r="E1215" s="333">
        <v>201608</v>
      </c>
      <c r="F1215" s="334">
        <v>-309.05</v>
      </c>
      <c r="G1215" s="332">
        <v>8.5</v>
      </c>
      <c r="H1215" s="381">
        <v>1.3083000000000001E-3</v>
      </c>
      <c r="I1215" s="334">
        <v>-3.44</v>
      </c>
      <c r="J1215" s="393">
        <v>-4.8499999999999996</v>
      </c>
      <c r="N1215" s="126"/>
      <c r="O1215" s="126"/>
      <c r="R1215" s="121"/>
    </row>
    <row r="1216" spans="1:18">
      <c r="A1216" s="332" t="s">
        <v>318</v>
      </c>
      <c r="B1216" s="333" t="s">
        <v>800</v>
      </c>
      <c r="C1216" s="423" t="s">
        <v>330</v>
      </c>
      <c r="D1216" s="332" t="s">
        <v>830</v>
      </c>
      <c r="E1216" s="333">
        <v>201608</v>
      </c>
      <c r="F1216" s="334">
        <v>12878.38</v>
      </c>
      <c r="G1216" s="332">
        <v>8.5</v>
      </c>
      <c r="H1216" s="381">
        <v>1.3083000000000001E-3</v>
      </c>
      <c r="I1216" s="334">
        <v>143.21</v>
      </c>
      <c r="J1216" s="393">
        <v>202.19</v>
      </c>
      <c r="N1216" s="126"/>
      <c r="O1216" s="126"/>
      <c r="R1216" s="121"/>
    </row>
    <row r="1217" spans="1:18">
      <c r="A1217" s="332" t="s">
        <v>318</v>
      </c>
      <c r="B1217" s="333" t="s">
        <v>800</v>
      </c>
      <c r="C1217" s="423" t="s">
        <v>330</v>
      </c>
      <c r="D1217" s="332" t="s">
        <v>830</v>
      </c>
      <c r="E1217" s="333">
        <v>201608</v>
      </c>
      <c r="F1217" s="334">
        <v>721.84</v>
      </c>
      <c r="G1217" s="332">
        <v>8.5</v>
      </c>
      <c r="H1217" s="381">
        <v>1.3083000000000001E-3</v>
      </c>
      <c r="I1217" s="334">
        <v>8.0299999999999994</v>
      </c>
      <c r="J1217" s="393">
        <v>11.33</v>
      </c>
      <c r="N1217" s="126"/>
      <c r="O1217" s="126"/>
      <c r="R1217" s="121"/>
    </row>
    <row r="1218" spans="1:18">
      <c r="A1218" s="332" t="s">
        <v>318</v>
      </c>
      <c r="B1218" s="333" t="s">
        <v>451</v>
      </c>
      <c r="C1218" s="423" t="s">
        <v>330</v>
      </c>
      <c r="D1218" s="332" t="s">
        <v>452</v>
      </c>
      <c r="E1218" s="333">
        <v>201608</v>
      </c>
      <c r="F1218" s="334">
        <v>2.13</v>
      </c>
      <c r="G1218" s="332">
        <v>8.5</v>
      </c>
      <c r="H1218" s="381">
        <v>1.3083000000000001E-3</v>
      </c>
      <c r="I1218" s="334">
        <v>0.02</v>
      </c>
      <c r="J1218" s="393">
        <v>0.03</v>
      </c>
      <c r="N1218" s="126"/>
      <c r="O1218" s="126"/>
      <c r="R1218" s="121"/>
    </row>
    <row r="1219" spans="1:18">
      <c r="A1219" s="332" t="s">
        <v>318</v>
      </c>
      <c r="B1219" s="333" t="s">
        <v>451</v>
      </c>
      <c r="C1219" s="423" t="s">
        <v>330</v>
      </c>
      <c r="D1219" s="332" t="s">
        <v>452</v>
      </c>
      <c r="E1219" s="333">
        <v>201608</v>
      </c>
      <c r="F1219" s="334">
        <v>0.06</v>
      </c>
      <c r="G1219" s="332">
        <v>8.5</v>
      </c>
      <c r="H1219" s="381">
        <v>1.3083000000000001E-3</v>
      </c>
      <c r="I1219" s="334">
        <v>0</v>
      </c>
      <c r="J1219" s="393">
        <v>0</v>
      </c>
      <c r="N1219" s="126"/>
      <c r="O1219" s="126"/>
      <c r="R1219" s="121"/>
    </row>
    <row r="1220" spans="1:18" ht="15">
      <c r="A1220" s="332" t="s">
        <v>318</v>
      </c>
      <c r="B1220" s="333" t="s">
        <v>645</v>
      </c>
      <c r="C1220" s="424" t="s">
        <v>330</v>
      </c>
      <c r="D1220" s="332" t="s">
        <v>646</v>
      </c>
      <c r="E1220" s="333">
        <v>201608</v>
      </c>
      <c r="F1220" s="334">
        <v>-1.79</v>
      </c>
      <c r="G1220" s="332">
        <v>8.5</v>
      </c>
      <c r="H1220" s="381">
        <v>1.3083000000000001E-3</v>
      </c>
      <c r="I1220" s="334">
        <v>-0.02</v>
      </c>
      <c r="J1220" s="393">
        <v>-0.03</v>
      </c>
      <c r="N1220" s="126"/>
      <c r="O1220" s="126"/>
      <c r="R1220" s="121"/>
    </row>
    <row r="1221" spans="1:18" ht="15">
      <c r="A1221" s="332" t="s">
        <v>318</v>
      </c>
      <c r="B1221" s="333" t="s">
        <v>645</v>
      </c>
      <c r="C1221" s="424" t="s">
        <v>330</v>
      </c>
      <c r="D1221" s="332" t="s">
        <v>646</v>
      </c>
      <c r="E1221" s="333">
        <v>201608</v>
      </c>
      <c r="F1221" s="334">
        <v>-0.06</v>
      </c>
      <c r="G1221" s="332">
        <v>8.5</v>
      </c>
      <c r="H1221" s="381">
        <v>1.3083000000000001E-3</v>
      </c>
      <c r="I1221" s="334">
        <v>0</v>
      </c>
      <c r="J1221" s="393">
        <v>0</v>
      </c>
      <c r="N1221" s="126"/>
      <c r="O1221" s="126"/>
      <c r="R1221" s="121"/>
    </row>
    <row r="1222" spans="1:18" ht="15">
      <c r="A1222" s="332" t="s">
        <v>318</v>
      </c>
      <c r="B1222" s="333" t="s">
        <v>647</v>
      </c>
      <c r="C1222" s="424" t="s">
        <v>330</v>
      </c>
      <c r="D1222" s="332" t="s">
        <v>648</v>
      </c>
      <c r="E1222" s="333">
        <v>201608</v>
      </c>
      <c r="F1222" s="334">
        <v>57.09</v>
      </c>
      <c r="G1222" s="332">
        <v>8.5</v>
      </c>
      <c r="H1222" s="381">
        <v>1.3083000000000001E-3</v>
      </c>
      <c r="I1222" s="334">
        <v>0.63</v>
      </c>
      <c r="J1222" s="393">
        <v>0.9</v>
      </c>
      <c r="N1222" s="126"/>
      <c r="O1222" s="126"/>
      <c r="R1222" s="121"/>
    </row>
    <row r="1223" spans="1:18" ht="15">
      <c r="A1223" s="332" t="s">
        <v>318</v>
      </c>
      <c r="B1223" s="333" t="s">
        <v>647</v>
      </c>
      <c r="C1223" s="424" t="s">
        <v>330</v>
      </c>
      <c r="D1223" s="332" t="s">
        <v>648</v>
      </c>
      <c r="E1223" s="333">
        <v>201608</v>
      </c>
      <c r="F1223" s="334">
        <v>0.27</v>
      </c>
      <c r="G1223" s="332">
        <v>8.5</v>
      </c>
      <c r="H1223" s="381">
        <v>1.3083000000000001E-3</v>
      </c>
      <c r="I1223" s="334">
        <v>0</v>
      </c>
      <c r="J1223" s="393">
        <v>0</v>
      </c>
      <c r="N1223" s="126"/>
      <c r="O1223" s="126"/>
      <c r="R1223" s="121"/>
    </row>
    <row r="1224" spans="1:18" ht="15">
      <c r="A1224" s="332" t="s">
        <v>318</v>
      </c>
      <c r="B1224" s="333" t="s">
        <v>784</v>
      </c>
      <c r="C1224" s="424" t="s">
        <v>330</v>
      </c>
      <c r="D1224" s="332" t="s">
        <v>785</v>
      </c>
      <c r="E1224" s="333">
        <v>201608</v>
      </c>
      <c r="F1224" s="334">
        <v>8739.39</v>
      </c>
      <c r="G1224" s="332">
        <v>8.5</v>
      </c>
      <c r="H1224" s="381">
        <v>1.3083000000000001E-3</v>
      </c>
      <c r="I1224" s="334">
        <v>97.19</v>
      </c>
      <c r="J1224" s="393">
        <v>137.19999999999999</v>
      </c>
      <c r="N1224" s="126"/>
      <c r="O1224" s="126"/>
      <c r="R1224" s="121"/>
    </row>
    <row r="1225" spans="1:18" ht="15">
      <c r="A1225" s="332" t="s">
        <v>318</v>
      </c>
      <c r="B1225" s="333" t="s">
        <v>784</v>
      </c>
      <c r="C1225" s="424" t="s">
        <v>330</v>
      </c>
      <c r="D1225" s="332" t="s">
        <v>785</v>
      </c>
      <c r="E1225" s="333">
        <v>201608</v>
      </c>
      <c r="F1225" s="334">
        <v>55</v>
      </c>
      <c r="G1225" s="332">
        <v>8.5</v>
      </c>
      <c r="H1225" s="381">
        <v>1.3083000000000001E-3</v>
      </c>
      <c r="I1225" s="334">
        <v>0.61</v>
      </c>
      <c r="J1225" s="393">
        <v>0.86</v>
      </c>
      <c r="N1225" s="126"/>
      <c r="O1225" s="126"/>
      <c r="R1225" s="121"/>
    </row>
    <row r="1226" spans="1:18">
      <c r="A1226" s="332" t="s">
        <v>318</v>
      </c>
      <c r="B1226" s="333" t="s">
        <v>629</v>
      </c>
      <c r="C1226" s="423" t="s">
        <v>330</v>
      </c>
      <c r="D1226" s="332" t="s">
        <v>630</v>
      </c>
      <c r="E1226" s="333">
        <v>201608</v>
      </c>
      <c r="F1226" s="334">
        <v>2.75</v>
      </c>
      <c r="G1226" s="332">
        <v>8.5</v>
      </c>
      <c r="H1226" s="381">
        <v>1.3083000000000001E-3</v>
      </c>
      <c r="I1226" s="334">
        <v>0.03</v>
      </c>
      <c r="J1226" s="393">
        <v>0.04</v>
      </c>
      <c r="N1226" s="126"/>
      <c r="O1226" s="126"/>
      <c r="R1226" s="121"/>
    </row>
    <row r="1227" spans="1:18" ht="15">
      <c r="A1227" s="332" t="s">
        <v>318</v>
      </c>
      <c r="B1227" s="333" t="s">
        <v>629</v>
      </c>
      <c r="C1227" s="424" t="s">
        <v>330</v>
      </c>
      <c r="D1227" s="332" t="s">
        <v>630</v>
      </c>
      <c r="E1227" s="333">
        <v>201608</v>
      </c>
      <c r="F1227" s="334">
        <v>7.0000000000000007E-2</v>
      </c>
      <c r="G1227" s="332">
        <v>8.5</v>
      </c>
      <c r="H1227" s="381">
        <v>1.3083000000000001E-3</v>
      </c>
      <c r="I1227" s="334">
        <v>0</v>
      </c>
      <c r="J1227" s="393">
        <v>0</v>
      </c>
      <c r="N1227" s="126"/>
      <c r="O1227" s="126"/>
      <c r="R1227" s="121"/>
    </row>
    <row r="1228" spans="1:18" ht="15">
      <c r="A1228" s="332" t="s">
        <v>318</v>
      </c>
      <c r="B1228" s="333" t="s">
        <v>592</v>
      </c>
      <c r="C1228" s="424" t="s">
        <v>329</v>
      </c>
      <c r="D1228" s="332" t="s">
        <v>593</v>
      </c>
      <c r="E1228" s="333">
        <v>201608</v>
      </c>
      <c r="F1228" s="334">
        <v>-0.66</v>
      </c>
      <c r="G1228" s="332">
        <v>8.5</v>
      </c>
      <c r="H1228" s="381">
        <v>1.3083000000000001E-3</v>
      </c>
      <c r="I1228" s="334">
        <v>-0.01</v>
      </c>
      <c r="J1228" s="393">
        <v>-0.01</v>
      </c>
      <c r="N1228" s="126"/>
      <c r="O1228" s="126"/>
      <c r="R1228" s="121"/>
    </row>
    <row r="1229" spans="1:18" ht="15">
      <c r="A1229" s="332" t="s">
        <v>318</v>
      </c>
      <c r="B1229" s="333" t="s">
        <v>592</v>
      </c>
      <c r="C1229" s="424" t="s">
        <v>329</v>
      </c>
      <c r="D1229" s="332" t="s">
        <v>593</v>
      </c>
      <c r="E1229" s="333">
        <v>201608</v>
      </c>
      <c r="F1229" s="334">
        <v>-7.0000000000000007E-2</v>
      </c>
      <c r="G1229" s="332">
        <v>8.5</v>
      </c>
      <c r="H1229" s="381">
        <v>1.3083000000000001E-3</v>
      </c>
      <c r="I1229" s="334">
        <v>0</v>
      </c>
      <c r="J1229" s="393">
        <v>0</v>
      </c>
      <c r="N1229" s="126"/>
      <c r="O1229" s="126"/>
      <c r="R1229" s="121"/>
    </row>
    <row r="1230" spans="1:18">
      <c r="A1230" s="332" t="s">
        <v>318</v>
      </c>
      <c r="B1230" s="333" t="s">
        <v>631</v>
      </c>
      <c r="C1230" s="423" t="s">
        <v>330</v>
      </c>
      <c r="D1230" s="332" t="s">
        <v>632</v>
      </c>
      <c r="E1230" s="333">
        <v>201608</v>
      </c>
      <c r="F1230" s="334">
        <v>15.25</v>
      </c>
      <c r="G1230" s="332">
        <v>8.5</v>
      </c>
      <c r="H1230" s="381">
        <v>1.3083000000000001E-3</v>
      </c>
      <c r="I1230" s="334">
        <v>0.17</v>
      </c>
      <c r="J1230" s="393">
        <v>0.24</v>
      </c>
      <c r="N1230" s="126"/>
      <c r="O1230" s="126"/>
      <c r="R1230" s="121"/>
    </row>
    <row r="1231" spans="1:18">
      <c r="A1231" s="332" t="s">
        <v>318</v>
      </c>
      <c r="B1231" s="333" t="s">
        <v>631</v>
      </c>
      <c r="C1231" s="423" t="s">
        <v>330</v>
      </c>
      <c r="D1231" s="332" t="s">
        <v>632</v>
      </c>
      <c r="E1231" s="333">
        <v>201608</v>
      </c>
      <c r="F1231" s="334">
        <v>0.27</v>
      </c>
      <c r="G1231" s="332">
        <v>8.5</v>
      </c>
      <c r="H1231" s="381">
        <v>1.3083000000000001E-3</v>
      </c>
      <c r="I1231" s="334">
        <v>0</v>
      </c>
      <c r="J1231" s="393">
        <v>0</v>
      </c>
      <c r="N1231" s="126"/>
      <c r="O1231" s="126"/>
      <c r="R1231" s="121"/>
    </row>
    <row r="1232" spans="1:18" ht="15">
      <c r="A1232" s="332" t="s">
        <v>318</v>
      </c>
      <c r="B1232" s="333" t="s">
        <v>649</v>
      </c>
      <c r="C1232" s="424" t="s">
        <v>330</v>
      </c>
      <c r="D1232" s="332" t="s">
        <v>650</v>
      </c>
      <c r="E1232" s="333">
        <v>201608</v>
      </c>
      <c r="F1232" s="334">
        <v>6764.59</v>
      </c>
      <c r="G1232" s="332">
        <v>8.5</v>
      </c>
      <c r="H1232" s="381">
        <v>1.3083000000000001E-3</v>
      </c>
      <c r="I1232" s="334">
        <v>75.23</v>
      </c>
      <c r="J1232" s="393">
        <v>106.2</v>
      </c>
      <c r="N1232" s="126"/>
      <c r="O1232" s="126"/>
      <c r="R1232" s="121"/>
    </row>
    <row r="1233" spans="1:18" ht="15">
      <c r="A1233" s="332" t="s">
        <v>318</v>
      </c>
      <c r="B1233" s="333" t="s">
        <v>649</v>
      </c>
      <c r="C1233" s="424" t="s">
        <v>330</v>
      </c>
      <c r="D1233" s="332" t="s">
        <v>650</v>
      </c>
      <c r="E1233" s="333">
        <v>201608</v>
      </c>
      <c r="F1233" s="334">
        <v>499.25</v>
      </c>
      <c r="G1233" s="332">
        <v>8.5</v>
      </c>
      <c r="H1233" s="381">
        <v>1.3083000000000001E-3</v>
      </c>
      <c r="I1233" s="334">
        <v>5.55</v>
      </c>
      <c r="J1233" s="393">
        <v>7.84</v>
      </c>
      <c r="N1233" s="126"/>
      <c r="O1233" s="126"/>
      <c r="R1233" s="121"/>
    </row>
    <row r="1234" spans="1:18">
      <c r="A1234" s="332" t="s">
        <v>318</v>
      </c>
      <c r="B1234" s="333" t="s">
        <v>838</v>
      </c>
      <c r="C1234" s="423" t="s">
        <v>330</v>
      </c>
      <c r="D1234" s="332" t="s">
        <v>839</v>
      </c>
      <c r="E1234" s="333">
        <v>201608</v>
      </c>
      <c r="F1234" s="334">
        <v>23189.24</v>
      </c>
      <c r="G1234" s="332">
        <v>8.5</v>
      </c>
      <c r="H1234" s="381">
        <v>1.3083000000000001E-3</v>
      </c>
      <c r="I1234" s="334">
        <v>257.88</v>
      </c>
      <c r="J1234" s="393">
        <v>364.06</v>
      </c>
      <c r="N1234" s="126"/>
      <c r="O1234" s="126"/>
      <c r="R1234" s="121"/>
    </row>
    <row r="1235" spans="1:18">
      <c r="A1235" s="332" t="s">
        <v>318</v>
      </c>
      <c r="B1235" s="333" t="s">
        <v>838</v>
      </c>
      <c r="C1235" s="423" t="s">
        <v>330</v>
      </c>
      <c r="D1235" s="332" t="s">
        <v>839</v>
      </c>
      <c r="E1235" s="333">
        <v>201608</v>
      </c>
      <c r="F1235" s="334">
        <v>482.09</v>
      </c>
      <c r="G1235" s="332">
        <v>8.5</v>
      </c>
      <c r="H1235" s="381">
        <v>1.3083000000000001E-3</v>
      </c>
      <c r="I1235" s="334">
        <v>5.36</v>
      </c>
      <c r="J1235" s="393">
        <v>7.57</v>
      </c>
      <c r="N1235" s="126"/>
      <c r="O1235" s="126"/>
      <c r="R1235" s="121"/>
    </row>
    <row r="1236" spans="1:18">
      <c r="A1236" s="332" t="s">
        <v>318</v>
      </c>
      <c r="B1236" s="333" t="s">
        <v>651</v>
      </c>
      <c r="C1236" s="423" t="s">
        <v>330</v>
      </c>
      <c r="D1236" s="332" t="s">
        <v>652</v>
      </c>
      <c r="E1236" s="333">
        <v>201608</v>
      </c>
      <c r="F1236" s="334">
        <v>2958.18</v>
      </c>
      <c r="G1236" s="332">
        <v>8.5</v>
      </c>
      <c r="H1236" s="381">
        <v>1.3083000000000001E-3</v>
      </c>
      <c r="I1236" s="334">
        <v>32.9</v>
      </c>
      <c r="J1236" s="393">
        <v>46.44</v>
      </c>
      <c r="N1236" s="126"/>
      <c r="O1236" s="126"/>
      <c r="R1236" s="121"/>
    </row>
    <row r="1237" spans="1:18">
      <c r="A1237" s="332" t="s">
        <v>318</v>
      </c>
      <c r="B1237" s="333" t="s">
        <v>651</v>
      </c>
      <c r="C1237" s="423" t="s">
        <v>330</v>
      </c>
      <c r="D1237" s="332" t="s">
        <v>652</v>
      </c>
      <c r="E1237" s="333">
        <v>201608</v>
      </c>
      <c r="F1237" s="334">
        <v>109.5</v>
      </c>
      <c r="G1237" s="332">
        <v>8.5</v>
      </c>
      <c r="H1237" s="381">
        <v>1.3083000000000001E-3</v>
      </c>
      <c r="I1237" s="334">
        <v>1.22</v>
      </c>
      <c r="J1237" s="393">
        <v>1.72</v>
      </c>
      <c r="N1237" s="126"/>
      <c r="O1237" s="126"/>
      <c r="R1237" s="121"/>
    </row>
    <row r="1238" spans="1:18" ht="15">
      <c r="A1238" s="332" t="s">
        <v>318</v>
      </c>
      <c r="B1238" s="333" t="s">
        <v>786</v>
      </c>
      <c r="C1238" s="424" t="s">
        <v>330</v>
      </c>
      <c r="D1238" s="332" t="s">
        <v>787</v>
      </c>
      <c r="E1238" s="333">
        <v>201608</v>
      </c>
      <c r="F1238" s="334">
        <v>5640.68</v>
      </c>
      <c r="G1238" s="332">
        <v>8.5</v>
      </c>
      <c r="H1238" s="381">
        <v>1.3083000000000001E-3</v>
      </c>
      <c r="I1238" s="334">
        <v>62.73</v>
      </c>
      <c r="J1238" s="393">
        <v>88.56</v>
      </c>
      <c r="N1238" s="126"/>
      <c r="O1238" s="126"/>
      <c r="R1238" s="121"/>
    </row>
    <row r="1239" spans="1:18" ht="15">
      <c r="A1239" s="332" t="s">
        <v>318</v>
      </c>
      <c r="B1239" s="333" t="s">
        <v>786</v>
      </c>
      <c r="C1239" s="424" t="s">
        <v>330</v>
      </c>
      <c r="D1239" s="332" t="s">
        <v>787</v>
      </c>
      <c r="E1239" s="333">
        <v>201608</v>
      </c>
      <c r="F1239" s="334">
        <v>39.14</v>
      </c>
      <c r="G1239" s="332">
        <v>8.5</v>
      </c>
      <c r="H1239" s="381">
        <v>1.3083000000000001E-3</v>
      </c>
      <c r="I1239" s="334">
        <v>0.44</v>
      </c>
      <c r="J1239" s="393">
        <v>0.61</v>
      </c>
      <c r="N1239" s="126"/>
      <c r="O1239" s="126"/>
      <c r="R1239" s="121"/>
    </row>
    <row r="1240" spans="1:18" ht="15">
      <c r="A1240" s="332" t="s">
        <v>318</v>
      </c>
      <c r="B1240" s="333" t="s">
        <v>653</v>
      </c>
      <c r="C1240" s="424" t="s">
        <v>330</v>
      </c>
      <c r="D1240" s="332" t="s">
        <v>654</v>
      </c>
      <c r="E1240" s="333">
        <v>201608</v>
      </c>
      <c r="F1240" s="334">
        <v>4527.58</v>
      </c>
      <c r="G1240" s="332">
        <v>8.5</v>
      </c>
      <c r="H1240" s="381">
        <v>1.3083000000000001E-3</v>
      </c>
      <c r="I1240" s="334">
        <v>50.35</v>
      </c>
      <c r="J1240" s="393">
        <v>71.08</v>
      </c>
      <c r="N1240" s="126"/>
      <c r="O1240" s="126"/>
      <c r="R1240" s="121"/>
    </row>
    <row r="1241" spans="1:18" ht="15">
      <c r="A1241" s="332" t="s">
        <v>318</v>
      </c>
      <c r="B1241" s="333" t="s">
        <v>653</v>
      </c>
      <c r="C1241" s="424" t="s">
        <v>330</v>
      </c>
      <c r="D1241" s="332" t="s">
        <v>654</v>
      </c>
      <c r="E1241" s="333">
        <v>201608</v>
      </c>
      <c r="F1241" s="334">
        <v>209.39</v>
      </c>
      <c r="G1241" s="332">
        <v>8.5</v>
      </c>
      <c r="H1241" s="381">
        <v>1.3083000000000001E-3</v>
      </c>
      <c r="I1241" s="334">
        <v>2.33</v>
      </c>
      <c r="J1241" s="393">
        <v>3.29</v>
      </c>
      <c r="N1241" s="126"/>
      <c r="O1241" s="126"/>
      <c r="R1241" s="121"/>
    </row>
    <row r="1242" spans="1:18" ht="15">
      <c r="A1242" s="332" t="s">
        <v>318</v>
      </c>
      <c r="B1242" s="333" t="s">
        <v>655</v>
      </c>
      <c r="C1242" s="424" t="s">
        <v>330</v>
      </c>
      <c r="D1242" s="332" t="s">
        <v>656</v>
      </c>
      <c r="E1242" s="333">
        <v>201608</v>
      </c>
      <c r="F1242" s="334">
        <v>7.63</v>
      </c>
      <c r="G1242" s="332">
        <v>8.5</v>
      </c>
      <c r="H1242" s="381">
        <v>1.3083000000000001E-3</v>
      </c>
      <c r="I1242" s="334">
        <v>0.08</v>
      </c>
      <c r="J1242" s="393">
        <v>0.12</v>
      </c>
      <c r="N1242" s="126"/>
      <c r="O1242" s="126"/>
      <c r="R1242" s="121"/>
    </row>
    <row r="1243" spans="1:18" ht="15">
      <c r="A1243" s="332" t="s">
        <v>318</v>
      </c>
      <c r="B1243" s="333" t="s">
        <v>655</v>
      </c>
      <c r="C1243" s="424" t="s">
        <v>330</v>
      </c>
      <c r="D1243" s="332" t="s">
        <v>656</v>
      </c>
      <c r="E1243" s="333">
        <v>201608</v>
      </c>
      <c r="F1243" s="334">
        <v>0.11</v>
      </c>
      <c r="G1243" s="332">
        <v>8.5</v>
      </c>
      <c r="H1243" s="381">
        <v>1.3083000000000001E-3</v>
      </c>
      <c r="I1243" s="334">
        <v>0</v>
      </c>
      <c r="J1243" s="393">
        <v>0</v>
      </c>
      <c r="N1243" s="126"/>
      <c r="O1243" s="126"/>
      <c r="R1243" s="121"/>
    </row>
    <row r="1244" spans="1:18">
      <c r="A1244" s="332" t="s">
        <v>318</v>
      </c>
      <c r="B1244" s="333" t="s">
        <v>594</v>
      </c>
      <c r="C1244" s="423" t="s">
        <v>330</v>
      </c>
      <c r="D1244" s="332" t="s">
        <v>595</v>
      </c>
      <c r="E1244" s="333">
        <v>201608</v>
      </c>
      <c r="F1244" s="334">
        <v>0.73</v>
      </c>
      <c r="G1244" s="332">
        <v>8.5</v>
      </c>
      <c r="H1244" s="381">
        <v>1.3083000000000001E-3</v>
      </c>
      <c r="I1244" s="334">
        <v>0.01</v>
      </c>
      <c r="J1244" s="393">
        <v>0.01</v>
      </c>
      <c r="N1244" s="126"/>
      <c r="O1244" s="126"/>
      <c r="R1244" s="121"/>
    </row>
    <row r="1245" spans="1:18">
      <c r="A1245" s="332" t="s">
        <v>318</v>
      </c>
      <c r="B1245" s="333" t="s">
        <v>594</v>
      </c>
      <c r="C1245" s="423" t="s">
        <v>330</v>
      </c>
      <c r="D1245" s="332" t="s">
        <v>595</v>
      </c>
      <c r="E1245" s="333">
        <v>201608</v>
      </c>
      <c r="F1245" s="334">
        <v>0.02</v>
      </c>
      <c r="G1245" s="332">
        <v>8.5</v>
      </c>
      <c r="H1245" s="381">
        <v>1.3083000000000001E-3</v>
      </c>
      <c r="I1245" s="334">
        <v>0</v>
      </c>
      <c r="J1245" s="393">
        <v>0</v>
      </c>
      <c r="N1245" s="126"/>
      <c r="O1245" s="126"/>
      <c r="R1245" s="121"/>
    </row>
    <row r="1246" spans="1:18" ht="15">
      <c r="A1246" s="332" t="s">
        <v>318</v>
      </c>
      <c r="B1246" s="333" t="s">
        <v>596</v>
      </c>
      <c r="C1246" s="424" t="s">
        <v>330</v>
      </c>
      <c r="D1246" s="332" t="s">
        <v>597</v>
      </c>
      <c r="E1246" s="333">
        <v>201608</v>
      </c>
      <c r="F1246" s="334">
        <v>1.21</v>
      </c>
      <c r="G1246" s="332">
        <v>8.5</v>
      </c>
      <c r="H1246" s="381">
        <v>1.3083000000000001E-3</v>
      </c>
      <c r="I1246" s="334">
        <v>0.01</v>
      </c>
      <c r="J1246" s="393">
        <v>0.02</v>
      </c>
      <c r="N1246" s="126"/>
      <c r="O1246" s="126"/>
      <c r="R1246" s="121"/>
    </row>
    <row r="1247" spans="1:18" ht="15">
      <c r="A1247" s="332" t="s">
        <v>318</v>
      </c>
      <c r="B1247" s="333" t="s">
        <v>596</v>
      </c>
      <c r="C1247" s="424" t="s">
        <v>330</v>
      </c>
      <c r="D1247" s="332" t="s">
        <v>597</v>
      </c>
      <c r="E1247" s="333">
        <v>201608</v>
      </c>
      <c r="F1247" s="334">
        <v>0.02</v>
      </c>
      <c r="G1247" s="332">
        <v>8.5</v>
      </c>
      <c r="H1247" s="381">
        <v>1.3083000000000001E-3</v>
      </c>
      <c r="I1247" s="334">
        <v>0</v>
      </c>
      <c r="J1247" s="393">
        <v>0</v>
      </c>
      <c r="N1247" s="126"/>
      <c r="O1247" s="126"/>
      <c r="R1247" s="121"/>
    </row>
    <row r="1248" spans="1:18" ht="15">
      <c r="A1248" s="332" t="s">
        <v>318</v>
      </c>
      <c r="B1248" s="333" t="s">
        <v>657</v>
      </c>
      <c r="C1248" s="424" t="s">
        <v>330</v>
      </c>
      <c r="D1248" s="332" t="s">
        <v>658</v>
      </c>
      <c r="E1248" s="333">
        <v>201608</v>
      </c>
      <c r="F1248" s="334">
        <v>-11.95</v>
      </c>
      <c r="G1248" s="332">
        <v>8.5</v>
      </c>
      <c r="H1248" s="381">
        <v>1.3083000000000001E-3</v>
      </c>
      <c r="I1248" s="334">
        <v>-0.13</v>
      </c>
      <c r="J1248" s="393">
        <v>-0.19</v>
      </c>
      <c r="N1248" s="126"/>
      <c r="O1248" s="126"/>
      <c r="R1248" s="121"/>
    </row>
    <row r="1249" spans="1:18" ht="15">
      <c r="A1249" s="332" t="s">
        <v>318</v>
      </c>
      <c r="B1249" s="333" t="s">
        <v>657</v>
      </c>
      <c r="C1249" s="424" t="s">
        <v>330</v>
      </c>
      <c r="D1249" s="332" t="s">
        <v>658</v>
      </c>
      <c r="E1249" s="333">
        <v>201608</v>
      </c>
      <c r="F1249" s="334">
        <v>-0.1</v>
      </c>
      <c r="G1249" s="332">
        <v>8.5</v>
      </c>
      <c r="H1249" s="381">
        <v>1.3083000000000001E-3</v>
      </c>
      <c r="I1249" s="334">
        <v>0</v>
      </c>
      <c r="J1249" s="393">
        <v>0</v>
      </c>
      <c r="N1249" s="126"/>
      <c r="O1249" s="126"/>
      <c r="R1249" s="121"/>
    </row>
    <row r="1250" spans="1:18" ht="15">
      <c r="A1250" s="332" t="s">
        <v>318</v>
      </c>
      <c r="B1250" s="333" t="s">
        <v>659</v>
      </c>
      <c r="C1250" s="424" t="s">
        <v>330</v>
      </c>
      <c r="D1250" s="332" t="s">
        <v>660</v>
      </c>
      <c r="E1250" s="333">
        <v>201608</v>
      </c>
      <c r="F1250" s="334">
        <v>-59.93</v>
      </c>
      <c r="G1250" s="332">
        <v>8.5</v>
      </c>
      <c r="H1250" s="381">
        <v>1.3083000000000001E-3</v>
      </c>
      <c r="I1250" s="334">
        <v>-0.67</v>
      </c>
      <c r="J1250" s="393">
        <v>-0.94</v>
      </c>
      <c r="N1250" s="126"/>
      <c r="O1250" s="126"/>
      <c r="R1250" s="121"/>
    </row>
    <row r="1251" spans="1:18" ht="15">
      <c r="A1251" s="332" t="s">
        <v>318</v>
      </c>
      <c r="B1251" s="333" t="s">
        <v>659</v>
      </c>
      <c r="C1251" s="424" t="s">
        <v>330</v>
      </c>
      <c r="D1251" s="332" t="s">
        <v>660</v>
      </c>
      <c r="E1251" s="333">
        <v>201608</v>
      </c>
      <c r="F1251" s="334">
        <v>-1.1599999999999999</v>
      </c>
      <c r="G1251" s="332">
        <v>8.5</v>
      </c>
      <c r="H1251" s="381">
        <v>1.3083000000000001E-3</v>
      </c>
      <c r="I1251" s="334">
        <v>-0.01</v>
      </c>
      <c r="J1251" s="393">
        <v>-0.02</v>
      </c>
      <c r="N1251" s="126"/>
      <c r="O1251" s="126"/>
      <c r="R1251" s="121"/>
    </row>
    <row r="1252" spans="1:18" ht="15">
      <c r="A1252" s="332" t="s">
        <v>318</v>
      </c>
      <c r="B1252" s="333" t="s">
        <v>661</v>
      </c>
      <c r="C1252" s="424" t="s">
        <v>330</v>
      </c>
      <c r="D1252" s="332" t="s">
        <v>662</v>
      </c>
      <c r="E1252" s="333">
        <v>201608</v>
      </c>
      <c r="F1252" s="334">
        <v>10060.11</v>
      </c>
      <c r="G1252" s="332">
        <v>8.5</v>
      </c>
      <c r="H1252" s="381">
        <v>1.3083000000000001E-3</v>
      </c>
      <c r="I1252" s="334">
        <v>111.87</v>
      </c>
      <c r="J1252" s="393">
        <v>157.94</v>
      </c>
      <c r="N1252" s="126"/>
      <c r="O1252" s="126"/>
      <c r="R1252" s="121"/>
    </row>
    <row r="1253" spans="1:18" ht="15">
      <c r="A1253" s="332" t="s">
        <v>318</v>
      </c>
      <c r="B1253" s="333" t="s">
        <v>661</v>
      </c>
      <c r="C1253" s="424" t="s">
        <v>330</v>
      </c>
      <c r="D1253" s="332" t="s">
        <v>662</v>
      </c>
      <c r="E1253" s="333">
        <v>201608</v>
      </c>
      <c r="F1253" s="334">
        <v>665.94</v>
      </c>
      <c r="G1253" s="332">
        <v>8.5</v>
      </c>
      <c r="H1253" s="381">
        <v>1.3083000000000001E-3</v>
      </c>
      <c r="I1253" s="334">
        <v>7.41</v>
      </c>
      <c r="J1253" s="393">
        <v>10.45</v>
      </c>
      <c r="N1253" s="126"/>
      <c r="O1253" s="126"/>
      <c r="R1253" s="121"/>
    </row>
    <row r="1254" spans="1:18">
      <c r="A1254" s="332" t="s">
        <v>318</v>
      </c>
      <c r="B1254" s="333" t="s">
        <v>663</v>
      </c>
      <c r="C1254" s="423" t="s">
        <v>330</v>
      </c>
      <c r="D1254" s="332" t="s">
        <v>664</v>
      </c>
      <c r="E1254" s="333">
        <v>201608</v>
      </c>
      <c r="F1254" s="334">
        <v>4385.99</v>
      </c>
      <c r="G1254" s="332">
        <v>8.5</v>
      </c>
      <c r="H1254" s="381">
        <v>1.3083000000000001E-3</v>
      </c>
      <c r="I1254" s="334">
        <v>48.77</v>
      </c>
      <c r="J1254" s="393">
        <v>68.86</v>
      </c>
      <c r="N1254" s="126"/>
      <c r="O1254" s="126"/>
      <c r="R1254" s="121"/>
    </row>
    <row r="1255" spans="1:18">
      <c r="A1255" s="332" t="s">
        <v>318</v>
      </c>
      <c r="B1255" s="333" t="s">
        <v>663</v>
      </c>
      <c r="C1255" s="423" t="s">
        <v>330</v>
      </c>
      <c r="D1255" s="332" t="s">
        <v>664</v>
      </c>
      <c r="E1255" s="333">
        <v>201608</v>
      </c>
      <c r="F1255" s="334">
        <v>78.03</v>
      </c>
      <c r="G1255" s="332">
        <v>8.5</v>
      </c>
      <c r="H1255" s="381">
        <v>1.3083000000000001E-3</v>
      </c>
      <c r="I1255" s="334">
        <v>0.87</v>
      </c>
      <c r="J1255" s="393">
        <v>1.23</v>
      </c>
      <c r="N1255" s="126"/>
      <c r="O1255" s="126"/>
      <c r="R1255" s="121"/>
    </row>
    <row r="1256" spans="1:18" ht="15">
      <c r="A1256" s="332" t="s">
        <v>318</v>
      </c>
      <c r="B1256" s="333" t="s">
        <v>665</v>
      </c>
      <c r="C1256" s="424" t="s">
        <v>330</v>
      </c>
      <c r="D1256" s="332" t="s">
        <v>666</v>
      </c>
      <c r="E1256" s="333">
        <v>201608</v>
      </c>
      <c r="F1256" s="334">
        <v>185.1</v>
      </c>
      <c r="G1256" s="332">
        <v>8.5</v>
      </c>
      <c r="H1256" s="381">
        <v>1.3083000000000001E-3</v>
      </c>
      <c r="I1256" s="334">
        <v>2.06</v>
      </c>
      <c r="J1256" s="393">
        <v>2.91</v>
      </c>
      <c r="N1256" s="126"/>
      <c r="O1256" s="126"/>
      <c r="R1256" s="121"/>
    </row>
    <row r="1257" spans="1:18" ht="15">
      <c r="A1257" s="332" t="s">
        <v>318</v>
      </c>
      <c r="B1257" s="333" t="s">
        <v>665</v>
      </c>
      <c r="C1257" s="424" t="s">
        <v>330</v>
      </c>
      <c r="D1257" s="332" t="s">
        <v>666</v>
      </c>
      <c r="E1257" s="333">
        <v>201608</v>
      </c>
      <c r="F1257" s="334">
        <v>1.95</v>
      </c>
      <c r="G1257" s="332">
        <v>8.5</v>
      </c>
      <c r="H1257" s="381">
        <v>1.3083000000000001E-3</v>
      </c>
      <c r="I1257" s="334">
        <v>0.02</v>
      </c>
      <c r="J1257" s="393">
        <v>0.03</v>
      </c>
      <c r="N1257" s="126"/>
      <c r="O1257" s="126"/>
      <c r="R1257" s="121"/>
    </row>
    <row r="1258" spans="1:18">
      <c r="A1258" s="332" t="s">
        <v>318</v>
      </c>
      <c r="B1258" s="333" t="s">
        <v>801</v>
      </c>
      <c r="C1258" s="423" t="s">
        <v>330</v>
      </c>
      <c r="D1258" s="332" t="s">
        <v>802</v>
      </c>
      <c r="E1258" s="333">
        <v>201608</v>
      </c>
      <c r="F1258" s="334">
        <v>7485.14</v>
      </c>
      <c r="G1258" s="332">
        <v>8.5</v>
      </c>
      <c r="H1258" s="381">
        <v>1.3083000000000001E-3</v>
      </c>
      <c r="I1258" s="334">
        <v>83.24</v>
      </c>
      <c r="J1258" s="393">
        <v>117.51</v>
      </c>
      <c r="N1258" s="126"/>
      <c r="O1258" s="126"/>
      <c r="R1258" s="121"/>
    </row>
    <row r="1259" spans="1:18">
      <c r="A1259" s="332" t="s">
        <v>318</v>
      </c>
      <c r="B1259" s="333" t="s">
        <v>801</v>
      </c>
      <c r="C1259" s="423" t="s">
        <v>330</v>
      </c>
      <c r="D1259" s="332" t="s">
        <v>802</v>
      </c>
      <c r="E1259" s="333">
        <v>201608</v>
      </c>
      <c r="F1259" s="334">
        <v>218.99</v>
      </c>
      <c r="G1259" s="332">
        <v>8.5</v>
      </c>
      <c r="H1259" s="381">
        <v>1.3083000000000001E-3</v>
      </c>
      <c r="I1259" s="334">
        <v>2.44</v>
      </c>
      <c r="J1259" s="393">
        <v>3.44</v>
      </c>
      <c r="N1259" s="126"/>
      <c r="O1259" s="126"/>
      <c r="R1259" s="121"/>
    </row>
    <row r="1260" spans="1:18" ht="15">
      <c r="A1260" s="332" t="s">
        <v>318</v>
      </c>
      <c r="B1260" s="333" t="s">
        <v>803</v>
      </c>
      <c r="C1260" s="424" t="s">
        <v>330</v>
      </c>
      <c r="D1260" s="332" t="s">
        <v>804</v>
      </c>
      <c r="E1260" s="333">
        <v>201608</v>
      </c>
      <c r="F1260" s="334">
        <v>6571.38</v>
      </c>
      <c r="G1260" s="332">
        <v>8.5</v>
      </c>
      <c r="H1260" s="381">
        <v>1.3083000000000001E-3</v>
      </c>
      <c r="I1260" s="334">
        <v>73.08</v>
      </c>
      <c r="J1260" s="393">
        <v>103.17</v>
      </c>
      <c r="N1260" s="126"/>
      <c r="O1260" s="126"/>
      <c r="R1260" s="121"/>
    </row>
    <row r="1261" spans="1:18" ht="15">
      <c r="A1261" s="332" t="s">
        <v>318</v>
      </c>
      <c r="B1261" s="333" t="s">
        <v>803</v>
      </c>
      <c r="C1261" s="424" t="s">
        <v>330</v>
      </c>
      <c r="D1261" s="332" t="s">
        <v>804</v>
      </c>
      <c r="E1261" s="333">
        <v>201608</v>
      </c>
      <c r="F1261" s="334">
        <v>485.03</v>
      </c>
      <c r="G1261" s="332">
        <v>8.5</v>
      </c>
      <c r="H1261" s="381">
        <v>1.3083000000000001E-3</v>
      </c>
      <c r="I1261" s="334">
        <v>5.39</v>
      </c>
      <c r="J1261" s="393">
        <v>7.61</v>
      </c>
      <c r="N1261" s="126"/>
      <c r="O1261" s="126"/>
      <c r="R1261" s="121"/>
    </row>
    <row r="1262" spans="1:18" ht="15">
      <c r="A1262" s="332" t="s">
        <v>318</v>
      </c>
      <c r="B1262" s="333" t="s">
        <v>805</v>
      </c>
      <c r="C1262" s="424" t="s">
        <v>330</v>
      </c>
      <c r="D1262" s="332" t="s">
        <v>806</v>
      </c>
      <c r="E1262" s="333">
        <v>201608</v>
      </c>
      <c r="F1262" s="334">
        <v>12410.03</v>
      </c>
      <c r="G1262" s="332">
        <v>8.5</v>
      </c>
      <c r="H1262" s="381">
        <v>1.3083000000000001E-3</v>
      </c>
      <c r="I1262" s="334">
        <v>138.01</v>
      </c>
      <c r="J1262" s="393">
        <v>194.83</v>
      </c>
      <c r="N1262" s="126"/>
      <c r="O1262" s="126"/>
      <c r="R1262" s="121"/>
    </row>
    <row r="1263" spans="1:18" ht="15">
      <c r="A1263" s="332" t="s">
        <v>318</v>
      </c>
      <c r="B1263" s="333" t="s">
        <v>805</v>
      </c>
      <c r="C1263" s="424" t="s">
        <v>330</v>
      </c>
      <c r="D1263" s="332" t="s">
        <v>806</v>
      </c>
      <c r="E1263" s="333">
        <v>201608</v>
      </c>
      <c r="F1263" s="334">
        <v>472.85</v>
      </c>
      <c r="G1263" s="332">
        <v>8.5</v>
      </c>
      <c r="H1263" s="381">
        <v>1.3083000000000001E-3</v>
      </c>
      <c r="I1263" s="334">
        <v>5.26</v>
      </c>
      <c r="J1263" s="393">
        <v>7.42</v>
      </c>
      <c r="N1263" s="126"/>
      <c r="O1263" s="126"/>
      <c r="R1263" s="121"/>
    </row>
    <row r="1264" spans="1:18" ht="15">
      <c r="A1264" s="332" t="s">
        <v>318</v>
      </c>
      <c r="B1264" s="333" t="s">
        <v>633</v>
      </c>
      <c r="C1264" s="424" t="s">
        <v>329</v>
      </c>
      <c r="D1264" s="332" t="s">
        <v>807</v>
      </c>
      <c r="E1264" s="333">
        <v>201608</v>
      </c>
      <c r="F1264" s="334">
        <v>3205.92</v>
      </c>
      <c r="G1264" s="332">
        <v>8.5</v>
      </c>
      <c r="H1264" s="381">
        <v>1.3083000000000001E-3</v>
      </c>
      <c r="I1264" s="334">
        <v>35.65</v>
      </c>
      <c r="J1264" s="393">
        <v>50.33</v>
      </c>
      <c r="N1264" s="126"/>
      <c r="O1264" s="126"/>
      <c r="R1264" s="121"/>
    </row>
    <row r="1265" spans="1:18" ht="15">
      <c r="A1265" s="332" t="s">
        <v>318</v>
      </c>
      <c r="B1265" s="333" t="s">
        <v>633</v>
      </c>
      <c r="C1265" s="424" t="s">
        <v>329</v>
      </c>
      <c r="D1265" s="332" t="s">
        <v>807</v>
      </c>
      <c r="E1265" s="333">
        <v>201608</v>
      </c>
      <c r="F1265" s="334">
        <v>594.25</v>
      </c>
      <c r="G1265" s="332">
        <v>8.5</v>
      </c>
      <c r="H1265" s="381">
        <v>1.3083000000000001E-3</v>
      </c>
      <c r="I1265" s="334">
        <v>6.61</v>
      </c>
      <c r="J1265" s="393">
        <v>9.33</v>
      </c>
      <c r="N1265" s="126"/>
      <c r="O1265" s="126"/>
      <c r="R1265" s="121"/>
    </row>
    <row r="1266" spans="1:18" ht="15">
      <c r="A1266" s="332" t="s">
        <v>318</v>
      </c>
      <c r="B1266" s="333" t="s">
        <v>858</v>
      </c>
      <c r="C1266" s="424" t="s">
        <v>329</v>
      </c>
      <c r="D1266" s="332" t="s">
        <v>859</v>
      </c>
      <c r="E1266" s="333">
        <v>201608</v>
      </c>
      <c r="F1266" s="334">
        <v>17669.189999999999</v>
      </c>
      <c r="G1266" s="332">
        <v>8.5</v>
      </c>
      <c r="H1266" s="381">
        <v>1.3083000000000001E-3</v>
      </c>
      <c r="I1266" s="334">
        <v>196.49</v>
      </c>
      <c r="J1266" s="393">
        <v>277.39999999999998</v>
      </c>
      <c r="N1266" s="126"/>
      <c r="O1266" s="126"/>
      <c r="R1266" s="121"/>
    </row>
    <row r="1267" spans="1:18" ht="15">
      <c r="A1267" s="332" t="s">
        <v>318</v>
      </c>
      <c r="B1267" s="333" t="s">
        <v>858</v>
      </c>
      <c r="C1267" s="424" t="s">
        <v>329</v>
      </c>
      <c r="D1267" s="332" t="s">
        <v>859</v>
      </c>
      <c r="E1267" s="333">
        <v>201608</v>
      </c>
      <c r="F1267" s="334">
        <v>1184.5899999999999</v>
      </c>
      <c r="G1267" s="332">
        <v>8.5</v>
      </c>
      <c r="H1267" s="381">
        <v>1.3083000000000001E-3</v>
      </c>
      <c r="I1267" s="334">
        <v>13.17</v>
      </c>
      <c r="J1267" s="393">
        <v>18.600000000000001</v>
      </c>
      <c r="N1267" s="126"/>
      <c r="O1267" s="126"/>
      <c r="R1267" s="121"/>
    </row>
    <row r="1268" spans="1:18">
      <c r="A1268" s="332" t="s">
        <v>318</v>
      </c>
      <c r="B1268" s="333" t="s">
        <v>808</v>
      </c>
      <c r="C1268" s="423" t="s">
        <v>329</v>
      </c>
      <c r="D1268" s="332" t="s">
        <v>809</v>
      </c>
      <c r="E1268" s="333">
        <v>201608</v>
      </c>
      <c r="F1268" s="334">
        <v>17131.310000000001</v>
      </c>
      <c r="G1268" s="332">
        <v>8.5</v>
      </c>
      <c r="H1268" s="381">
        <v>1.3083000000000001E-3</v>
      </c>
      <c r="I1268" s="334">
        <v>190.51</v>
      </c>
      <c r="J1268" s="393">
        <v>268.95</v>
      </c>
      <c r="N1268" s="126"/>
      <c r="O1268" s="126"/>
      <c r="R1268" s="121"/>
    </row>
    <row r="1269" spans="1:18">
      <c r="A1269" s="332" t="s">
        <v>318</v>
      </c>
      <c r="B1269" s="333" t="s">
        <v>808</v>
      </c>
      <c r="C1269" s="423" t="s">
        <v>329</v>
      </c>
      <c r="D1269" s="332" t="s">
        <v>809</v>
      </c>
      <c r="E1269" s="333">
        <v>201608</v>
      </c>
      <c r="F1269" s="334">
        <v>3312.89</v>
      </c>
      <c r="G1269" s="332">
        <v>8.5</v>
      </c>
      <c r="H1269" s="381">
        <v>1.3083000000000001E-3</v>
      </c>
      <c r="I1269" s="334">
        <v>36.840000000000003</v>
      </c>
      <c r="J1269" s="393">
        <v>52.01</v>
      </c>
      <c r="N1269" s="126"/>
      <c r="O1269" s="126"/>
      <c r="R1269" s="121"/>
    </row>
    <row r="1270" spans="1:18" ht="15">
      <c r="A1270" s="332" t="s">
        <v>322</v>
      </c>
      <c r="B1270" s="333" t="s">
        <v>667</v>
      </c>
      <c r="C1270" s="424" t="s">
        <v>329</v>
      </c>
      <c r="D1270" s="332" t="s">
        <v>668</v>
      </c>
      <c r="E1270" s="333">
        <v>201608</v>
      </c>
      <c r="F1270" s="334">
        <v>77.739999999999995</v>
      </c>
      <c r="G1270" s="332">
        <v>8.5</v>
      </c>
      <c r="H1270" s="381">
        <v>1.1999999999999999E-3</v>
      </c>
      <c r="I1270" s="334">
        <v>0.79</v>
      </c>
      <c r="J1270" s="393">
        <v>1.1200000000000001</v>
      </c>
      <c r="N1270" s="126"/>
      <c r="O1270" s="126"/>
      <c r="R1270" s="121"/>
    </row>
    <row r="1271" spans="1:18" ht="15">
      <c r="A1271" s="332" t="s">
        <v>318</v>
      </c>
      <c r="B1271" s="333" t="s">
        <v>667</v>
      </c>
      <c r="C1271" s="424" t="s">
        <v>329</v>
      </c>
      <c r="D1271" s="332" t="s">
        <v>668</v>
      </c>
      <c r="E1271" s="333">
        <v>201608</v>
      </c>
      <c r="F1271" s="334">
        <v>1259.98</v>
      </c>
      <c r="G1271" s="332">
        <v>8.5</v>
      </c>
      <c r="H1271" s="381">
        <v>1.3083000000000001E-3</v>
      </c>
      <c r="I1271" s="334">
        <v>14.01</v>
      </c>
      <c r="J1271" s="393">
        <v>19.78</v>
      </c>
      <c r="N1271" s="126"/>
      <c r="O1271" s="126"/>
      <c r="R1271" s="121"/>
    </row>
    <row r="1272" spans="1:18" ht="15">
      <c r="A1272" s="332" t="s">
        <v>318</v>
      </c>
      <c r="B1272" s="333" t="s">
        <v>667</v>
      </c>
      <c r="C1272" s="424" t="s">
        <v>329</v>
      </c>
      <c r="D1272" s="332" t="s">
        <v>668</v>
      </c>
      <c r="E1272" s="333">
        <v>201608</v>
      </c>
      <c r="F1272" s="334">
        <v>206.9</v>
      </c>
      <c r="G1272" s="332">
        <v>8.5</v>
      </c>
      <c r="H1272" s="381">
        <v>1.3083000000000001E-3</v>
      </c>
      <c r="I1272" s="334">
        <v>2.2999999999999998</v>
      </c>
      <c r="J1272" s="393">
        <v>3.25</v>
      </c>
      <c r="N1272" s="126"/>
      <c r="O1272" s="126"/>
      <c r="R1272" s="121"/>
    </row>
    <row r="1273" spans="1:18" ht="15">
      <c r="A1273" s="332" t="s">
        <v>318</v>
      </c>
      <c r="B1273" s="333" t="s">
        <v>598</v>
      </c>
      <c r="C1273" s="424" t="s">
        <v>330</v>
      </c>
      <c r="D1273" s="332" t="s">
        <v>599</v>
      </c>
      <c r="E1273" s="333">
        <v>201608</v>
      </c>
      <c r="F1273" s="334">
        <v>-0.24</v>
      </c>
      <c r="G1273" s="332">
        <v>8.5</v>
      </c>
      <c r="H1273" s="381">
        <v>1.3083000000000001E-3</v>
      </c>
      <c r="I1273" s="334">
        <v>0</v>
      </c>
      <c r="J1273" s="393">
        <v>0</v>
      </c>
      <c r="N1273" s="126"/>
      <c r="O1273" s="126"/>
      <c r="R1273" s="121"/>
    </row>
    <row r="1274" spans="1:18" ht="15">
      <c r="A1274" s="332" t="s">
        <v>318</v>
      </c>
      <c r="B1274" s="333" t="s">
        <v>598</v>
      </c>
      <c r="C1274" s="424" t="s">
        <v>330</v>
      </c>
      <c r="D1274" s="332" t="s">
        <v>599</v>
      </c>
      <c r="E1274" s="333">
        <v>201608</v>
      </c>
      <c r="F1274" s="334">
        <v>-0.02</v>
      </c>
      <c r="G1274" s="332">
        <v>8.5</v>
      </c>
      <c r="H1274" s="381">
        <v>1.3083000000000001E-3</v>
      </c>
      <c r="I1274" s="334">
        <v>0</v>
      </c>
      <c r="J1274" s="393">
        <v>0</v>
      </c>
      <c r="N1274" s="126"/>
      <c r="O1274" s="126"/>
      <c r="R1274" s="121"/>
    </row>
    <row r="1275" spans="1:18" ht="15">
      <c r="A1275" s="332" t="s">
        <v>318</v>
      </c>
      <c r="B1275" s="333" t="s">
        <v>600</v>
      </c>
      <c r="C1275" s="424" t="s">
        <v>330</v>
      </c>
      <c r="D1275" s="332" t="s">
        <v>601</v>
      </c>
      <c r="E1275" s="333">
        <v>201608</v>
      </c>
      <c r="F1275" s="334">
        <v>1.0900000000000001</v>
      </c>
      <c r="G1275" s="332">
        <v>8.5</v>
      </c>
      <c r="H1275" s="381">
        <v>1.3083000000000001E-3</v>
      </c>
      <c r="I1275" s="334">
        <v>0.01</v>
      </c>
      <c r="J1275" s="393">
        <v>0.02</v>
      </c>
      <c r="N1275" s="126"/>
      <c r="O1275" s="126"/>
      <c r="R1275" s="121"/>
    </row>
    <row r="1276" spans="1:18">
      <c r="A1276" s="332" t="s">
        <v>318</v>
      </c>
      <c r="B1276" s="333" t="s">
        <v>600</v>
      </c>
      <c r="C1276" s="423" t="s">
        <v>330</v>
      </c>
      <c r="D1276" s="332" t="s">
        <v>601</v>
      </c>
      <c r="E1276" s="333">
        <v>201608</v>
      </c>
      <c r="F1276" s="334">
        <v>0.01</v>
      </c>
      <c r="G1276" s="332">
        <v>8.5</v>
      </c>
      <c r="H1276" s="381">
        <v>1.3083000000000001E-3</v>
      </c>
      <c r="I1276" s="334">
        <v>0</v>
      </c>
      <c r="J1276" s="393">
        <v>0</v>
      </c>
      <c r="N1276" s="126"/>
      <c r="O1276" s="126"/>
      <c r="R1276" s="121"/>
    </row>
    <row r="1277" spans="1:18">
      <c r="A1277" s="332" t="s">
        <v>318</v>
      </c>
      <c r="B1277" s="333" t="s">
        <v>554</v>
      </c>
      <c r="C1277" s="423" t="s">
        <v>330</v>
      </c>
      <c r="D1277" s="332" t="s">
        <v>555</v>
      </c>
      <c r="E1277" s="333">
        <v>201608</v>
      </c>
      <c r="F1277" s="334">
        <v>0.95</v>
      </c>
      <c r="G1277" s="332">
        <v>8.5</v>
      </c>
      <c r="H1277" s="381">
        <v>1.3083000000000001E-3</v>
      </c>
      <c r="I1277" s="334">
        <v>0.01</v>
      </c>
      <c r="J1277" s="393">
        <v>0.01</v>
      </c>
      <c r="N1277" s="126"/>
      <c r="O1277" s="126"/>
      <c r="R1277" s="121"/>
    </row>
    <row r="1278" spans="1:18">
      <c r="A1278" s="332" t="s">
        <v>318</v>
      </c>
      <c r="B1278" s="333" t="s">
        <v>554</v>
      </c>
      <c r="C1278" s="423" t="s">
        <v>330</v>
      </c>
      <c r="D1278" s="332" t="s">
        <v>555</v>
      </c>
      <c r="E1278" s="333">
        <v>201608</v>
      </c>
      <c r="F1278" s="334">
        <v>0.06</v>
      </c>
      <c r="G1278" s="332">
        <v>8.5</v>
      </c>
      <c r="H1278" s="381">
        <v>1.3083000000000001E-3</v>
      </c>
      <c r="I1278" s="334">
        <v>0</v>
      </c>
      <c r="J1278" s="393">
        <v>0</v>
      </c>
      <c r="N1278" s="126"/>
      <c r="O1278" s="126"/>
      <c r="R1278" s="121"/>
    </row>
    <row r="1279" spans="1:18">
      <c r="A1279" s="332" t="s">
        <v>318</v>
      </c>
      <c r="B1279" s="333" t="s">
        <v>556</v>
      </c>
      <c r="C1279" s="423" t="s">
        <v>330</v>
      </c>
      <c r="D1279" s="332" t="s">
        <v>557</v>
      </c>
      <c r="E1279" s="333">
        <v>201608</v>
      </c>
      <c r="F1279" s="334">
        <v>3.23</v>
      </c>
      <c r="G1279" s="332">
        <v>8.5</v>
      </c>
      <c r="H1279" s="381">
        <v>1.3083000000000001E-3</v>
      </c>
      <c r="I1279" s="334">
        <v>0.04</v>
      </c>
      <c r="J1279" s="393">
        <v>0.05</v>
      </c>
      <c r="N1279" s="126"/>
      <c r="O1279" s="126"/>
      <c r="R1279" s="121"/>
    </row>
    <row r="1280" spans="1:18" ht="15">
      <c r="A1280" s="332" t="s">
        <v>318</v>
      </c>
      <c r="B1280" s="333" t="s">
        <v>556</v>
      </c>
      <c r="C1280" s="424" t="s">
        <v>330</v>
      </c>
      <c r="D1280" s="332" t="s">
        <v>557</v>
      </c>
      <c r="E1280" s="333">
        <v>201608</v>
      </c>
      <c r="F1280" s="334">
        <v>0.1</v>
      </c>
      <c r="G1280" s="332">
        <v>8.5</v>
      </c>
      <c r="H1280" s="381">
        <v>1.3083000000000001E-3</v>
      </c>
      <c r="I1280" s="334">
        <v>0</v>
      </c>
      <c r="J1280" s="393">
        <v>0</v>
      </c>
      <c r="N1280" s="126"/>
      <c r="O1280" s="126"/>
      <c r="R1280" s="121"/>
    </row>
    <row r="1281" spans="1:18" ht="15">
      <c r="A1281" s="332" t="s">
        <v>318</v>
      </c>
      <c r="B1281" s="333" t="s">
        <v>558</v>
      </c>
      <c r="C1281" s="424" t="s">
        <v>330</v>
      </c>
      <c r="D1281" s="332" t="s">
        <v>559</v>
      </c>
      <c r="E1281" s="333">
        <v>201608</v>
      </c>
      <c r="F1281" s="334">
        <v>-2.25</v>
      </c>
      <c r="G1281" s="332">
        <v>8.5</v>
      </c>
      <c r="H1281" s="381">
        <v>1.3083000000000001E-3</v>
      </c>
      <c r="I1281" s="334">
        <v>-0.03</v>
      </c>
      <c r="J1281" s="393">
        <v>-0.04</v>
      </c>
      <c r="N1281" s="126"/>
      <c r="O1281" s="126"/>
      <c r="R1281" s="121"/>
    </row>
    <row r="1282" spans="1:18" ht="15">
      <c r="A1282" s="332" t="s">
        <v>318</v>
      </c>
      <c r="B1282" s="333" t="s">
        <v>558</v>
      </c>
      <c r="C1282" s="424" t="s">
        <v>330</v>
      </c>
      <c r="D1282" s="332" t="s">
        <v>559</v>
      </c>
      <c r="E1282" s="333">
        <v>201608</v>
      </c>
      <c r="F1282" s="334">
        <v>-0.34</v>
      </c>
      <c r="G1282" s="332">
        <v>8.5</v>
      </c>
      <c r="H1282" s="381">
        <v>1.3083000000000001E-3</v>
      </c>
      <c r="I1282" s="334">
        <v>0</v>
      </c>
      <c r="J1282" s="393">
        <v>-0.01</v>
      </c>
      <c r="N1282" s="126"/>
      <c r="O1282" s="126"/>
      <c r="R1282" s="121"/>
    </row>
    <row r="1283" spans="1:18" ht="15">
      <c r="A1283" s="332" t="s">
        <v>318</v>
      </c>
      <c r="B1283" s="333" t="s">
        <v>560</v>
      </c>
      <c r="C1283" s="424" t="s">
        <v>330</v>
      </c>
      <c r="D1283" s="332" t="s">
        <v>561</v>
      </c>
      <c r="E1283" s="333">
        <v>201608</v>
      </c>
      <c r="F1283" s="334">
        <v>-3.6</v>
      </c>
      <c r="G1283" s="332">
        <v>8.5</v>
      </c>
      <c r="H1283" s="381">
        <v>1.3083000000000001E-3</v>
      </c>
      <c r="I1283" s="334">
        <v>-0.04</v>
      </c>
      <c r="J1283" s="393">
        <v>-0.06</v>
      </c>
      <c r="N1283" s="126"/>
      <c r="O1283" s="126"/>
      <c r="R1283" s="121"/>
    </row>
    <row r="1284" spans="1:18" ht="15">
      <c r="A1284" s="332" t="s">
        <v>318</v>
      </c>
      <c r="B1284" s="333" t="s">
        <v>560</v>
      </c>
      <c r="C1284" s="424" t="s">
        <v>330</v>
      </c>
      <c r="D1284" s="332" t="s">
        <v>561</v>
      </c>
      <c r="E1284" s="333">
        <v>201608</v>
      </c>
      <c r="F1284" s="334">
        <v>-0.3</v>
      </c>
      <c r="G1284" s="332">
        <v>8.5</v>
      </c>
      <c r="H1284" s="381">
        <v>1.3083000000000001E-3</v>
      </c>
      <c r="I1284" s="334">
        <v>0</v>
      </c>
      <c r="J1284" s="393">
        <v>0</v>
      </c>
      <c r="N1284" s="126"/>
      <c r="O1284" s="126"/>
      <c r="R1284" s="121"/>
    </row>
    <row r="1285" spans="1:18" ht="15">
      <c r="A1285" s="332" t="s">
        <v>318</v>
      </c>
      <c r="B1285" s="333" t="s">
        <v>562</v>
      </c>
      <c r="C1285" s="424" t="s">
        <v>330</v>
      </c>
      <c r="D1285" s="332" t="s">
        <v>563</v>
      </c>
      <c r="E1285" s="333">
        <v>201608</v>
      </c>
      <c r="F1285" s="334">
        <v>49.92</v>
      </c>
      <c r="G1285" s="332">
        <v>8.5</v>
      </c>
      <c r="H1285" s="381">
        <v>1.3083000000000001E-3</v>
      </c>
      <c r="I1285" s="334">
        <v>0.56000000000000005</v>
      </c>
      <c r="J1285" s="393">
        <v>0.78</v>
      </c>
      <c r="N1285" s="126"/>
      <c r="O1285" s="126"/>
      <c r="R1285" s="121"/>
    </row>
    <row r="1286" spans="1:18" ht="15">
      <c r="A1286" s="332" t="s">
        <v>318</v>
      </c>
      <c r="B1286" s="333" t="s">
        <v>562</v>
      </c>
      <c r="C1286" s="424" t="s">
        <v>330</v>
      </c>
      <c r="D1286" s="332" t="s">
        <v>563</v>
      </c>
      <c r="E1286" s="333">
        <v>201608</v>
      </c>
      <c r="F1286" s="334">
        <v>3.09</v>
      </c>
      <c r="G1286" s="332">
        <v>8.5</v>
      </c>
      <c r="H1286" s="381">
        <v>1.3083000000000001E-3</v>
      </c>
      <c r="I1286" s="334">
        <v>0.03</v>
      </c>
      <c r="J1286" s="393">
        <v>0.05</v>
      </c>
      <c r="N1286" s="126"/>
      <c r="O1286" s="126"/>
      <c r="R1286" s="121"/>
    </row>
    <row r="1287" spans="1:18" ht="15">
      <c r="A1287" s="332" t="s">
        <v>318</v>
      </c>
      <c r="B1287" s="333" t="s">
        <v>602</v>
      </c>
      <c r="C1287" s="424" t="s">
        <v>330</v>
      </c>
      <c r="D1287" s="332" t="s">
        <v>603</v>
      </c>
      <c r="E1287" s="333">
        <v>201608</v>
      </c>
      <c r="F1287" s="334">
        <v>1.74</v>
      </c>
      <c r="G1287" s="332">
        <v>8.5</v>
      </c>
      <c r="H1287" s="381">
        <v>1.3083000000000001E-3</v>
      </c>
      <c r="I1287" s="334">
        <v>0.02</v>
      </c>
      <c r="J1287" s="393">
        <v>0.03</v>
      </c>
      <c r="N1287" s="126"/>
      <c r="O1287" s="126"/>
      <c r="R1287" s="121"/>
    </row>
    <row r="1288" spans="1:18">
      <c r="A1288" s="332" t="s">
        <v>318</v>
      </c>
      <c r="B1288" s="333" t="s">
        <v>602</v>
      </c>
      <c r="C1288" s="423" t="s">
        <v>330</v>
      </c>
      <c r="D1288" s="332" t="s">
        <v>603</v>
      </c>
      <c r="E1288" s="333">
        <v>201608</v>
      </c>
      <c r="F1288" s="334">
        <v>0.1</v>
      </c>
      <c r="G1288" s="332">
        <v>8.5</v>
      </c>
      <c r="H1288" s="381">
        <v>1.3083000000000001E-3</v>
      </c>
      <c r="I1288" s="334">
        <v>0</v>
      </c>
      <c r="J1288" s="393">
        <v>0</v>
      </c>
      <c r="N1288" s="126"/>
      <c r="O1288" s="126"/>
      <c r="R1288" s="121"/>
    </row>
    <row r="1289" spans="1:18">
      <c r="A1289" s="332" t="s">
        <v>318</v>
      </c>
      <c r="B1289" s="333" t="s">
        <v>810</v>
      </c>
      <c r="C1289" s="423" t="s">
        <v>330</v>
      </c>
      <c r="D1289" s="332" t="s">
        <v>811</v>
      </c>
      <c r="E1289" s="333">
        <v>201608</v>
      </c>
      <c r="F1289" s="334">
        <v>6101.59</v>
      </c>
      <c r="G1289" s="332">
        <v>8.5</v>
      </c>
      <c r="H1289" s="381">
        <v>1.3083000000000001E-3</v>
      </c>
      <c r="I1289" s="334">
        <v>67.849999999999994</v>
      </c>
      <c r="J1289" s="393">
        <v>95.79</v>
      </c>
      <c r="N1289" s="126"/>
      <c r="O1289" s="126"/>
      <c r="R1289" s="121"/>
    </row>
    <row r="1290" spans="1:18">
      <c r="A1290" s="332" t="s">
        <v>318</v>
      </c>
      <c r="B1290" s="333" t="s">
        <v>810</v>
      </c>
      <c r="C1290" s="423" t="s">
        <v>330</v>
      </c>
      <c r="D1290" s="332" t="s">
        <v>811</v>
      </c>
      <c r="E1290" s="333">
        <v>201608</v>
      </c>
      <c r="F1290" s="334">
        <v>400.71</v>
      </c>
      <c r="G1290" s="332">
        <v>8.5</v>
      </c>
      <c r="H1290" s="381">
        <v>1.3083000000000001E-3</v>
      </c>
      <c r="I1290" s="334">
        <v>4.46</v>
      </c>
      <c r="J1290" s="393">
        <v>6.29</v>
      </c>
      <c r="N1290" s="126"/>
      <c r="O1290" s="126"/>
      <c r="R1290" s="121"/>
    </row>
    <row r="1291" spans="1:18" ht="15">
      <c r="A1291" s="332" t="s">
        <v>318</v>
      </c>
      <c r="B1291" s="333" t="s">
        <v>635</v>
      </c>
      <c r="C1291" s="424" t="s">
        <v>329</v>
      </c>
      <c r="D1291" s="332" t="s">
        <v>636</v>
      </c>
      <c r="E1291" s="333">
        <v>201608</v>
      </c>
      <c r="F1291" s="334">
        <v>7.81</v>
      </c>
      <c r="G1291" s="332">
        <v>8.5</v>
      </c>
      <c r="H1291" s="381">
        <v>1.3083000000000001E-3</v>
      </c>
      <c r="I1291" s="334">
        <v>0.09</v>
      </c>
      <c r="J1291" s="393">
        <v>0.12</v>
      </c>
      <c r="N1291" s="126"/>
      <c r="O1291" s="126"/>
      <c r="R1291" s="121"/>
    </row>
    <row r="1292" spans="1:18" ht="15">
      <c r="A1292" s="332" t="s">
        <v>318</v>
      </c>
      <c r="B1292" s="333" t="s">
        <v>635</v>
      </c>
      <c r="C1292" s="424" t="s">
        <v>329</v>
      </c>
      <c r="D1292" s="332" t="s">
        <v>636</v>
      </c>
      <c r="E1292" s="333">
        <v>201608</v>
      </c>
      <c r="F1292" s="334">
        <v>0.25</v>
      </c>
      <c r="G1292" s="332">
        <v>8.5</v>
      </c>
      <c r="H1292" s="381">
        <v>1.3083000000000001E-3</v>
      </c>
      <c r="I1292" s="334">
        <v>0</v>
      </c>
      <c r="J1292" s="393">
        <v>0</v>
      </c>
      <c r="N1292" s="126"/>
      <c r="O1292" s="126"/>
      <c r="R1292" s="121"/>
    </row>
    <row r="1293" spans="1:18" ht="15">
      <c r="A1293" s="332" t="s">
        <v>318</v>
      </c>
      <c r="B1293" s="333" t="s">
        <v>812</v>
      </c>
      <c r="C1293" s="424" t="s">
        <v>330</v>
      </c>
      <c r="D1293" s="332" t="s">
        <v>813</v>
      </c>
      <c r="E1293" s="333">
        <v>201608</v>
      </c>
      <c r="F1293" s="334">
        <v>10852.4</v>
      </c>
      <c r="G1293" s="332">
        <v>8.5</v>
      </c>
      <c r="H1293" s="381">
        <v>1.3083000000000001E-3</v>
      </c>
      <c r="I1293" s="334">
        <v>120.68</v>
      </c>
      <c r="J1293" s="393">
        <v>170.38</v>
      </c>
      <c r="N1293" s="126"/>
      <c r="O1293" s="126"/>
      <c r="R1293" s="121"/>
    </row>
    <row r="1294" spans="1:18" ht="15">
      <c r="A1294" s="332" t="s">
        <v>318</v>
      </c>
      <c r="B1294" s="333" t="s">
        <v>812</v>
      </c>
      <c r="C1294" s="424" t="s">
        <v>330</v>
      </c>
      <c r="D1294" s="332" t="s">
        <v>813</v>
      </c>
      <c r="E1294" s="333">
        <v>201608</v>
      </c>
      <c r="F1294" s="334">
        <v>603.67999999999995</v>
      </c>
      <c r="G1294" s="332">
        <v>8.5</v>
      </c>
      <c r="H1294" s="381">
        <v>1.3083000000000001E-3</v>
      </c>
      <c r="I1294" s="334">
        <v>6.71</v>
      </c>
      <c r="J1294" s="393">
        <v>9.48</v>
      </c>
      <c r="N1294" s="126"/>
      <c r="O1294" s="126"/>
      <c r="R1294" s="121"/>
    </row>
    <row r="1295" spans="1:18" ht="15">
      <c r="A1295" s="332" t="s">
        <v>318</v>
      </c>
      <c r="B1295" s="333" t="s">
        <v>788</v>
      </c>
      <c r="C1295" s="424" t="s">
        <v>330</v>
      </c>
      <c r="D1295" s="332" t="s">
        <v>789</v>
      </c>
      <c r="E1295" s="333">
        <v>201608</v>
      </c>
      <c r="F1295" s="334">
        <v>3145.39</v>
      </c>
      <c r="G1295" s="332">
        <v>8.5</v>
      </c>
      <c r="H1295" s="381">
        <v>1.3083000000000001E-3</v>
      </c>
      <c r="I1295" s="334">
        <v>34.979999999999997</v>
      </c>
      <c r="J1295" s="393">
        <v>49.38</v>
      </c>
      <c r="N1295" s="126"/>
      <c r="O1295" s="126"/>
      <c r="R1295" s="121"/>
    </row>
    <row r="1296" spans="1:18" ht="15">
      <c r="A1296" s="332" t="s">
        <v>318</v>
      </c>
      <c r="B1296" s="333" t="s">
        <v>788</v>
      </c>
      <c r="C1296" s="424" t="s">
        <v>330</v>
      </c>
      <c r="D1296" s="332" t="s">
        <v>789</v>
      </c>
      <c r="E1296" s="333">
        <v>201608</v>
      </c>
      <c r="F1296" s="334">
        <v>14.81</v>
      </c>
      <c r="G1296" s="332">
        <v>8.5</v>
      </c>
      <c r="H1296" s="381">
        <v>1.3083000000000001E-3</v>
      </c>
      <c r="I1296" s="334">
        <v>0.16</v>
      </c>
      <c r="J1296" s="393">
        <v>0.23</v>
      </c>
      <c r="N1296" s="126"/>
      <c r="O1296" s="126"/>
      <c r="R1296" s="121"/>
    </row>
    <row r="1297" spans="1:18" ht="15">
      <c r="A1297" s="332" t="s">
        <v>318</v>
      </c>
      <c r="B1297" s="333" t="s">
        <v>564</v>
      </c>
      <c r="C1297" s="424" t="s">
        <v>330</v>
      </c>
      <c r="D1297" s="332" t="s">
        <v>669</v>
      </c>
      <c r="E1297" s="333">
        <v>201608</v>
      </c>
      <c r="F1297" s="334">
        <v>-1.94</v>
      </c>
      <c r="G1297" s="332">
        <v>8.5</v>
      </c>
      <c r="H1297" s="381">
        <v>1.3083000000000001E-3</v>
      </c>
      <c r="I1297" s="334">
        <v>-0.02</v>
      </c>
      <c r="J1297" s="393">
        <v>-0.03</v>
      </c>
      <c r="N1297" s="126"/>
      <c r="O1297" s="126"/>
      <c r="R1297" s="121"/>
    </row>
    <row r="1298" spans="1:18" ht="15">
      <c r="A1298" s="332" t="s">
        <v>318</v>
      </c>
      <c r="B1298" s="333" t="s">
        <v>564</v>
      </c>
      <c r="C1298" s="424" t="s">
        <v>330</v>
      </c>
      <c r="D1298" s="332" t="s">
        <v>669</v>
      </c>
      <c r="E1298" s="333">
        <v>201608</v>
      </c>
      <c r="F1298" s="334">
        <v>-0.18</v>
      </c>
      <c r="G1298" s="332">
        <v>8.5</v>
      </c>
      <c r="H1298" s="381">
        <v>1.3083000000000001E-3</v>
      </c>
      <c r="I1298" s="334">
        <v>0</v>
      </c>
      <c r="J1298" s="393">
        <v>0</v>
      </c>
      <c r="N1298" s="126"/>
      <c r="O1298" s="126"/>
      <c r="R1298" s="121"/>
    </row>
    <row r="1299" spans="1:18" ht="15">
      <c r="A1299" s="332" t="s">
        <v>318</v>
      </c>
      <c r="B1299" s="333" t="s">
        <v>829</v>
      </c>
      <c r="C1299" s="424" t="s">
        <v>330</v>
      </c>
      <c r="D1299" s="332" t="s">
        <v>831</v>
      </c>
      <c r="E1299" s="333">
        <v>201608</v>
      </c>
      <c r="F1299" s="334">
        <v>924.2</v>
      </c>
      <c r="G1299" s="332">
        <v>8.5</v>
      </c>
      <c r="H1299" s="381">
        <v>1.3083000000000001E-3</v>
      </c>
      <c r="I1299" s="334">
        <v>10.28</v>
      </c>
      <c r="J1299" s="393">
        <v>14.51</v>
      </c>
      <c r="N1299" s="126"/>
      <c r="O1299" s="126"/>
      <c r="R1299" s="121"/>
    </row>
    <row r="1300" spans="1:18" ht="15">
      <c r="A1300" s="332" t="s">
        <v>318</v>
      </c>
      <c r="B1300" s="333" t="s">
        <v>829</v>
      </c>
      <c r="C1300" s="424" t="s">
        <v>330</v>
      </c>
      <c r="D1300" s="332" t="s">
        <v>831</v>
      </c>
      <c r="E1300" s="333">
        <v>201608</v>
      </c>
      <c r="F1300" s="334">
        <v>68.98</v>
      </c>
      <c r="G1300" s="332">
        <v>8.5</v>
      </c>
      <c r="H1300" s="381">
        <v>1.3083000000000001E-3</v>
      </c>
      <c r="I1300" s="334">
        <v>0.77</v>
      </c>
      <c r="J1300" s="393">
        <v>1.08</v>
      </c>
      <c r="N1300" s="126"/>
      <c r="O1300" s="126"/>
      <c r="R1300" s="121"/>
    </row>
    <row r="1301" spans="1:18" ht="15">
      <c r="A1301" s="332" t="s">
        <v>318</v>
      </c>
      <c r="B1301" s="333" t="s">
        <v>832</v>
      </c>
      <c r="C1301" s="424" t="s">
        <v>330</v>
      </c>
      <c r="D1301" s="332" t="s">
        <v>833</v>
      </c>
      <c r="E1301" s="333">
        <v>201608</v>
      </c>
      <c r="F1301" s="334">
        <v>3397.34</v>
      </c>
      <c r="G1301" s="332">
        <v>8.5</v>
      </c>
      <c r="H1301" s="381">
        <v>1.3083000000000001E-3</v>
      </c>
      <c r="I1301" s="334">
        <v>37.78</v>
      </c>
      <c r="J1301" s="393">
        <v>53.34</v>
      </c>
      <c r="N1301" s="126"/>
      <c r="O1301" s="126"/>
      <c r="R1301" s="121"/>
    </row>
    <row r="1302" spans="1:18">
      <c r="A1302" s="332" t="s">
        <v>318</v>
      </c>
      <c r="B1302" s="333" t="s">
        <v>832</v>
      </c>
      <c r="C1302" s="423" t="s">
        <v>330</v>
      </c>
      <c r="D1302" s="332" t="s">
        <v>833</v>
      </c>
      <c r="E1302" s="333">
        <v>201608</v>
      </c>
      <c r="F1302" s="334">
        <v>71.040000000000006</v>
      </c>
      <c r="G1302" s="332">
        <v>8.5</v>
      </c>
      <c r="H1302" s="381">
        <v>1.3083000000000001E-3</v>
      </c>
      <c r="I1302" s="334">
        <v>0.79</v>
      </c>
      <c r="J1302" s="393">
        <v>1.1200000000000001</v>
      </c>
      <c r="N1302" s="126"/>
      <c r="O1302" s="126"/>
      <c r="R1302" s="121"/>
    </row>
    <row r="1303" spans="1:18">
      <c r="A1303" s="332" t="s">
        <v>318</v>
      </c>
      <c r="B1303" s="333" t="s">
        <v>670</v>
      </c>
      <c r="C1303" s="423" t="s">
        <v>330</v>
      </c>
      <c r="D1303" s="332" t="s">
        <v>671</v>
      </c>
      <c r="E1303" s="333">
        <v>201608</v>
      </c>
      <c r="F1303" s="334">
        <v>2181.71</v>
      </c>
      <c r="G1303" s="332">
        <v>8.5</v>
      </c>
      <c r="H1303" s="381">
        <v>1.3083000000000001E-3</v>
      </c>
      <c r="I1303" s="334">
        <v>24.26</v>
      </c>
      <c r="J1303" s="393">
        <v>34.25</v>
      </c>
      <c r="N1303" s="126"/>
      <c r="O1303" s="126"/>
      <c r="R1303" s="121"/>
    </row>
    <row r="1304" spans="1:18" ht="15">
      <c r="A1304" s="332" t="s">
        <v>318</v>
      </c>
      <c r="B1304" s="333" t="s">
        <v>670</v>
      </c>
      <c r="C1304" s="424" t="s">
        <v>330</v>
      </c>
      <c r="D1304" s="332" t="s">
        <v>671</v>
      </c>
      <c r="E1304" s="333">
        <v>201608</v>
      </c>
      <c r="F1304" s="334">
        <v>13.73</v>
      </c>
      <c r="G1304" s="332">
        <v>8.5</v>
      </c>
      <c r="H1304" s="381">
        <v>1.3083000000000001E-3</v>
      </c>
      <c r="I1304" s="334">
        <v>0.15</v>
      </c>
      <c r="J1304" s="393">
        <v>0.22</v>
      </c>
      <c r="N1304" s="126"/>
      <c r="O1304" s="126"/>
      <c r="R1304" s="121"/>
    </row>
    <row r="1305" spans="1:18" ht="15">
      <c r="A1305" s="332" t="s">
        <v>318</v>
      </c>
      <c r="B1305" s="333" t="s">
        <v>945</v>
      </c>
      <c r="C1305" s="424" t="s">
        <v>330</v>
      </c>
      <c r="D1305" s="332" t="s">
        <v>946</v>
      </c>
      <c r="E1305" s="333">
        <v>201608</v>
      </c>
      <c r="F1305" s="334">
        <v>426469.91</v>
      </c>
      <c r="G1305" s="332">
        <v>8.5</v>
      </c>
      <c r="H1305" s="381">
        <v>1.3083000000000001E-3</v>
      </c>
      <c r="I1305" s="334">
        <v>4742.58</v>
      </c>
      <c r="J1305" s="393">
        <v>6695.41</v>
      </c>
      <c r="N1305" s="126"/>
      <c r="O1305" s="126"/>
      <c r="R1305" s="121"/>
    </row>
    <row r="1306" spans="1:18" ht="15">
      <c r="A1306" s="332" t="s">
        <v>318</v>
      </c>
      <c r="B1306" s="333" t="s">
        <v>945</v>
      </c>
      <c r="C1306" s="424" t="s">
        <v>330</v>
      </c>
      <c r="D1306" s="332" t="s">
        <v>946</v>
      </c>
      <c r="E1306" s="333">
        <v>201608</v>
      </c>
      <c r="F1306" s="334">
        <v>9529.15</v>
      </c>
      <c r="G1306" s="332">
        <v>8.5</v>
      </c>
      <c r="H1306" s="381">
        <v>1.3083000000000001E-3</v>
      </c>
      <c r="I1306" s="334">
        <v>105.97</v>
      </c>
      <c r="J1306" s="393">
        <v>149.6</v>
      </c>
      <c r="N1306" s="126"/>
      <c r="O1306" s="126"/>
      <c r="R1306" s="121"/>
    </row>
    <row r="1307" spans="1:18" ht="15">
      <c r="A1307" s="332" t="s">
        <v>318</v>
      </c>
      <c r="B1307" s="333" t="s">
        <v>606</v>
      </c>
      <c r="C1307" s="424" t="s">
        <v>330</v>
      </c>
      <c r="D1307" s="332" t="s">
        <v>607</v>
      </c>
      <c r="E1307" s="333">
        <v>201608</v>
      </c>
      <c r="F1307" s="334">
        <v>9.7899999999999991</v>
      </c>
      <c r="G1307" s="332">
        <v>8.5</v>
      </c>
      <c r="H1307" s="381">
        <v>1.3083000000000001E-3</v>
      </c>
      <c r="I1307" s="334">
        <v>0.11</v>
      </c>
      <c r="J1307" s="393">
        <v>0.15</v>
      </c>
      <c r="N1307" s="126"/>
      <c r="O1307" s="126"/>
      <c r="R1307" s="121"/>
    </row>
    <row r="1308" spans="1:18" ht="15">
      <c r="A1308" s="332" t="s">
        <v>318</v>
      </c>
      <c r="B1308" s="333" t="s">
        <v>606</v>
      </c>
      <c r="C1308" s="424" t="s">
        <v>330</v>
      </c>
      <c r="D1308" s="332" t="s">
        <v>607</v>
      </c>
      <c r="E1308" s="333">
        <v>201608</v>
      </c>
      <c r="F1308" s="334">
        <v>0.16</v>
      </c>
      <c r="G1308" s="332">
        <v>8.5</v>
      </c>
      <c r="H1308" s="381">
        <v>1.3083000000000001E-3</v>
      </c>
      <c r="I1308" s="334">
        <v>0</v>
      </c>
      <c r="J1308" s="393">
        <v>0</v>
      </c>
      <c r="N1308" s="126"/>
      <c r="O1308" s="126"/>
      <c r="R1308" s="121"/>
    </row>
    <row r="1309" spans="1:18" ht="15">
      <c r="A1309" s="332" t="s">
        <v>318</v>
      </c>
      <c r="B1309" s="333" t="s">
        <v>947</v>
      </c>
      <c r="C1309" s="424" t="s">
        <v>330</v>
      </c>
      <c r="D1309" s="332" t="s">
        <v>948</v>
      </c>
      <c r="E1309" s="333">
        <v>201608</v>
      </c>
      <c r="F1309" s="334">
        <v>271497.07</v>
      </c>
      <c r="G1309" s="332">
        <v>8.5</v>
      </c>
      <c r="H1309" s="381">
        <v>1.3083000000000001E-3</v>
      </c>
      <c r="I1309" s="334">
        <v>3019.2</v>
      </c>
      <c r="J1309" s="393">
        <v>4262.3999999999996</v>
      </c>
      <c r="N1309" s="126"/>
      <c r="O1309" s="126"/>
      <c r="R1309" s="121"/>
    </row>
    <row r="1310" spans="1:18">
      <c r="A1310" s="332" t="s">
        <v>318</v>
      </c>
      <c r="B1310" s="333" t="s">
        <v>947</v>
      </c>
      <c r="C1310" s="423" t="s">
        <v>330</v>
      </c>
      <c r="D1310" s="332" t="s">
        <v>948</v>
      </c>
      <c r="E1310" s="333">
        <v>201608</v>
      </c>
      <c r="F1310" s="334">
        <v>9733.49</v>
      </c>
      <c r="G1310" s="332">
        <v>8.5</v>
      </c>
      <c r="H1310" s="381">
        <v>1.3083000000000001E-3</v>
      </c>
      <c r="I1310" s="334">
        <v>108.24</v>
      </c>
      <c r="J1310" s="393">
        <v>152.81</v>
      </c>
      <c r="N1310" s="126"/>
      <c r="O1310" s="126"/>
      <c r="R1310" s="121"/>
    </row>
    <row r="1311" spans="1:18" ht="15">
      <c r="A1311" s="332" t="s">
        <v>318</v>
      </c>
      <c r="B1311" s="333" t="s">
        <v>834</v>
      </c>
      <c r="C1311" s="424" t="s">
        <v>330</v>
      </c>
      <c r="D1311" s="332" t="s">
        <v>835</v>
      </c>
      <c r="E1311" s="333">
        <v>201608</v>
      </c>
      <c r="F1311" s="334">
        <v>22549.89</v>
      </c>
      <c r="G1311" s="332">
        <v>8.5</v>
      </c>
      <c r="H1311" s="381">
        <v>1.3083000000000001E-3</v>
      </c>
      <c r="I1311" s="334">
        <v>250.77</v>
      </c>
      <c r="J1311" s="393">
        <v>354.02</v>
      </c>
      <c r="N1311" s="126"/>
      <c r="O1311" s="126"/>
      <c r="R1311" s="121"/>
    </row>
    <row r="1312" spans="1:18" ht="15">
      <c r="A1312" s="332" t="s">
        <v>318</v>
      </c>
      <c r="B1312" s="333" t="s">
        <v>834</v>
      </c>
      <c r="C1312" s="424" t="s">
        <v>330</v>
      </c>
      <c r="D1312" s="332" t="s">
        <v>835</v>
      </c>
      <c r="E1312" s="333">
        <v>201608</v>
      </c>
      <c r="F1312" s="334">
        <v>1993.92</v>
      </c>
      <c r="G1312" s="332">
        <v>8.5</v>
      </c>
      <c r="H1312" s="381">
        <v>1.3083000000000001E-3</v>
      </c>
      <c r="I1312" s="334">
        <v>22.17</v>
      </c>
      <c r="J1312" s="393">
        <v>31.3</v>
      </c>
      <c r="N1312" s="126"/>
      <c r="O1312" s="126"/>
      <c r="R1312" s="121"/>
    </row>
    <row r="1313" spans="1:18" ht="15">
      <c r="A1313" s="332" t="s">
        <v>318</v>
      </c>
      <c r="B1313" s="333" t="s">
        <v>949</v>
      </c>
      <c r="C1313" s="424" t="s">
        <v>330</v>
      </c>
      <c r="D1313" s="332" t="s">
        <v>950</v>
      </c>
      <c r="E1313" s="333">
        <v>201608</v>
      </c>
      <c r="F1313" s="334">
        <v>154139.4</v>
      </c>
      <c r="G1313" s="332">
        <v>8.5</v>
      </c>
      <c r="H1313" s="381">
        <v>1.3083000000000001E-3</v>
      </c>
      <c r="I1313" s="334">
        <v>1714.11</v>
      </c>
      <c r="J1313" s="393">
        <v>2419.9299999999998</v>
      </c>
      <c r="N1313" s="126"/>
      <c r="O1313" s="126"/>
      <c r="R1313" s="121"/>
    </row>
    <row r="1314" spans="1:18">
      <c r="A1314" s="332" t="s">
        <v>318</v>
      </c>
      <c r="B1314" s="333" t="s">
        <v>949</v>
      </c>
      <c r="C1314" s="423" t="s">
        <v>330</v>
      </c>
      <c r="D1314" s="332" t="s">
        <v>950</v>
      </c>
      <c r="E1314" s="333">
        <v>201608</v>
      </c>
      <c r="F1314" s="334">
        <v>7507.51</v>
      </c>
      <c r="G1314" s="332">
        <v>8.5</v>
      </c>
      <c r="H1314" s="381">
        <v>1.3083000000000001E-3</v>
      </c>
      <c r="I1314" s="334">
        <v>83.49</v>
      </c>
      <c r="J1314" s="393">
        <v>117.86</v>
      </c>
      <c r="N1314" s="126"/>
      <c r="O1314" s="126"/>
      <c r="R1314" s="121"/>
    </row>
    <row r="1315" spans="1:18">
      <c r="A1315" s="332" t="s">
        <v>318</v>
      </c>
      <c r="B1315" s="333" t="s">
        <v>951</v>
      </c>
      <c r="C1315" s="423" t="s">
        <v>330</v>
      </c>
      <c r="D1315" s="332" t="s">
        <v>952</v>
      </c>
      <c r="E1315" s="333">
        <v>201608</v>
      </c>
      <c r="F1315" s="334">
        <v>174809.68</v>
      </c>
      <c r="G1315" s="332">
        <v>8.5</v>
      </c>
      <c r="H1315" s="381">
        <v>1.3083000000000001E-3</v>
      </c>
      <c r="I1315" s="334">
        <v>1943.98</v>
      </c>
      <c r="J1315" s="393">
        <v>2744.44</v>
      </c>
      <c r="N1315" s="126"/>
      <c r="O1315" s="126"/>
      <c r="R1315" s="121"/>
    </row>
    <row r="1316" spans="1:18" ht="15">
      <c r="A1316" s="332" t="s">
        <v>318</v>
      </c>
      <c r="B1316" s="333" t="s">
        <v>951</v>
      </c>
      <c r="C1316" s="424" t="s">
        <v>330</v>
      </c>
      <c r="D1316" s="332" t="s">
        <v>952</v>
      </c>
      <c r="E1316" s="333">
        <v>201608</v>
      </c>
      <c r="F1316" s="334">
        <v>5602.79</v>
      </c>
      <c r="G1316" s="332">
        <v>8.5</v>
      </c>
      <c r="H1316" s="381">
        <v>1.3083000000000001E-3</v>
      </c>
      <c r="I1316" s="334">
        <v>62.31</v>
      </c>
      <c r="J1316" s="393">
        <v>87.96</v>
      </c>
      <c r="N1316" s="126"/>
      <c r="O1316" s="126"/>
      <c r="R1316" s="121"/>
    </row>
    <row r="1317" spans="1:18" ht="15">
      <c r="A1317" s="332" t="s">
        <v>318</v>
      </c>
      <c r="B1317" s="333" t="s">
        <v>953</v>
      </c>
      <c r="C1317" s="424" t="s">
        <v>330</v>
      </c>
      <c r="D1317" s="332" t="s">
        <v>954</v>
      </c>
      <c r="E1317" s="333">
        <v>201608</v>
      </c>
      <c r="F1317" s="334">
        <v>98459.88</v>
      </c>
      <c r="G1317" s="332">
        <v>8.5</v>
      </c>
      <c r="H1317" s="381">
        <v>1.3083000000000001E-3</v>
      </c>
      <c r="I1317" s="334">
        <v>1094.93</v>
      </c>
      <c r="J1317" s="393">
        <v>1545.78</v>
      </c>
      <c r="N1317" s="126"/>
      <c r="O1317" s="126"/>
      <c r="R1317" s="121"/>
    </row>
    <row r="1318" spans="1:18" ht="15">
      <c r="A1318" s="332" t="s">
        <v>318</v>
      </c>
      <c r="B1318" s="333" t="s">
        <v>953</v>
      </c>
      <c r="C1318" s="424" t="s">
        <v>330</v>
      </c>
      <c r="D1318" s="332" t="s">
        <v>954</v>
      </c>
      <c r="E1318" s="333">
        <v>201608</v>
      </c>
      <c r="F1318" s="334">
        <v>2612.7800000000002</v>
      </c>
      <c r="G1318" s="332">
        <v>8.5</v>
      </c>
      <c r="H1318" s="381">
        <v>1.3083000000000001E-3</v>
      </c>
      <c r="I1318" s="334">
        <v>29.06</v>
      </c>
      <c r="J1318" s="393">
        <v>41.02</v>
      </c>
      <c r="N1318" s="126"/>
      <c r="O1318" s="126"/>
      <c r="R1318" s="121"/>
    </row>
    <row r="1319" spans="1:18" ht="15">
      <c r="A1319" s="332" t="s">
        <v>318</v>
      </c>
      <c r="B1319" s="333" t="s">
        <v>955</v>
      </c>
      <c r="C1319" s="424" t="s">
        <v>330</v>
      </c>
      <c r="D1319" s="332" t="s">
        <v>956</v>
      </c>
      <c r="E1319" s="333">
        <v>201608</v>
      </c>
      <c r="F1319" s="334">
        <v>53651.46</v>
      </c>
      <c r="G1319" s="332">
        <v>8.5</v>
      </c>
      <c r="H1319" s="381">
        <v>1.3083000000000001E-3</v>
      </c>
      <c r="I1319" s="334">
        <v>596.63</v>
      </c>
      <c r="J1319" s="393">
        <v>842.31</v>
      </c>
      <c r="N1319" s="126"/>
      <c r="O1319" s="126"/>
      <c r="R1319" s="121"/>
    </row>
    <row r="1320" spans="1:18" ht="15">
      <c r="A1320" s="332" t="s">
        <v>318</v>
      </c>
      <c r="B1320" s="333" t="s">
        <v>955</v>
      </c>
      <c r="C1320" s="424" t="s">
        <v>330</v>
      </c>
      <c r="D1320" s="332" t="s">
        <v>956</v>
      </c>
      <c r="E1320" s="333">
        <v>201608</v>
      </c>
      <c r="F1320" s="334">
        <v>1715.9</v>
      </c>
      <c r="G1320" s="332">
        <v>8.5</v>
      </c>
      <c r="H1320" s="381">
        <v>1.3083000000000001E-3</v>
      </c>
      <c r="I1320" s="334">
        <v>19.079999999999998</v>
      </c>
      <c r="J1320" s="393">
        <v>26.94</v>
      </c>
      <c r="N1320" s="126"/>
      <c r="O1320" s="126"/>
      <c r="R1320" s="121"/>
    </row>
    <row r="1321" spans="1:18" ht="15">
      <c r="A1321" s="332" t="s">
        <v>318</v>
      </c>
      <c r="B1321" s="333" t="s">
        <v>957</v>
      </c>
      <c r="C1321" s="424" t="s">
        <v>330</v>
      </c>
      <c r="D1321" s="332" t="s">
        <v>958</v>
      </c>
      <c r="E1321" s="333">
        <v>201608</v>
      </c>
      <c r="F1321" s="334">
        <v>121425.33</v>
      </c>
      <c r="G1321" s="332">
        <v>8.5</v>
      </c>
      <c r="H1321" s="381">
        <v>1.3083000000000001E-3</v>
      </c>
      <c r="I1321" s="334">
        <v>1350.32</v>
      </c>
      <c r="J1321" s="393">
        <v>1906.33</v>
      </c>
      <c r="N1321" s="126"/>
      <c r="O1321" s="126"/>
      <c r="R1321" s="121"/>
    </row>
    <row r="1322" spans="1:18" ht="15">
      <c r="A1322" s="332" t="s">
        <v>318</v>
      </c>
      <c r="B1322" s="333" t="s">
        <v>957</v>
      </c>
      <c r="C1322" s="424" t="s">
        <v>330</v>
      </c>
      <c r="D1322" s="332" t="s">
        <v>958</v>
      </c>
      <c r="E1322" s="333">
        <v>201608</v>
      </c>
      <c r="F1322" s="334">
        <v>4708.92</v>
      </c>
      <c r="G1322" s="332">
        <v>8.5</v>
      </c>
      <c r="H1322" s="381">
        <v>1.3083000000000001E-3</v>
      </c>
      <c r="I1322" s="334">
        <v>52.37</v>
      </c>
      <c r="J1322" s="393">
        <v>73.930000000000007</v>
      </c>
      <c r="N1322" s="126"/>
      <c r="O1322" s="126"/>
      <c r="R1322" s="121"/>
    </row>
    <row r="1323" spans="1:18" ht="15">
      <c r="A1323" s="332" t="s">
        <v>318</v>
      </c>
      <c r="B1323" s="333" t="s">
        <v>959</v>
      </c>
      <c r="C1323" s="424" t="s">
        <v>330</v>
      </c>
      <c r="D1323" s="332" t="s">
        <v>960</v>
      </c>
      <c r="E1323" s="333">
        <v>201608</v>
      </c>
      <c r="F1323" s="334">
        <v>62698.78</v>
      </c>
      <c r="G1323" s="332">
        <v>8.5</v>
      </c>
      <c r="H1323" s="381">
        <v>1.3083000000000001E-3</v>
      </c>
      <c r="I1323" s="334">
        <v>697.24</v>
      </c>
      <c r="J1323" s="393">
        <v>984.35</v>
      </c>
      <c r="N1323" s="126"/>
      <c r="O1323" s="126"/>
      <c r="R1323" s="121"/>
    </row>
    <row r="1324" spans="1:18" ht="15">
      <c r="A1324" s="332" t="s">
        <v>318</v>
      </c>
      <c r="B1324" s="333" t="s">
        <v>959</v>
      </c>
      <c r="C1324" s="424" t="s">
        <v>330</v>
      </c>
      <c r="D1324" s="332" t="s">
        <v>960</v>
      </c>
      <c r="E1324" s="333">
        <v>201608</v>
      </c>
      <c r="F1324" s="334">
        <v>2048.84</v>
      </c>
      <c r="G1324" s="332">
        <v>8.5</v>
      </c>
      <c r="H1324" s="381">
        <v>1.3083000000000001E-3</v>
      </c>
      <c r="I1324" s="334">
        <v>22.78</v>
      </c>
      <c r="J1324" s="393">
        <v>32.17</v>
      </c>
      <c r="N1324" s="126"/>
      <c r="O1324" s="126"/>
      <c r="R1324" s="121"/>
    </row>
    <row r="1325" spans="1:18" ht="15">
      <c r="A1325" s="332" t="s">
        <v>318</v>
      </c>
      <c r="B1325" s="333" t="s">
        <v>608</v>
      </c>
      <c r="C1325" s="424" t="s">
        <v>330</v>
      </c>
      <c r="D1325" s="332" t="s">
        <v>609</v>
      </c>
      <c r="E1325" s="333">
        <v>201608</v>
      </c>
      <c r="F1325" s="334">
        <v>0.92</v>
      </c>
      <c r="G1325" s="332">
        <v>8.5</v>
      </c>
      <c r="H1325" s="381">
        <v>1.3083000000000001E-3</v>
      </c>
      <c r="I1325" s="334">
        <v>0.01</v>
      </c>
      <c r="J1325" s="393">
        <v>0.01</v>
      </c>
      <c r="N1325" s="126"/>
      <c r="O1325" s="126"/>
      <c r="R1325" s="121"/>
    </row>
    <row r="1326" spans="1:18">
      <c r="A1326" s="332" t="s">
        <v>318</v>
      </c>
      <c r="B1326" s="333" t="s">
        <v>608</v>
      </c>
      <c r="C1326" s="423" t="s">
        <v>330</v>
      </c>
      <c r="D1326" s="332" t="s">
        <v>609</v>
      </c>
      <c r="E1326" s="333">
        <v>201608</v>
      </c>
      <c r="F1326" s="334">
        <v>0.08</v>
      </c>
      <c r="G1326" s="332">
        <v>8.5</v>
      </c>
      <c r="H1326" s="381">
        <v>1.3083000000000001E-3</v>
      </c>
      <c r="I1326" s="334">
        <v>0</v>
      </c>
      <c r="J1326" s="393">
        <v>0</v>
      </c>
      <c r="N1326" s="126"/>
      <c r="O1326" s="126"/>
      <c r="R1326" s="121"/>
    </row>
    <row r="1327" spans="1:18" ht="15">
      <c r="A1327" s="332" t="s">
        <v>318</v>
      </c>
      <c r="B1327" s="333" t="s">
        <v>565</v>
      </c>
      <c r="C1327" s="424" t="s">
        <v>330</v>
      </c>
      <c r="D1327" s="332" t="s">
        <v>566</v>
      </c>
      <c r="E1327" s="333">
        <v>201608</v>
      </c>
      <c r="F1327" s="334">
        <v>0.03</v>
      </c>
      <c r="G1327" s="332">
        <v>8.5</v>
      </c>
      <c r="H1327" s="425">
        <v>1.3083000000000001E-3</v>
      </c>
      <c r="I1327" s="334">
        <v>0</v>
      </c>
      <c r="J1327" s="393">
        <v>0</v>
      </c>
      <c r="N1327" s="126"/>
      <c r="O1327" s="126"/>
      <c r="R1327" s="121"/>
    </row>
    <row r="1328" spans="1:18" ht="15">
      <c r="A1328" s="332" t="s">
        <v>318</v>
      </c>
      <c r="B1328" s="333" t="s">
        <v>610</v>
      </c>
      <c r="C1328" s="424" t="s">
        <v>330</v>
      </c>
      <c r="D1328" s="332" t="s">
        <v>611</v>
      </c>
      <c r="E1328" s="333">
        <v>201608</v>
      </c>
      <c r="F1328" s="334">
        <v>3.33</v>
      </c>
      <c r="G1328" s="332">
        <v>8.5</v>
      </c>
      <c r="H1328" s="425">
        <v>1.3083000000000001E-3</v>
      </c>
      <c r="I1328" s="334">
        <v>0.04</v>
      </c>
      <c r="J1328" s="393">
        <v>0.05</v>
      </c>
      <c r="N1328" s="126"/>
      <c r="O1328" s="126"/>
      <c r="R1328" s="121"/>
    </row>
    <row r="1329" spans="1:18" ht="15">
      <c r="A1329" s="332" t="s">
        <v>318</v>
      </c>
      <c r="B1329" s="333" t="s">
        <v>610</v>
      </c>
      <c r="C1329" s="424" t="s">
        <v>330</v>
      </c>
      <c r="D1329" s="332" t="s">
        <v>611</v>
      </c>
      <c r="E1329" s="333">
        <v>201608</v>
      </c>
      <c r="F1329" s="334">
        <v>0.18</v>
      </c>
      <c r="G1329" s="332">
        <v>8.5</v>
      </c>
      <c r="H1329" s="381">
        <v>1.3083000000000001E-3</v>
      </c>
      <c r="I1329" s="334">
        <v>0</v>
      </c>
      <c r="J1329" s="393">
        <v>0</v>
      </c>
      <c r="N1329" s="126"/>
      <c r="O1329" s="126"/>
      <c r="R1329" s="121"/>
    </row>
    <row r="1330" spans="1:18" ht="15">
      <c r="A1330" s="332" t="s">
        <v>318</v>
      </c>
      <c r="B1330" s="333" t="s">
        <v>567</v>
      </c>
      <c r="C1330" s="424" t="s">
        <v>330</v>
      </c>
      <c r="D1330" s="332" t="s">
        <v>568</v>
      </c>
      <c r="E1330" s="333">
        <v>201608</v>
      </c>
      <c r="F1330" s="334">
        <v>3.54</v>
      </c>
      <c r="G1330" s="332">
        <v>8.5</v>
      </c>
      <c r="H1330" s="381">
        <v>1.3083000000000001E-3</v>
      </c>
      <c r="I1330" s="334">
        <v>0.04</v>
      </c>
      <c r="J1330" s="393">
        <v>0.06</v>
      </c>
      <c r="N1330" s="126"/>
      <c r="O1330" s="126"/>
      <c r="R1330" s="121"/>
    </row>
    <row r="1331" spans="1:18" ht="15">
      <c r="A1331" s="332" t="s">
        <v>318</v>
      </c>
      <c r="B1331" s="333" t="s">
        <v>567</v>
      </c>
      <c r="C1331" s="424" t="s">
        <v>330</v>
      </c>
      <c r="D1331" s="332" t="s">
        <v>568</v>
      </c>
      <c r="E1331" s="333">
        <v>201608</v>
      </c>
      <c r="F1331" s="334">
        <v>0.15</v>
      </c>
      <c r="G1331" s="332">
        <v>8.5</v>
      </c>
      <c r="H1331" s="381">
        <v>1.3083000000000001E-3</v>
      </c>
      <c r="I1331" s="334">
        <v>0</v>
      </c>
      <c r="J1331" s="393">
        <v>0</v>
      </c>
      <c r="N1331" s="126"/>
      <c r="O1331" s="126"/>
      <c r="R1331" s="121"/>
    </row>
    <row r="1332" spans="1:18">
      <c r="A1332" s="405" t="s">
        <v>318</v>
      </c>
      <c r="B1332" s="406" t="s">
        <v>672</v>
      </c>
      <c r="C1332" s="411" t="s">
        <v>330</v>
      </c>
      <c r="D1332" s="405" t="s">
        <v>673</v>
      </c>
      <c r="E1332" s="406">
        <v>201608</v>
      </c>
      <c r="F1332" s="407">
        <v>40.85</v>
      </c>
      <c r="G1332" s="405">
        <v>8.5</v>
      </c>
      <c r="H1332" s="408">
        <v>1.3083000000000001E-3</v>
      </c>
      <c r="I1332" s="407">
        <v>0.45</v>
      </c>
      <c r="J1332" s="409">
        <v>0.64</v>
      </c>
      <c r="N1332" s="126"/>
      <c r="O1332" s="126"/>
      <c r="R1332" s="121"/>
    </row>
    <row r="1333" spans="1:18">
      <c r="A1333" s="443" t="s">
        <v>318</v>
      </c>
      <c r="B1333" s="444" t="s">
        <v>637</v>
      </c>
      <c r="C1333" s="444" t="s">
        <v>329</v>
      </c>
      <c r="D1333" s="443" t="s">
        <v>638</v>
      </c>
      <c r="E1333" s="444">
        <v>201608</v>
      </c>
      <c r="F1333" s="445">
        <v>3.81</v>
      </c>
      <c r="G1333" s="443">
        <v>8.5</v>
      </c>
      <c r="H1333" s="446">
        <v>1.3083000000000001E-3</v>
      </c>
      <c r="I1333" s="445">
        <v>0.04</v>
      </c>
      <c r="J1333" s="448">
        <v>0.06</v>
      </c>
      <c r="N1333" s="126"/>
      <c r="O1333" s="126"/>
      <c r="R1333" s="121"/>
    </row>
    <row r="1334" spans="1:18" s="439" customFormat="1">
      <c r="A1334" s="443" t="s">
        <v>318</v>
      </c>
      <c r="B1334" s="444" t="s">
        <v>637</v>
      </c>
      <c r="C1334" s="444" t="s">
        <v>329</v>
      </c>
      <c r="D1334" s="443" t="s">
        <v>638</v>
      </c>
      <c r="E1334" s="444">
        <v>201608</v>
      </c>
      <c r="F1334" s="445">
        <v>0.31</v>
      </c>
      <c r="G1334" s="443">
        <v>8.5</v>
      </c>
      <c r="H1334" s="446">
        <v>1.3083000000000001E-3</v>
      </c>
      <c r="I1334" s="445">
        <v>0</v>
      </c>
      <c r="J1334" s="448">
        <v>0</v>
      </c>
      <c r="N1334" s="441"/>
      <c r="O1334" s="441"/>
      <c r="R1334" s="440"/>
    </row>
    <row r="1335" spans="1:18" s="439" customFormat="1">
      <c r="A1335" s="443" t="s">
        <v>318</v>
      </c>
      <c r="B1335" s="444" t="s">
        <v>814</v>
      </c>
      <c r="C1335" s="444" t="s">
        <v>330</v>
      </c>
      <c r="D1335" s="443" t="s">
        <v>815</v>
      </c>
      <c r="E1335" s="444">
        <v>201608</v>
      </c>
      <c r="F1335" s="445">
        <v>-16720.45</v>
      </c>
      <c r="G1335" s="443">
        <v>8.5</v>
      </c>
      <c r="H1335" s="446">
        <v>1.3083000000000001E-3</v>
      </c>
      <c r="I1335" s="445">
        <v>-185.94</v>
      </c>
      <c r="J1335" s="448">
        <v>-262.5</v>
      </c>
      <c r="N1335" s="441"/>
      <c r="O1335" s="441"/>
      <c r="R1335" s="440"/>
    </row>
    <row r="1336" spans="1:18" s="439" customFormat="1">
      <c r="A1336" s="443" t="s">
        <v>318</v>
      </c>
      <c r="B1336" s="444" t="s">
        <v>814</v>
      </c>
      <c r="C1336" s="444" t="s">
        <v>330</v>
      </c>
      <c r="D1336" s="443" t="s">
        <v>815</v>
      </c>
      <c r="E1336" s="444">
        <v>201608</v>
      </c>
      <c r="F1336" s="445">
        <v>-717.46</v>
      </c>
      <c r="G1336" s="443">
        <v>8.5</v>
      </c>
      <c r="H1336" s="446">
        <v>1.3083000000000001E-3</v>
      </c>
      <c r="I1336" s="445">
        <v>-7.98</v>
      </c>
      <c r="J1336" s="448">
        <v>-11.26</v>
      </c>
      <c r="N1336" s="441"/>
      <c r="O1336" s="441"/>
      <c r="R1336" s="440"/>
    </row>
    <row r="1337" spans="1:18" s="439" customFormat="1">
      <c r="A1337" s="443" t="s">
        <v>318</v>
      </c>
      <c r="B1337" s="444" t="s">
        <v>674</v>
      </c>
      <c r="C1337" s="444" t="s">
        <v>330</v>
      </c>
      <c r="D1337" s="443" t="s">
        <v>675</v>
      </c>
      <c r="E1337" s="444">
        <v>201608</v>
      </c>
      <c r="F1337" s="445">
        <v>462.73</v>
      </c>
      <c r="G1337" s="443">
        <v>8.5</v>
      </c>
      <c r="H1337" s="446">
        <v>1.3083000000000001E-3</v>
      </c>
      <c r="I1337" s="445">
        <v>5.15</v>
      </c>
      <c r="J1337" s="448">
        <v>7.26</v>
      </c>
      <c r="N1337" s="441"/>
      <c r="O1337" s="441"/>
      <c r="R1337" s="440"/>
    </row>
    <row r="1338" spans="1:18" s="439" customFormat="1">
      <c r="A1338" s="443" t="s">
        <v>318</v>
      </c>
      <c r="B1338" s="444" t="s">
        <v>674</v>
      </c>
      <c r="C1338" s="444" t="s">
        <v>330</v>
      </c>
      <c r="D1338" s="443" t="s">
        <v>675</v>
      </c>
      <c r="E1338" s="444">
        <v>201608</v>
      </c>
      <c r="F1338" s="445">
        <v>24.82</v>
      </c>
      <c r="G1338" s="443">
        <v>8.5</v>
      </c>
      <c r="H1338" s="446">
        <v>1.3083000000000001E-3</v>
      </c>
      <c r="I1338" s="445">
        <v>0.28000000000000003</v>
      </c>
      <c r="J1338" s="448">
        <v>0.39</v>
      </c>
      <c r="N1338" s="441"/>
      <c r="O1338" s="441"/>
      <c r="R1338" s="440"/>
    </row>
    <row r="1339" spans="1:18" s="439" customFormat="1">
      <c r="A1339" s="443" t="s">
        <v>318</v>
      </c>
      <c r="B1339" s="444" t="s">
        <v>790</v>
      </c>
      <c r="C1339" s="444" t="s">
        <v>330</v>
      </c>
      <c r="D1339" s="443" t="s">
        <v>791</v>
      </c>
      <c r="E1339" s="444">
        <v>201608</v>
      </c>
      <c r="F1339" s="445">
        <v>-123452.51</v>
      </c>
      <c r="G1339" s="443">
        <v>8.5</v>
      </c>
      <c r="H1339" s="446">
        <v>1.3083000000000001E-3</v>
      </c>
      <c r="I1339" s="445">
        <v>-1372.86</v>
      </c>
      <c r="J1339" s="448">
        <v>-1938.16</v>
      </c>
      <c r="N1339" s="441"/>
      <c r="O1339" s="441"/>
      <c r="R1339" s="440"/>
    </row>
    <row r="1340" spans="1:18" s="439" customFormat="1">
      <c r="A1340" s="443" t="s">
        <v>318</v>
      </c>
      <c r="B1340" s="444" t="s">
        <v>790</v>
      </c>
      <c r="C1340" s="444" t="s">
        <v>330</v>
      </c>
      <c r="D1340" s="443" t="s">
        <v>791</v>
      </c>
      <c r="E1340" s="444">
        <v>201608</v>
      </c>
      <c r="F1340" s="445">
        <v>-9304.18</v>
      </c>
      <c r="G1340" s="443">
        <v>8.5</v>
      </c>
      <c r="H1340" s="446">
        <v>1.3083000000000001E-3</v>
      </c>
      <c r="I1340" s="445">
        <v>-103.47</v>
      </c>
      <c r="J1340" s="448">
        <v>-146.07</v>
      </c>
      <c r="N1340" s="441"/>
      <c r="O1340" s="441"/>
      <c r="R1340" s="440"/>
    </row>
    <row r="1341" spans="1:18" s="439" customFormat="1">
      <c r="A1341" s="443" t="s">
        <v>318</v>
      </c>
      <c r="B1341" s="444" t="s">
        <v>840</v>
      </c>
      <c r="C1341" s="442" t="s">
        <v>330</v>
      </c>
      <c r="D1341" s="443" t="s">
        <v>841</v>
      </c>
      <c r="E1341" s="444">
        <v>201608</v>
      </c>
      <c r="F1341" s="445">
        <v>15279.33</v>
      </c>
      <c r="G1341" s="443">
        <v>8.5</v>
      </c>
      <c r="H1341" s="446">
        <v>1.3083000000000001E-3</v>
      </c>
      <c r="I1341" s="445">
        <v>169.91</v>
      </c>
      <c r="J1341" s="448">
        <v>239.88</v>
      </c>
      <c r="N1341" s="441"/>
      <c r="O1341" s="441"/>
      <c r="R1341" s="440"/>
    </row>
    <row r="1342" spans="1:18" s="439" customFormat="1">
      <c r="A1342" s="443" t="s">
        <v>318</v>
      </c>
      <c r="B1342" s="444" t="s">
        <v>840</v>
      </c>
      <c r="C1342" s="444" t="s">
        <v>330</v>
      </c>
      <c r="D1342" s="443" t="s">
        <v>841</v>
      </c>
      <c r="E1342" s="444">
        <v>201608</v>
      </c>
      <c r="F1342" s="445">
        <v>1439.06</v>
      </c>
      <c r="G1342" s="443">
        <v>8.5</v>
      </c>
      <c r="H1342" s="446">
        <v>1.3083000000000001E-3</v>
      </c>
      <c r="I1342" s="445">
        <v>16</v>
      </c>
      <c r="J1342" s="448">
        <v>22.59</v>
      </c>
      <c r="N1342" s="441"/>
      <c r="O1342" s="441"/>
      <c r="R1342" s="440"/>
    </row>
    <row r="1343" spans="1:18" s="439" customFormat="1">
      <c r="A1343" s="443" t="s">
        <v>318</v>
      </c>
      <c r="B1343" s="444" t="s">
        <v>961</v>
      </c>
      <c r="C1343" s="444" t="s">
        <v>330</v>
      </c>
      <c r="D1343" s="443" t="s">
        <v>962</v>
      </c>
      <c r="E1343" s="444">
        <v>201608</v>
      </c>
      <c r="F1343" s="445">
        <v>296427.88</v>
      </c>
      <c r="G1343" s="443">
        <v>8.5</v>
      </c>
      <c r="H1343" s="446">
        <v>1.3083000000000001E-3</v>
      </c>
      <c r="I1343" s="445">
        <v>3296.44</v>
      </c>
      <c r="J1343" s="448">
        <v>4653.8</v>
      </c>
      <c r="N1343" s="441"/>
      <c r="O1343" s="441"/>
      <c r="R1343" s="440"/>
    </row>
    <row r="1344" spans="1:18" s="439" customFormat="1">
      <c r="A1344" s="443" t="s">
        <v>318</v>
      </c>
      <c r="B1344" s="444" t="s">
        <v>961</v>
      </c>
      <c r="C1344" s="444" t="s">
        <v>330</v>
      </c>
      <c r="D1344" s="443" t="s">
        <v>962</v>
      </c>
      <c r="E1344" s="444">
        <v>201608</v>
      </c>
      <c r="F1344" s="445">
        <v>18431.09</v>
      </c>
      <c r="G1344" s="443">
        <v>8.5</v>
      </c>
      <c r="H1344" s="446">
        <v>1.3083000000000001E-3</v>
      </c>
      <c r="I1344" s="445">
        <v>204.96</v>
      </c>
      <c r="J1344" s="448">
        <v>289.36</v>
      </c>
      <c r="N1344" s="441"/>
      <c r="O1344" s="441"/>
      <c r="R1344" s="440"/>
    </row>
    <row r="1345" spans="1:18" s="439" customFormat="1">
      <c r="A1345" s="443" t="s">
        <v>318</v>
      </c>
      <c r="B1345" s="444" t="s">
        <v>963</v>
      </c>
      <c r="C1345" s="444" t="s">
        <v>330</v>
      </c>
      <c r="D1345" s="443" t="s">
        <v>964</v>
      </c>
      <c r="E1345" s="444">
        <v>201608</v>
      </c>
      <c r="F1345" s="445">
        <v>76965.77</v>
      </c>
      <c r="G1345" s="443">
        <v>8.5</v>
      </c>
      <c r="H1345" s="446">
        <v>1.3083000000000001E-3</v>
      </c>
      <c r="I1345" s="445">
        <v>855.9</v>
      </c>
      <c r="J1345" s="448">
        <v>1208.33</v>
      </c>
      <c r="N1345" s="441"/>
      <c r="O1345" s="441"/>
      <c r="R1345" s="440"/>
    </row>
    <row r="1346" spans="1:18" s="439" customFormat="1">
      <c r="A1346" s="443" t="s">
        <v>318</v>
      </c>
      <c r="B1346" s="444" t="s">
        <v>963</v>
      </c>
      <c r="C1346" s="442" t="s">
        <v>330</v>
      </c>
      <c r="D1346" s="443" t="s">
        <v>964</v>
      </c>
      <c r="E1346" s="444">
        <v>201608</v>
      </c>
      <c r="F1346" s="445">
        <v>5989.98</v>
      </c>
      <c r="G1346" s="443">
        <v>8.5</v>
      </c>
      <c r="H1346" s="446">
        <v>1.3083000000000001E-3</v>
      </c>
      <c r="I1346" s="445">
        <v>66.61</v>
      </c>
      <c r="J1346" s="448">
        <v>94.04</v>
      </c>
      <c r="N1346" s="441"/>
      <c r="O1346" s="441"/>
      <c r="R1346" s="440"/>
    </row>
    <row r="1347" spans="1:18" s="439" customFormat="1">
      <c r="A1347" s="443" t="s">
        <v>318</v>
      </c>
      <c r="B1347" s="444" t="s">
        <v>965</v>
      </c>
      <c r="C1347" s="442" t="s">
        <v>330</v>
      </c>
      <c r="D1347" s="443" t="s">
        <v>966</v>
      </c>
      <c r="E1347" s="444">
        <v>201608</v>
      </c>
      <c r="F1347" s="445">
        <v>90553.84</v>
      </c>
      <c r="G1347" s="443">
        <v>8.5</v>
      </c>
      <c r="H1347" s="446">
        <v>1.3083000000000001E-3</v>
      </c>
      <c r="I1347" s="445">
        <v>1007.01</v>
      </c>
      <c r="J1347" s="448">
        <v>1421.66</v>
      </c>
      <c r="N1347" s="441"/>
      <c r="O1347" s="441"/>
      <c r="R1347" s="440"/>
    </row>
    <row r="1348" spans="1:18" s="439" customFormat="1">
      <c r="A1348" s="443" t="s">
        <v>318</v>
      </c>
      <c r="B1348" s="444" t="s">
        <v>965</v>
      </c>
      <c r="C1348" s="444" t="s">
        <v>330</v>
      </c>
      <c r="D1348" s="443" t="s">
        <v>966</v>
      </c>
      <c r="E1348" s="444">
        <v>201608</v>
      </c>
      <c r="F1348" s="445">
        <v>6687.17</v>
      </c>
      <c r="G1348" s="443">
        <v>8.5</v>
      </c>
      <c r="H1348" s="446">
        <v>1.3083000000000001E-3</v>
      </c>
      <c r="I1348" s="445">
        <v>74.37</v>
      </c>
      <c r="J1348" s="448">
        <v>104.99</v>
      </c>
      <c r="N1348" s="441"/>
      <c r="O1348" s="441"/>
      <c r="R1348" s="440"/>
    </row>
    <row r="1349" spans="1:18" s="439" customFormat="1">
      <c r="A1349" s="443" t="s">
        <v>318</v>
      </c>
      <c r="B1349" s="444" t="s">
        <v>842</v>
      </c>
      <c r="C1349" s="444" t="s">
        <v>330</v>
      </c>
      <c r="D1349" s="443" t="s">
        <v>843</v>
      </c>
      <c r="E1349" s="444">
        <v>201608</v>
      </c>
      <c r="F1349" s="445">
        <v>24458.1</v>
      </c>
      <c r="G1349" s="443">
        <v>8.5</v>
      </c>
      <c r="H1349" s="446">
        <v>1.3083000000000001E-3</v>
      </c>
      <c r="I1349" s="445">
        <v>271.99</v>
      </c>
      <c r="J1349" s="448">
        <v>383.98</v>
      </c>
      <c r="N1349" s="441"/>
      <c r="O1349" s="441"/>
      <c r="R1349" s="440"/>
    </row>
    <row r="1350" spans="1:18" s="439" customFormat="1">
      <c r="A1350" s="443" t="s">
        <v>318</v>
      </c>
      <c r="B1350" s="444" t="s">
        <v>842</v>
      </c>
      <c r="C1350" s="444" t="s">
        <v>330</v>
      </c>
      <c r="D1350" s="443" t="s">
        <v>843</v>
      </c>
      <c r="E1350" s="444">
        <v>201608</v>
      </c>
      <c r="F1350" s="445">
        <v>1691.87</v>
      </c>
      <c r="G1350" s="443">
        <v>8.5</v>
      </c>
      <c r="H1350" s="446">
        <v>1.3083000000000001E-3</v>
      </c>
      <c r="I1350" s="445">
        <v>18.809999999999999</v>
      </c>
      <c r="J1350" s="448">
        <v>26.56</v>
      </c>
      <c r="N1350" s="441"/>
      <c r="O1350" s="441"/>
      <c r="R1350" s="440"/>
    </row>
    <row r="1351" spans="1:18" s="439" customFormat="1">
      <c r="A1351" s="443" t="s">
        <v>318</v>
      </c>
      <c r="B1351" s="444" t="s">
        <v>860</v>
      </c>
      <c r="C1351" s="444" t="s">
        <v>330</v>
      </c>
      <c r="D1351" s="443" t="s">
        <v>861</v>
      </c>
      <c r="E1351" s="444">
        <v>201608</v>
      </c>
      <c r="F1351" s="445">
        <v>13141.08</v>
      </c>
      <c r="G1351" s="443">
        <v>8.5</v>
      </c>
      <c r="H1351" s="446">
        <v>1.3083000000000001E-3</v>
      </c>
      <c r="I1351" s="445">
        <v>146.13999999999999</v>
      </c>
      <c r="J1351" s="448">
        <v>206.31</v>
      </c>
      <c r="N1351" s="441"/>
      <c r="O1351" s="441"/>
      <c r="R1351" s="440"/>
    </row>
    <row r="1352" spans="1:18" s="439" customFormat="1">
      <c r="A1352" s="443" t="s">
        <v>318</v>
      </c>
      <c r="B1352" s="444" t="s">
        <v>860</v>
      </c>
      <c r="C1352" s="444" t="s">
        <v>330</v>
      </c>
      <c r="D1352" s="443" t="s">
        <v>861</v>
      </c>
      <c r="E1352" s="444">
        <v>201608</v>
      </c>
      <c r="F1352" s="445">
        <v>821.87</v>
      </c>
      <c r="G1352" s="443">
        <v>8.5</v>
      </c>
      <c r="H1352" s="446">
        <v>1.3083000000000001E-3</v>
      </c>
      <c r="I1352" s="445">
        <v>9.14</v>
      </c>
      <c r="J1352" s="448">
        <v>12.9</v>
      </c>
      <c r="N1352" s="441"/>
      <c r="O1352" s="441"/>
      <c r="R1352" s="440"/>
    </row>
    <row r="1353" spans="1:18" s="439" customFormat="1">
      <c r="A1353" s="443" t="s">
        <v>318</v>
      </c>
      <c r="B1353" s="444" t="s">
        <v>639</v>
      </c>
      <c r="C1353" s="442" t="s">
        <v>329</v>
      </c>
      <c r="D1353" s="443" t="s">
        <v>640</v>
      </c>
      <c r="E1353" s="444">
        <v>201608</v>
      </c>
      <c r="F1353" s="445">
        <v>3.99</v>
      </c>
      <c r="G1353" s="443">
        <v>8.5</v>
      </c>
      <c r="H1353" s="446">
        <v>1.3083000000000001E-3</v>
      </c>
      <c r="I1353" s="445">
        <v>0.04</v>
      </c>
      <c r="J1353" s="448">
        <v>0.06</v>
      </c>
      <c r="N1353" s="441"/>
      <c r="O1353" s="441"/>
      <c r="R1353" s="440"/>
    </row>
    <row r="1354" spans="1:18" s="439" customFormat="1">
      <c r="A1354" s="443" t="s">
        <v>318</v>
      </c>
      <c r="B1354" s="444" t="s">
        <v>639</v>
      </c>
      <c r="C1354" s="444" t="s">
        <v>329</v>
      </c>
      <c r="D1354" s="443" t="s">
        <v>640</v>
      </c>
      <c r="E1354" s="444">
        <v>201608</v>
      </c>
      <c r="F1354" s="445">
        <v>0.97</v>
      </c>
      <c r="G1354" s="443">
        <v>8.5</v>
      </c>
      <c r="H1354" s="446">
        <v>1.3083000000000001E-3</v>
      </c>
      <c r="I1354" s="445">
        <v>0.01</v>
      </c>
      <c r="J1354" s="448">
        <v>0.02</v>
      </c>
      <c r="N1354" s="441"/>
      <c r="O1354" s="441"/>
      <c r="R1354" s="440"/>
    </row>
    <row r="1355" spans="1:18" s="439" customFormat="1">
      <c r="A1355" s="443" t="s">
        <v>318</v>
      </c>
      <c r="B1355" s="444" t="s">
        <v>676</v>
      </c>
      <c r="C1355" s="444" t="s">
        <v>329</v>
      </c>
      <c r="D1355" s="443" t="s">
        <v>677</v>
      </c>
      <c r="E1355" s="444">
        <v>201608</v>
      </c>
      <c r="F1355" s="445">
        <v>-216.11</v>
      </c>
      <c r="G1355" s="443">
        <v>8.5</v>
      </c>
      <c r="H1355" s="446">
        <v>1.3083000000000001E-3</v>
      </c>
      <c r="I1355" s="445">
        <v>-2.4</v>
      </c>
      <c r="J1355" s="448">
        <v>-3.39</v>
      </c>
      <c r="N1355" s="441"/>
      <c r="O1355" s="441"/>
      <c r="R1355" s="440"/>
    </row>
    <row r="1356" spans="1:18" s="439" customFormat="1">
      <c r="A1356" s="443" t="s">
        <v>318</v>
      </c>
      <c r="B1356" s="444" t="s">
        <v>676</v>
      </c>
      <c r="C1356" s="444" t="s">
        <v>329</v>
      </c>
      <c r="D1356" s="443" t="s">
        <v>677</v>
      </c>
      <c r="E1356" s="444">
        <v>201608</v>
      </c>
      <c r="F1356" s="445">
        <v>-35.520000000000003</v>
      </c>
      <c r="G1356" s="443">
        <v>8.5</v>
      </c>
      <c r="H1356" s="446">
        <v>1.3083000000000001E-3</v>
      </c>
      <c r="I1356" s="445">
        <v>-0.4</v>
      </c>
      <c r="J1356" s="448">
        <v>-0.56000000000000005</v>
      </c>
      <c r="N1356" s="441"/>
      <c r="O1356" s="441"/>
      <c r="R1356" s="440"/>
    </row>
    <row r="1357" spans="1:18" s="439" customFormat="1">
      <c r="A1357" s="443" t="s">
        <v>318</v>
      </c>
      <c r="B1357" s="444" t="s">
        <v>844</v>
      </c>
      <c r="C1357" s="444" t="s">
        <v>329</v>
      </c>
      <c r="D1357" s="443" t="s">
        <v>845</v>
      </c>
      <c r="E1357" s="444">
        <v>201608</v>
      </c>
      <c r="F1357" s="445">
        <v>24701.26</v>
      </c>
      <c r="G1357" s="443">
        <v>8.5</v>
      </c>
      <c r="H1357" s="446">
        <v>1.3083000000000001E-3</v>
      </c>
      <c r="I1357" s="445">
        <v>274.69</v>
      </c>
      <c r="J1357" s="448">
        <v>387.8</v>
      </c>
      <c r="N1357" s="441"/>
      <c r="O1357" s="441"/>
      <c r="R1357" s="440"/>
    </row>
    <row r="1358" spans="1:18" s="439" customFormat="1">
      <c r="A1358" s="443" t="s">
        <v>318</v>
      </c>
      <c r="B1358" s="444" t="s">
        <v>844</v>
      </c>
      <c r="C1358" s="444" t="s">
        <v>329</v>
      </c>
      <c r="D1358" s="443" t="s">
        <v>845</v>
      </c>
      <c r="E1358" s="444">
        <v>201608</v>
      </c>
      <c r="F1358" s="445">
        <v>1283.8800000000001</v>
      </c>
      <c r="G1358" s="443">
        <v>8.5</v>
      </c>
      <c r="H1358" s="446">
        <v>1.3083000000000001E-3</v>
      </c>
      <c r="I1358" s="445">
        <v>14.28</v>
      </c>
      <c r="J1358" s="448">
        <v>20.16</v>
      </c>
      <c r="N1358" s="441"/>
      <c r="O1358" s="441"/>
      <c r="R1358" s="440"/>
    </row>
    <row r="1359" spans="1:18" s="439" customFormat="1">
      <c r="A1359" s="443" t="s">
        <v>318</v>
      </c>
      <c r="B1359" s="444" t="s">
        <v>678</v>
      </c>
      <c r="C1359" s="444" t="s">
        <v>330</v>
      </c>
      <c r="D1359" s="443" t="s">
        <v>679</v>
      </c>
      <c r="E1359" s="444">
        <v>201608</v>
      </c>
      <c r="F1359" s="445">
        <v>1725.71</v>
      </c>
      <c r="G1359" s="443">
        <v>8.5</v>
      </c>
      <c r="H1359" s="446">
        <v>1.3083000000000001E-3</v>
      </c>
      <c r="I1359" s="445">
        <v>19.190000000000001</v>
      </c>
      <c r="J1359" s="448">
        <v>27.09</v>
      </c>
      <c r="N1359" s="441"/>
      <c r="O1359" s="441"/>
      <c r="R1359" s="440"/>
    </row>
    <row r="1360" spans="1:18" s="439" customFormat="1">
      <c r="A1360" s="443" t="s">
        <v>318</v>
      </c>
      <c r="B1360" s="444" t="s">
        <v>678</v>
      </c>
      <c r="C1360" s="444" t="s">
        <v>330</v>
      </c>
      <c r="D1360" s="443" t="s">
        <v>679</v>
      </c>
      <c r="E1360" s="444">
        <v>201608</v>
      </c>
      <c r="F1360" s="445">
        <v>104.42</v>
      </c>
      <c r="G1360" s="443">
        <v>8.5</v>
      </c>
      <c r="H1360" s="446">
        <v>1.3083000000000001E-3</v>
      </c>
      <c r="I1360" s="445">
        <v>1.1599999999999999</v>
      </c>
      <c r="J1360" s="448">
        <v>1.64</v>
      </c>
      <c r="N1360" s="441"/>
      <c r="O1360" s="441"/>
      <c r="R1360" s="440"/>
    </row>
    <row r="1361" spans="1:18" s="439" customFormat="1">
      <c r="A1361" s="443" t="s">
        <v>318</v>
      </c>
      <c r="B1361" s="444" t="s">
        <v>862</v>
      </c>
      <c r="C1361" s="444" t="s">
        <v>330</v>
      </c>
      <c r="D1361" s="443" t="s">
        <v>863</v>
      </c>
      <c r="E1361" s="444">
        <v>201608</v>
      </c>
      <c r="F1361" s="445">
        <v>43813.87</v>
      </c>
      <c r="G1361" s="443">
        <v>8.5</v>
      </c>
      <c r="H1361" s="446">
        <v>1.3083000000000001E-3</v>
      </c>
      <c r="I1361" s="445">
        <v>487.23</v>
      </c>
      <c r="J1361" s="448">
        <v>687.86</v>
      </c>
      <c r="N1361" s="441"/>
      <c r="O1361" s="441"/>
      <c r="R1361" s="440"/>
    </row>
    <row r="1362" spans="1:18" s="439" customFormat="1">
      <c r="A1362" s="443" t="s">
        <v>318</v>
      </c>
      <c r="B1362" s="444" t="s">
        <v>862</v>
      </c>
      <c r="C1362" s="444" t="s">
        <v>330</v>
      </c>
      <c r="D1362" s="443" t="s">
        <v>863</v>
      </c>
      <c r="E1362" s="444">
        <v>201608</v>
      </c>
      <c r="F1362" s="445">
        <v>2784.7</v>
      </c>
      <c r="G1362" s="443">
        <v>8.5</v>
      </c>
      <c r="H1362" s="446">
        <v>1.3083000000000001E-3</v>
      </c>
      <c r="I1362" s="445">
        <v>30.97</v>
      </c>
      <c r="J1362" s="448">
        <v>43.72</v>
      </c>
      <c r="N1362" s="441"/>
      <c r="O1362" s="441"/>
      <c r="R1362" s="440"/>
    </row>
    <row r="1363" spans="1:18" s="439" customFormat="1">
      <c r="A1363" s="443" t="s">
        <v>318</v>
      </c>
      <c r="B1363" s="444" t="s">
        <v>680</v>
      </c>
      <c r="C1363" s="444" t="s">
        <v>330</v>
      </c>
      <c r="D1363" s="443" t="s">
        <v>681</v>
      </c>
      <c r="E1363" s="444">
        <v>201608</v>
      </c>
      <c r="F1363" s="445">
        <v>-9168.25</v>
      </c>
      <c r="G1363" s="443">
        <v>8.5</v>
      </c>
      <c r="H1363" s="446">
        <v>1.3083000000000001E-3</v>
      </c>
      <c r="I1363" s="445">
        <v>-101.96</v>
      </c>
      <c r="J1363" s="448">
        <v>-143.94</v>
      </c>
      <c r="N1363" s="441"/>
      <c r="O1363" s="441"/>
      <c r="R1363" s="440"/>
    </row>
    <row r="1364" spans="1:18" s="439" customFormat="1">
      <c r="A1364" s="443" t="s">
        <v>318</v>
      </c>
      <c r="B1364" s="444" t="s">
        <v>680</v>
      </c>
      <c r="C1364" s="444" t="s">
        <v>330</v>
      </c>
      <c r="D1364" s="443" t="s">
        <v>681</v>
      </c>
      <c r="E1364" s="444">
        <v>201608</v>
      </c>
      <c r="F1364" s="445">
        <v>-225.9</v>
      </c>
      <c r="G1364" s="443">
        <v>8.5</v>
      </c>
      <c r="H1364" s="446">
        <v>1.3083000000000001E-3</v>
      </c>
      <c r="I1364" s="445">
        <v>-2.5099999999999998</v>
      </c>
      <c r="J1364" s="448">
        <v>-3.55</v>
      </c>
      <c r="N1364" s="441"/>
      <c r="O1364" s="441"/>
      <c r="R1364" s="440"/>
    </row>
    <row r="1365" spans="1:18" s="439" customFormat="1">
      <c r="A1365" s="443" t="s">
        <v>318</v>
      </c>
      <c r="B1365" s="444" t="s">
        <v>967</v>
      </c>
      <c r="C1365" s="444" t="s">
        <v>330</v>
      </c>
      <c r="D1365" s="443" t="s">
        <v>968</v>
      </c>
      <c r="E1365" s="444">
        <v>201608</v>
      </c>
      <c r="F1365" s="445">
        <v>316092.63</v>
      </c>
      <c r="G1365" s="443">
        <v>8.5</v>
      </c>
      <c r="H1365" s="446">
        <v>1.3083000000000001E-3</v>
      </c>
      <c r="I1365" s="445">
        <v>3515.12</v>
      </c>
      <c r="J1365" s="448">
        <v>4962.53</v>
      </c>
      <c r="N1365" s="441"/>
      <c r="O1365" s="441"/>
      <c r="R1365" s="440"/>
    </row>
    <row r="1366" spans="1:18" s="439" customFormat="1">
      <c r="A1366" s="443" t="s">
        <v>318</v>
      </c>
      <c r="B1366" s="444" t="s">
        <v>967</v>
      </c>
      <c r="C1366" s="442" t="s">
        <v>330</v>
      </c>
      <c r="D1366" s="443" t="s">
        <v>968</v>
      </c>
      <c r="E1366" s="444">
        <v>201608</v>
      </c>
      <c r="F1366" s="445">
        <v>11955.7</v>
      </c>
      <c r="G1366" s="443">
        <v>8.5</v>
      </c>
      <c r="H1366" s="446">
        <v>1.3083000000000001E-3</v>
      </c>
      <c r="I1366" s="445">
        <v>132.94999999999999</v>
      </c>
      <c r="J1366" s="448">
        <v>187.7</v>
      </c>
      <c r="N1366" s="441"/>
      <c r="O1366" s="441"/>
      <c r="R1366" s="440"/>
    </row>
    <row r="1367" spans="1:18" s="439" customFormat="1">
      <c r="A1367" s="443" t="s">
        <v>318</v>
      </c>
      <c r="B1367" s="444" t="s">
        <v>682</v>
      </c>
      <c r="C1367" s="442" t="s">
        <v>330</v>
      </c>
      <c r="D1367" s="443" t="s">
        <v>683</v>
      </c>
      <c r="E1367" s="444">
        <v>201608</v>
      </c>
      <c r="F1367" s="445">
        <v>46389.02</v>
      </c>
      <c r="G1367" s="443">
        <v>8.5</v>
      </c>
      <c r="H1367" s="446">
        <v>1.3083000000000001E-3</v>
      </c>
      <c r="I1367" s="445">
        <v>515.87</v>
      </c>
      <c r="J1367" s="448">
        <v>728.29</v>
      </c>
      <c r="N1367" s="441"/>
      <c r="O1367" s="441"/>
      <c r="R1367" s="440"/>
    </row>
    <row r="1368" spans="1:18" s="439" customFormat="1">
      <c r="A1368" s="443" t="s">
        <v>318</v>
      </c>
      <c r="B1368" s="444" t="s">
        <v>682</v>
      </c>
      <c r="C1368" s="442" t="s">
        <v>330</v>
      </c>
      <c r="D1368" s="443" t="s">
        <v>683</v>
      </c>
      <c r="E1368" s="444">
        <v>201608</v>
      </c>
      <c r="F1368" s="445">
        <v>1935.18</v>
      </c>
      <c r="G1368" s="443">
        <v>8.5</v>
      </c>
      <c r="H1368" s="446">
        <v>1.3083000000000001E-3</v>
      </c>
      <c r="I1368" s="445">
        <v>21.52</v>
      </c>
      <c r="J1368" s="448">
        <v>30.38</v>
      </c>
      <c r="N1368" s="441"/>
      <c r="O1368" s="441"/>
      <c r="R1368" s="440"/>
    </row>
    <row r="1369" spans="1:18" s="439" customFormat="1">
      <c r="A1369" s="443" t="s">
        <v>318</v>
      </c>
      <c r="B1369" s="444" t="s">
        <v>641</v>
      </c>
      <c r="C1369" s="444" t="s">
        <v>330</v>
      </c>
      <c r="D1369" s="443" t="s">
        <v>642</v>
      </c>
      <c r="E1369" s="444">
        <v>201608</v>
      </c>
      <c r="F1369" s="445">
        <v>0.47</v>
      </c>
      <c r="G1369" s="443">
        <v>8.5</v>
      </c>
      <c r="H1369" s="446">
        <v>1.3083000000000001E-3</v>
      </c>
      <c r="I1369" s="445">
        <v>0.01</v>
      </c>
      <c r="J1369" s="448">
        <v>0.01</v>
      </c>
      <c r="N1369" s="441"/>
      <c r="O1369" s="441"/>
      <c r="R1369" s="440"/>
    </row>
    <row r="1370" spans="1:18" s="439" customFormat="1">
      <c r="A1370" s="443" t="s">
        <v>318</v>
      </c>
      <c r="B1370" s="444" t="s">
        <v>641</v>
      </c>
      <c r="C1370" s="444" t="s">
        <v>330</v>
      </c>
      <c r="D1370" s="443" t="s">
        <v>642</v>
      </c>
      <c r="E1370" s="444">
        <v>201608</v>
      </c>
      <c r="F1370" s="445">
        <v>0.04</v>
      </c>
      <c r="G1370" s="443">
        <v>8.5</v>
      </c>
      <c r="H1370" s="446">
        <v>1.3083000000000001E-3</v>
      </c>
      <c r="I1370" s="445">
        <v>0</v>
      </c>
      <c r="J1370" s="448">
        <v>0</v>
      </c>
      <c r="N1370" s="441"/>
      <c r="O1370" s="441"/>
      <c r="R1370" s="440"/>
    </row>
    <row r="1371" spans="1:18" s="439" customFormat="1">
      <c r="A1371" s="443" t="s">
        <v>318</v>
      </c>
      <c r="B1371" s="444" t="s">
        <v>816</v>
      </c>
      <c r="C1371" s="444" t="s">
        <v>329</v>
      </c>
      <c r="D1371" s="443" t="s">
        <v>817</v>
      </c>
      <c r="E1371" s="444">
        <v>201608</v>
      </c>
      <c r="F1371" s="445">
        <v>14699.09</v>
      </c>
      <c r="G1371" s="443">
        <v>8.5</v>
      </c>
      <c r="H1371" s="446">
        <v>1.3083000000000001E-3</v>
      </c>
      <c r="I1371" s="445">
        <v>163.46</v>
      </c>
      <c r="J1371" s="448">
        <v>230.77</v>
      </c>
      <c r="N1371" s="441"/>
      <c r="O1371" s="441"/>
      <c r="R1371" s="440"/>
    </row>
    <row r="1372" spans="1:18" s="439" customFormat="1">
      <c r="A1372" s="443" t="s">
        <v>318</v>
      </c>
      <c r="B1372" s="444" t="s">
        <v>816</v>
      </c>
      <c r="C1372" s="444" t="s">
        <v>329</v>
      </c>
      <c r="D1372" s="443" t="s">
        <v>817</v>
      </c>
      <c r="E1372" s="444">
        <v>201608</v>
      </c>
      <c r="F1372" s="445">
        <v>612.74</v>
      </c>
      <c r="G1372" s="443">
        <v>8.5</v>
      </c>
      <c r="H1372" s="446">
        <v>1.3083000000000001E-3</v>
      </c>
      <c r="I1372" s="445">
        <v>6.81</v>
      </c>
      <c r="J1372" s="448">
        <v>9.6199999999999992</v>
      </c>
      <c r="N1372" s="441"/>
      <c r="O1372" s="441"/>
      <c r="R1372" s="440"/>
    </row>
    <row r="1373" spans="1:18" s="439" customFormat="1">
      <c r="A1373" s="443" t="s">
        <v>318</v>
      </c>
      <c r="B1373" s="444" t="s">
        <v>846</v>
      </c>
      <c r="C1373" s="444" t="s">
        <v>330</v>
      </c>
      <c r="D1373" s="443" t="s">
        <v>847</v>
      </c>
      <c r="E1373" s="444">
        <v>201608</v>
      </c>
      <c r="F1373" s="445">
        <v>-12841.09</v>
      </c>
      <c r="G1373" s="443">
        <v>8.5</v>
      </c>
      <c r="H1373" s="446">
        <v>1.3083000000000001E-3</v>
      </c>
      <c r="I1373" s="445">
        <v>-142.80000000000001</v>
      </c>
      <c r="J1373" s="448">
        <v>-201.6</v>
      </c>
      <c r="N1373" s="441"/>
      <c r="O1373" s="441"/>
      <c r="R1373" s="440"/>
    </row>
    <row r="1374" spans="1:18" s="439" customFormat="1">
      <c r="A1374" s="443" t="s">
        <v>318</v>
      </c>
      <c r="B1374" s="444" t="s">
        <v>846</v>
      </c>
      <c r="C1374" s="444" t="s">
        <v>330</v>
      </c>
      <c r="D1374" s="443" t="s">
        <v>847</v>
      </c>
      <c r="E1374" s="444">
        <v>201608</v>
      </c>
      <c r="F1374" s="445">
        <v>-486.57</v>
      </c>
      <c r="G1374" s="443">
        <v>8.5</v>
      </c>
      <c r="H1374" s="446">
        <v>1.3083000000000001E-3</v>
      </c>
      <c r="I1374" s="445">
        <v>-5.41</v>
      </c>
      <c r="J1374" s="448">
        <v>-7.64</v>
      </c>
      <c r="N1374" s="441"/>
      <c r="O1374" s="441"/>
      <c r="R1374" s="440"/>
    </row>
    <row r="1375" spans="1:18" s="439" customFormat="1">
      <c r="A1375" s="443" t="s">
        <v>318</v>
      </c>
      <c r="B1375" s="444" t="s">
        <v>864</v>
      </c>
      <c r="C1375" s="444" t="s">
        <v>329</v>
      </c>
      <c r="D1375" s="443" t="s">
        <v>865</v>
      </c>
      <c r="E1375" s="444">
        <v>201608</v>
      </c>
      <c r="F1375" s="445">
        <v>3002.7</v>
      </c>
      <c r="G1375" s="443">
        <v>8.5</v>
      </c>
      <c r="H1375" s="446">
        <v>1.3083000000000001E-3</v>
      </c>
      <c r="I1375" s="445">
        <v>33.39</v>
      </c>
      <c r="J1375" s="448">
        <v>47.14</v>
      </c>
      <c r="N1375" s="441"/>
      <c r="O1375" s="441"/>
      <c r="R1375" s="440"/>
    </row>
    <row r="1376" spans="1:18" s="439" customFormat="1">
      <c r="A1376" s="443" t="s">
        <v>318</v>
      </c>
      <c r="B1376" s="444" t="s">
        <v>864</v>
      </c>
      <c r="C1376" s="444" t="s">
        <v>329</v>
      </c>
      <c r="D1376" s="443" t="s">
        <v>865</v>
      </c>
      <c r="E1376" s="444">
        <v>201608</v>
      </c>
      <c r="F1376" s="445">
        <v>193.26</v>
      </c>
      <c r="G1376" s="443">
        <v>8.5</v>
      </c>
      <c r="H1376" s="446">
        <v>1.3083000000000001E-3</v>
      </c>
      <c r="I1376" s="445">
        <v>2.15</v>
      </c>
      <c r="J1376" s="448">
        <v>3.03</v>
      </c>
      <c r="N1376" s="441"/>
      <c r="O1376" s="441"/>
      <c r="R1376" s="440"/>
    </row>
    <row r="1377" spans="1:18" s="439" customFormat="1">
      <c r="A1377" s="443" t="s">
        <v>318</v>
      </c>
      <c r="B1377" s="444" t="s">
        <v>848</v>
      </c>
      <c r="C1377" s="444" t="s">
        <v>329</v>
      </c>
      <c r="D1377" s="443" t="s">
        <v>849</v>
      </c>
      <c r="E1377" s="444">
        <v>201608</v>
      </c>
      <c r="F1377" s="445">
        <v>26661.7</v>
      </c>
      <c r="G1377" s="443">
        <v>8.5</v>
      </c>
      <c r="H1377" s="446">
        <v>1.3083000000000001E-3</v>
      </c>
      <c r="I1377" s="445">
        <v>296.49</v>
      </c>
      <c r="J1377" s="448">
        <v>418.58</v>
      </c>
      <c r="N1377" s="441"/>
      <c r="O1377" s="441"/>
      <c r="R1377" s="440"/>
    </row>
    <row r="1378" spans="1:18" s="439" customFormat="1">
      <c r="A1378" s="443" t="s">
        <v>318</v>
      </c>
      <c r="B1378" s="444" t="s">
        <v>848</v>
      </c>
      <c r="C1378" s="444" t="s">
        <v>329</v>
      </c>
      <c r="D1378" s="443" t="s">
        <v>849</v>
      </c>
      <c r="E1378" s="444">
        <v>201608</v>
      </c>
      <c r="F1378" s="445">
        <v>1274.33</v>
      </c>
      <c r="G1378" s="443">
        <v>8.5</v>
      </c>
      <c r="H1378" s="446">
        <v>1.3083000000000001E-3</v>
      </c>
      <c r="I1378" s="445">
        <v>14.17</v>
      </c>
      <c r="J1378" s="448">
        <v>20.010000000000002</v>
      </c>
      <c r="N1378" s="441"/>
      <c r="O1378" s="441"/>
      <c r="R1378" s="440"/>
    </row>
    <row r="1379" spans="1:18" s="439" customFormat="1">
      <c r="A1379" s="443" t="s">
        <v>318</v>
      </c>
      <c r="B1379" s="444" t="s">
        <v>684</v>
      </c>
      <c r="C1379" s="444" t="s">
        <v>330</v>
      </c>
      <c r="D1379" s="443" t="s">
        <v>685</v>
      </c>
      <c r="E1379" s="444">
        <v>201608</v>
      </c>
      <c r="F1379" s="445">
        <v>-2.94</v>
      </c>
      <c r="G1379" s="443">
        <v>8.5</v>
      </c>
      <c r="H1379" s="446">
        <v>1.3083000000000001E-3</v>
      </c>
      <c r="I1379" s="445">
        <v>-0.03</v>
      </c>
      <c r="J1379" s="448">
        <v>-0.05</v>
      </c>
      <c r="N1379" s="441"/>
      <c r="O1379" s="441"/>
      <c r="R1379" s="440"/>
    </row>
    <row r="1380" spans="1:18" s="439" customFormat="1">
      <c r="A1380" s="443" t="s">
        <v>318</v>
      </c>
      <c r="B1380" s="444" t="s">
        <v>684</v>
      </c>
      <c r="C1380" s="444" t="s">
        <v>330</v>
      </c>
      <c r="D1380" s="443" t="s">
        <v>685</v>
      </c>
      <c r="E1380" s="444">
        <v>201608</v>
      </c>
      <c r="F1380" s="445">
        <v>-0.05</v>
      </c>
      <c r="G1380" s="443">
        <v>8.5</v>
      </c>
      <c r="H1380" s="446">
        <v>1.3083000000000001E-3</v>
      </c>
      <c r="I1380" s="445">
        <v>0</v>
      </c>
      <c r="J1380" s="448">
        <v>0</v>
      </c>
      <c r="N1380" s="441"/>
      <c r="O1380" s="441"/>
      <c r="R1380" s="440"/>
    </row>
    <row r="1381" spans="1:18" s="439" customFormat="1">
      <c r="A1381" s="443" t="s">
        <v>318</v>
      </c>
      <c r="B1381" s="444" t="s">
        <v>866</v>
      </c>
      <c r="C1381" s="442" t="s">
        <v>329</v>
      </c>
      <c r="D1381" s="443" t="s">
        <v>867</v>
      </c>
      <c r="E1381" s="444">
        <v>201608</v>
      </c>
      <c r="F1381" s="445">
        <v>2073.0500000000002</v>
      </c>
      <c r="G1381" s="443">
        <v>8.5</v>
      </c>
      <c r="H1381" s="446">
        <v>1.3083000000000001E-3</v>
      </c>
      <c r="I1381" s="445">
        <v>23.05</v>
      </c>
      <c r="J1381" s="448">
        <v>32.549999999999997</v>
      </c>
      <c r="N1381" s="441"/>
      <c r="O1381" s="441"/>
      <c r="R1381" s="440"/>
    </row>
    <row r="1382" spans="1:18" s="439" customFormat="1">
      <c r="A1382" s="443" t="s">
        <v>318</v>
      </c>
      <c r="B1382" s="444" t="s">
        <v>866</v>
      </c>
      <c r="C1382" s="442" t="s">
        <v>329</v>
      </c>
      <c r="D1382" s="443" t="s">
        <v>867</v>
      </c>
      <c r="E1382" s="444">
        <v>201608</v>
      </c>
      <c r="F1382" s="445">
        <v>194.49</v>
      </c>
      <c r="G1382" s="443">
        <v>8.5</v>
      </c>
      <c r="H1382" s="446">
        <v>1.3083000000000001E-3</v>
      </c>
      <c r="I1382" s="445">
        <v>2.16</v>
      </c>
      <c r="J1382" s="448">
        <v>3.05</v>
      </c>
      <c r="N1382" s="441"/>
      <c r="O1382" s="441"/>
      <c r="R1382" s="440"/>
    </row>
    <row r="1383" spans="1:18" s="439" customFormat="1">
      <c r="A1383" s="443" t="s">
        <v>318</v>
      </c>
      <c r="B1383" s="444" t="s">
        <v>792</v>
      </c>
      <c r="C1383" s="444" t="s">
        <v>329</v>
      </c>
      <c r="D1383" s="443" t="s">
        <v>793</v>
      </c>
      <c r="E1383" s="444">
        <v>201608</v>
      </c>
      <c r="F1383" s="445">
        <v>19807.72</v>
      </c>
      <c r="G1383" s="443">
        <v>8.5</v>
      </c>
      <c r="H1383" s="446">
        <v>1.3083000000000001E-3</v>
      </c>
      <c r="I1383" s="445">
        <v>220.27</v>
      </c>
      <c r="J1383" s="448">
        <v>310.97000000000003</v>
      </c>
      <c r="N1383" s="441"/>
      <c r="O1383" s="441"/>
      <c r="R1383" s="440"/>
    </row>
    <row r="1384" spans="1:18" s="439" customFormat="1">
      <c r="A1384" s="443" t="s">
        <v>318</v>
      </c>
      <c r="B1384" s="444" t="s">
        <v>792</v>
      </c>
      <c r="C1384" s="444" t="s">
        <v>329</v>
      </c>
      <c r="D1384" s="443" t="s">
        <v>793</v>
      </c>
      <c r="E1384" s="444">
        <v>201608</v>
      </c>
      <c r="F1384" s="445">
        <v>4290.3100000000004</v>
      </c>
      <c r="G1384" s="443">
        <v>8.5</v>
      </c>
      <c r="H1384" s="446">
        <v>1.3083000000000001E-3</v>
      </c>
      <c r="I1384" s="445">
        <v>47.71</v>
      </c>
      <c r="J1384" s="448">
        <v>67.36</v>
      </c>
      <c r="N1384" s="441"/>
      <c r="O1384" s="441"/>
      <c r="R1384" s="440"/>
    </row>
    <row r="1385" spans="1:18" s="439" customFormat="1">
      <c r="A1385" s="443" t="s">
        <v>318</v>
      </c>
      <c r="B1385" s="444" t="s">
        <v>686</v>
      </c>
      <c r="C1385" s="444" t="s">
        <v>329</v>
      </c>
      <c r="D1385" s="443" t="s">
        <v>687</v>
      </c>
      <c r="E1385" s="444">
        <v>201608</v>
      </c>
      <c r="F1385" s="445">
        <v>9105.36</v>
      </c>
      <c r="G1385" s="443">
        <v>8.5</v>
      </c>
      <c r="H1385" s="446">
        <v>1.3083000000000001E-3</v>
      </c>
      <c r="I1385" s="445">
        <v>101.26</v>
      </c>
      <c r="J1385" s="448">
        <v>142.94999999999999</v>
      </c>
      <c r="N1385" s="441"/>
      <c r="O1385" s="441"/>
      <c r="R1385" s="440"/>
    </row>
    <row r="1386" spans="1:18" s="439" customFormat="1">
      <c r="A1386" s="443" t="s">
        <v>318</v>
      </c>
      <c r="B1386" s="444" t="s">
        <v>686</v>
      </c>
      <c r="C1386" s="444" t="s">
        <v>329</v>
      </c>
      <c r="D1386" s="443" t="s">
        <v>687</v>
      </c>
      <c r="E1386" s="444">
        <v>201608</v>
      </c>
      <c r="F1386" s="445">
        <v>672.63</v>
      </c>
      <c r="G1386" s="443">
        <v>8.5</v>
      </c>
      <c r="H1386" s="446">
        <v>1.3083000000000001E-3</v>
      </c>
      <c r="I1386" s="445">
        <v>7.48</v>
      </c>
      <c r="J1386" s="448">
        <v>10.56</v>
      </c>
      <c r="N1386" s="441"/>
      <c r="O1386" s="441"/>
      <c r="R1386" s="440"/>
    </row>
    <row r="1387" spans="1:18" s="439" customFormat="1">
      <c r="A1387" s="443" t="s">
        <v>318</v>
      </c>
      <c r="B1387" s="444" t="s">
        <v>818</v>
      </c>
      <c r="C1387" s="444" t="s">
        <v>329</v>
      </c>
      <c r="D1387" s="443" t="s">
        <v>819</v>
      </c>
      <c r="E1387" s="444">
        <v>201608</v>
      </c>
      <c r="F1387" s="445">
        <v>15640.16</v>
      </c>
      <c r="G1387" s="443">
        <v>8.5</v>
      </c>
      <c r="H1387" s="446">
        <v>1.3083000000000001E-3</v>
      </c>
      <c r="I1387" s="445">
        <v>173.93</v>
      </c>
      <c r="J1387" s="448">
        <v>245.54</v>
      </c>
      <c r="N1387" s="441"/>
      <c r="O1387" s="441"/>
      <c r="R1387" s="440"/>
    </row>
    <row r="1388" spans="1:18" s="439" customFormat="1">
      <c r="A1388" s="449" t="s">
        <v>318</v>
      </c>
      <c r="B1388" s="447" t="s">
        <v>818</v>
      </c>
      <c r="C1388" s="447" t="s">
        <v>329</v>
      </c>
      <c r="D1388" s="449" t="s">
        <v>819</v>
      </c>
      <c r="E1388" s="447">
        <v>201608</v>
      </c>
      <c r="F1388" s="450">
        <v>2580.04</v>
      </c>
      <c r="G1388" s="443">
        <v>8.5</v>
      </c>
      <c r="H1388" s="451">
        <v>1.3083000000000001E-3</v>
      </c>
      <c r="I1388" s="450">
        <v>28.69</v>
      </c>
      <c r="J1388" s="452">
        <v>40.51</v>
      </c>
      <c r="N1388" s="441"/>
      <c r="O1388" s="441"/>
      <c r="R1388" s="440"/>
    </row>
    <row r="1389" spans="1:18" s="439" customFormat="1">
      <c r="A1389" s="443" t="s">
        <v>318</v>
      </c>
      <c r="B1389" s="444" t="s">
        <v>971</v>
      </c>
      <c r="C1389" s="444" t="s">
        <v>329</v>
      </c>
      <c r="D1389" s="443" t="s">
        <v>972</v>
      </c>
      <c r="E1389" s="444">
        <v>201608</v>
      </c>
      <c r="F1389" s="445">
        <v>219564.32</v>
      </c>
      <c r="G1389" s="443">
        <v>8.5</v>
      </c>
      <c r="H1389" s="446">
        <v>1.3083000000000001E-3</v>
      </c>
      <c r="I1389" s="445">
        <v>2441.6799999999998</v>
      </c>
      <c r="J1389" s="448">
        <v>3447.07</v>
      </c>
      <c r="N1389" s="441"/>
      <c r="O1389" s="441"/>
      <c r="R1389" s="440"/>
    </row>
    <row r="1390" spans="1:18" s="439" customFormat="1">
      <c r="A1390" s="443" t="s">
        <v>318</v>
      </c>
      <c r="B1390" s="444" t="s">
        <v>971</v>
      </c>
      <c r="C1390" s="444" t="s">
        <v>329</v>
      </c>
      <c r="D1390" s="443" t="s">
        <v>972</v>
      </c>
      <c r="E1390" s="444">
        <v>201608</v>
      </c>
      <c r="F1390" s="445">
        <v>20038.29</v>
      </c>
      <c r="G1390" s="443">
        <v>8.5</v>
      </c>
      <c r="H1390" s="446">
        <v>1.3083000000000001E-3</v>
      </c>
      <c r="I1390" s="445">
        <v>222.84</v>
      </c>
      <c r="J1390" s="448">
        <v>314.58999999999997</v>
      </c>
      <c r="N1390" s="441"/>
      <c r="O1390" s="441"/>
      <c r="R1390" s="440"/>
    </row>
    <row r="1391" spans="1:18" s="439" customFormat="1">
      <c r="A1391" s="443" t="s">
        <v>318</v>
      </c>
      <c r="B1391" s="444" t="s">
        <v>820</v>
      </c>
      <c r="C1391" s="444" t="s">
        <v>329</v>
      </c>
      <c r="D1391" s="443" t="s">
        <v>821</v>
      </c>
      <c r="E1391" s="444">
        <v>201608</v>
      </c>
      <c r="F1391" s="445">
        <v>9648.3700000000008</v>
      </c>
      <c r="G1391" s="443">
        <v>8.5</v>
      </c>
      <c r="H1391" s="446">
        <v>1.3083000000000001E-3</v>
      </c>
      <c r="I1391" s="445">
        <v>107.3</v>
      </c>
      <c r="J1391" s="448">
        <v>151.47999999999999</v>
      </c>
      <c r="N1391" s="441"/>
      <c r="O1391" s="441"/>
      <c r="R1391" s="440"/>
    </row>
    <row r="1392" spans="1:18" s="439" customFormat="1">
      <c r="A1392" s="443" t="s">
        <v>318</v>
      </c>
      <c r="B1392" s="444" t="s">
        <v>820</v>
      </c>
      <c r="C1392" s="444" t="s">
        <v>329</v>
      </c>
      <c r="D1392" s="443" t="s">
        <v>821</v>
      </c>
      <c r="E1392" s="444">
        <v>201608</v>
      </c>
      <c r="F1392" s="445">
        <v>538.82000000000005</v>
      </c>
      <c r="G1392" s="443">
        <v>8.5</v>
      </c>
      <c r="H1392" s="446">
        <v>1.3083000000000001E-3</v>
      </c>
      <c r="I1392" s="445">
        <v>5.99</v>
      </c>
      <c r="J1392" s="448">
        <v>8.4600000000000009</v>
      </c>
      <c r="N1392" s="441"/>
      <c r="O1392" s="441"/>
      <c r="R1392" s="440"/>
    </row>
    <row r="1393" spans="1:18" s="439" customFormat="1">
      <c r="A1393" s="443" t="s">
        <v>322</v>
      </c>
      <c r="B1393" s="444" t="s">
        <v>688</v>
      </c>
      <c r="C1393" s="444" t="s">
        <v>329</v>
      </c>
      <c r="D1393" s="443" t="s">
        <v>689</v>
      </c>
      <c r="E1393" s="444">
        <v>201608</v>
      </c>
      <c r="F1393" s="445">
        <v>-3.95</v>
      </c>
      <c r="G1393" s="443">
        <v>8.5</v>
      </c>
      <c r="H1393" s="446">
        <v>1.1999999999999999E-3</v>
      </c>
      <c r="I1393" s="445">
        <v>-0.04</v>
      </c>
      <c r="J1393" s="448">
        <v>-0.06</v>
      </c>
      <c r="N1393" s="441"/>
      <c r="O1393" s="441"/>
      <c r="R1393" s="440"/>
    </row>
    <row r="1394" spans="1:18" s="439" customFormat="1">
      <c r="A1394" s="443" t="s">
        <v>318</v>
      </c>
      <c r="B1394" s="444" t="s">
        <v>688</v>
      </c>
      <c r="C1394" s="444" t="s">
        <v>329</v>
      </c>
      <c r="D1394" s="443" t="s">
        <v>689</v>
      </c>
      <c r="E1394" s="444">
        <v>201608</v>
      </c>
      <c r="F1394" s="445">
        <v>-220.81</v>
      </c>
      <c r="G1394" s="443">
        <v>8.5</v>
      </c>
      <c r="H1394" s="446">
        <v>1.3083000000000001E-3</v>
      </c>
      <c r="I1394" s="445">
        <v>-2.46</v>
      </c>
      <c r="J1394" s="448">
        <v>-3.47</v>
      </c>
      <c r="N1394" s="441"/>
      <c r="O1394" s="441"/>
      <c r="R1394" s="440"/>
    </row>
    <row r="1395" spans="1:18" s="439" customFormat="1">
      <c r="A1395" s="443" t="s">
        <v>318</v>
      </c>
      <c r="B1395" s="444" t="s">
        <v>688</v>
      </c>
      <c r="C1395" s="444" t="s">
        <v>329</v>
      </c>
      <c r="D1395" s="443" t="s">
        <v>689</v>
      </c>
      <c r="E1395" s="444">
        <v>201608</v>
      </c>
      <c r="F1395" s="445">
        <v>-41.75</v>
      </c>
      <c r="G1395" s="443">
        <v>8.5</v>
      </c>
      <c r="H1395" s="446">
        <v>1.3083000000000001E-3</v>
      </c>
      <c r="I1395" s="445">
        <v>-0.46</v>
      </c>
      <c r="J1395" s="448">
        <v>-0.66</v>
      </c>
      <c r="N1395" s="441"/>
      <c r="O1395" s="441"/>
      <c r="R1395" s="440"/>
    </row>
    <row r="1396" spans="1:18" s="439" customFormat="1">
      <c r="A1396" s="443" t="s">
        <v>318</v>
      </c>
      <c r="B1396" s="444" t="s">
        <v>822</v>
      </c>
      <c r="C1396" s="444" t="s">
        <v>330</v>
      </c>
      <c r="D1396" s="443" t="s">
        <v>823</v>
      </c>
      <c r="E1396" s="444">
        <v>201608</v>
      </c>
      <c r="F1396" s="445">
        <v>7983.48</v>
      </c>
      <c r="G1396" s="443">
        <v>8.5</v>
      </c>
      <c r="H1396" s="446">
        <v>1.3083000000000001E-3</v>
      </c>
      <c r="I1396" s="445">
        <v>88.78</v>
      </c>
      <c r="J1396" s="448">
        <v>125.34</v>
      </c>
      <c r="N1396" s="441"/>
      <c r="O1396" s="441"/>
      <c r="R1396" s="440"/>
    </row>
    <row r="1397" spans="1:18" s="439" customFormat="1">
      <c r="A1397" s="443" t="s">
        <v>318</v>
      </c>
      <c r="B1397" s="444" t="s">
        <v>822</v>
      </c>
      <c r="C1397" s="444" t="s">
        <v>330</v>
      </c>
      <c r="D1397" s="443" t="s">
        <v>823</v>
      </c>
      <c r="E1397" s="444">
        <v>201608</v>
      </c>
      <c r="F1397" s="445">
        <v>570.98</v>
      </c>
      <c r="G1397" s="443">
        <v>8.5</v>
      </c>
      <c r="H1397" s="446">
        <v>1.3083000000000001E-3</v>
      </c>
      <c r="I1397" s="445">
        <v>6.35</v>
      </c>
      <c r="J1397" s="448">
        <v>8.9600000000000009</v>
      </c>
      <c r="N1397" s="441"/>
      <c r="O1397" s="441"/>
      <c r="R1397" s="440"/>
    </row>
    <row r="1398" spans="1:18" s="439" customFormat="1">
      <c r="A1398" s="443" t="s">
        <v>318</v>
      </c>
      <c r="B1398" s="444" t="s">
        <v>690</v>
      </c>
      <c r="C1398" s="444" t="s">
        <v>330</v>
      </c>
      <c r="D1398" s="443" t="s">
        <v>691</v>
      </c>
      <c r="E1398" s="444">
        <v>201608</v>
      </c>
      <c r="F1398" s="445">
        <v>4043.69</v>
      </c>
      <c r="G1398" s="443">
        <v>8.5</v>
      </c>
      <c r="H1398" s="446">
        <v>1.3083000000000001E-3</v>
      </c>
      <c r="I1398" s="445">
        <v>44.97</v>
      </c>
      <c r="J1398" s="448">
        <v>63.48</v>
      </c>
      <c r="N1398" s="441"/>
      <c r="O1398" s="441"/>
      <c r="R1398" s="440"/>
    </row>
    <row r="1399" spans="1:18" s="439" customFormat="1">
      <c r="A1399" s="443" t="s">
        <v>318</v>
      </c>
      <c r="B1399" s="444" t="s">
        <v>973</v>
      </c>
      <c r="C1399" s="444" t="s">
        <v>330</v>
      </c>
      <c r="D1399" s="443" t="s">
        <v>974</v>
      </c>
      <c r="E1399" s="444">
        <v>201608</v>
      </c>
      <c r="F1399" s="445">
        <v>233509.25</v>
      </c>
      <c r="G1399" s="443">
        <v>8.5</v>
      </c>
      <c r="H1399" s="446">
        <v>1.3083000000000001E-3</v>
      </c>
      <c r="I1399" s="445">
        <v>2596.75</v>
      </c>
      <c r="J1399" s="448">
        <v>3666</v>
      </c>
      <c r="N1399" s="441"/>
      <c r="O1399" s="441"/>
      <c r="R1399" s="440"/>
    </row>
    <row r="1400" spans="1:18" s="439" customFormat="1">
      <c r="A1400" s="443" t="s">
        <v>318</v>
      </c>
      <c r="B1400" s="444" t="s">
        <v>973</v>
      </c>
      <c r="C1400" s="444" t="s">
        <v>330</v>
      </c>
      <c r="D1400" s="443" t="s">
        <v>974</v>
      </c>
      <c r="E1400" s="444">
        <v>201608</v>
      </c>
      <c r="F1400" s="445">
        <v>9093.0400000000009</v>
      </c>
      <c r="G1400" s="443">
        <v>8.5</v>
      </c>
      <c r="H1400" s="446">
        <v>1.3083000000000001E-3</v>
      </c>
      <c r="I1400" s="445">
        <v>101.12</v>
      </c>
      <c r="J1400" s="448">
        <v>142.76</v>
      </c>
      <c r="N1400" s="441"/>
      <c r="O1400" s="441"/>
      <c r="R1400" s="440"/>
    </row>
    <row r="1401" spans="1:18" s="439" customFormat="1">
      <c r="A1401" s="443" t="s">
        <v>318</v>
      </c>
      <c r="B1401" s="444" t="s">
        <v>868</v>
      </c>
      <c r="C1401" s="444" t="s">
        <v>330</v>
      </c>
      <c r="D1401" s="443" t="s">
        <v>869</v>
      </c>
      <c r="E1401" s="444">
        <v>201608</v>
      </c>
      <c r="F1401" s="445">
        <v>12277.25</v>
      </c>
      <c r="G1401" s="443">
        <v>8.5</v>
      </c>
      <c r="H1401" s="446">
        <v>1.3083000000000001E-3</v>
      </c>
      <c r="I1401" s="445">
        <v>136.53</v>
      </c>
      <c r="J1401" s="448">
        <v>192.75</v>
      </c>
      <c r="N1401" s="441"/>
      <c r="O1401" s="441"/>
      <c r="R1401" s="440"/>
    </row>
    <row r="1402" spans="1:18" s="439" customFormat="1">
      <c r="A1402" s="443" t="s">
        <v>318</v>
      </c>
      <c r="B1402" s="444" t="s">
        <v>868</v>
      </c>
      <c r="C1402" s="444" t="s">
        <v>330</v>
      </c>
      <c r="D1402" s="443" t="s">
        <v>869</v>
      </c>
      <c r="E1402" s="444">
        <v>201608</v>
      </c>
      <c r="F1402" s="445">
        <v>513.37</v>
      </c>
      <c r="G1402" s="443">
        <v>8.5</v>
      </c>
      <c r="H1402" s="446">
        <v>1.3083000000000001E-3</v>
      </c>
      <c r="I1402" s="445">
        <v>5.71</v>
      </c>
      <c r="J1402" s="448">
        <v>8.06</v>
      </c>
      <c r="N1402" s="441"/>
      <c r="O1402" s="441"/>
      <c r="R1402" s="440"/>
    </row>
    <row r="1403" spans="1:18" s="439" customFormat="1">
      <c r="A1403" s="443" t="s">
        <v>318</v>
      </c>
      <c r="B1403" s="444" t="s">
        <v>824</v>
      </c>
      <c r="C1403" s="444" t="s">
        <v>329</v>
      </c>
      <c r="D1403" s="443" t="s">
        <v>825</v>
      </c>
      <c r="E1403" s="444">
        <v>201608</v>
      </c>
      <c r="F1403" s="445">
        <v>9926.57</v>
      </c>
      <c r="G1403" s="443">
        <v>8.5</v>
      </c>
      <c r="H1403" s="446">
        <v>1.3083000000000001E-3</v>
      </c>
      <c r="I1403" s="445">
        <v>110.39</v>
      </c>
      <c r="J1403" s="448">
        <v>155.84</v>
      </c>
      <c r="N1403" s="441"/>
      <c r="O1403" s="441"/>
      <c r="R1403" s="440"/>
    </row>
    <row r="1404" spans="1:18" s="439" customFormat="1">
      <c r="A1404" s="443" t="s">
        <v>318</v>
      </c>
      <c r="B1404" s="444" t="s">
        <v>824</v>
      </c>
      <c r="C1404" s="444" t="s">
        <v>329</v>
      </c>
      <c r="D1404" s="443" t="s">
        <v>825</v>
      </c>
      <c r="E1404" s="444">
        <v>201608</v>
      </c>
      <c r="F1404" s="445">
        <v>2275.88</v>
      </c>
      <c r="G1404" s="443">
        <v>8.5</v>
      </c>
      <c r="H1404" s="446">
        <v>1.3083000000000001E-3</v>
      </c>
      <c r="I1404" s="445">
        <v>25.31</v>
      </c>
      <c r="J1404" s="448">
        <v>35.729999999999997</v>
      </c>
      <c r="N1404" s="441"/>
      <c r="O1404" s="441"/>
      <c r="R1404" s="440"/>
    </row>
    <row r="1405" spans="1:18" s="439" customFormat="1">
      <c r="A1405" s="443" t="s">
        <v>318</v>
      </c>
      <c r="B1405" s="444" t="s">
        <v>850</v>
      </c>
      <c r="C1405" s="444" t="s">
        <v>329</v>
      </c>
      <c r="D1405" s="443" t="s">
        <v>851</v>
      </c>
      <c r="E1405" s="444">
        <v>201608</v>
      </c>
      <c r="F1405" s="445">
        <v>42111.38</v>
      </c>
      <c r="G1405" s="443">
        <v>8.5</v>
      </c>
      <c r="H1405" s="446">
        <v>1.3083000000000001E-3</v>
      </c>
      <c r="I1405" s="445">
        <v>468.3</v>
      </c>
      <c r="J1405" s="448">
        <v>661.13</v>
      </c>
      <c r="N1405" s="441"/>
      <c r="O1405" s="441"/>
      <c r="R1405" s="440"/>
    </row>
    <row r="1406" spans="1:18" s="439" customFormat="1">
      <c r="A1406" s="443" t="s">
        <v>318</v>
      </c>
      <c r="B1406" s="444" t="s">
        <v>850</v>
      </c>
      <c r="C1406" s="444" t="s">
        <v>329</v>
      </c>
      <c r="D1406" s="443" t="s">
        <v>851</v>
      </c>
      <c r="E1406" s="444">
        <v>201608</v>
      </c>
      <c r="F1406" s="445">
        <v>3464.98</v>
      </c>
      <c r="G1406" s="443">
        <v>8.5</v>
      </c>
      <c r="H1406" s="446">
        <v>1.3083000000000001E-3</v>
      </c>
      <c r="I1406" s="445">
        <v>38.53</v>
      </c>
      <c r="J1406" s="448">
        <v>54.4</v>
      </c>
      <c r="N1406" s="441"/>
      <c r="O1406" s="441"/>
      <c r="R1406" s="440"/>
    </row>
    <row r="1407" spans="1:18" s="439" customFormat="1">
      <c r="A1407" s="443" t="s">
        <v>318</v>
      </c>
      <c r="B1407" s="444" t="s">
        <v>692</v>
      </c>
      <c r="C1407" s="444" t="s">
        <v>330</v>
      </c>
      <c r="D1407" s="443" t="s">
        <v>693</v>
      </c>
      <c r="E1407" s="444">
        <v>201608</v>
      </c>
      <c r="F1407" s="445">
        <v>90.79</v>
      </c>
      <c r="G1407" s="443">
        <v>8.5</v>
      </c>
      <c r="H1407" s="446">
        <v>1.3083000000000001E-3</v>
      </c>
      <c r="I1407" s="445">
        <v>1.01</v>
      </c>
      <c r="J1407" s="448">
        <v>1.43</v>
      </c>
      <c r="N1407" s="441"/>
      <c r="O1407" s="441"/>
      <c r="R1407" s="440"/>
    </row>
    <row r="1408" spans="1:18" s="439" customFormat="1">
      <c r="A1408" s="443" t="s">
        <v>318</v>
      </c>
      <c r="B1408" s="444" t="s">
        <v>692</v>
      </c>
      <c r="C1408" s="444" t="s">
        <v>330</v>
      </c>
      <c r="D1408" s="443" t="s">
        <v>693</v>
      </c>
      <c r="E1408" s="444">
        <v>201608</v>
      </c>
      <c r="F1408" s="445">
        <v>2.1800000000000002</v>
      </c>
      <c r="G1408" s="443">
        <v>8.5</v>
      </c>
      <c r="H1408" s="446">
        <v>1.3083000000000001E-3</v>
      </c>
      <c r="I1408" s="445">
        <v>0.02</v>
      </c>
      <c r="J1408" s="448">
        <v>0.03</v>
      </c>
      <c r="N1408" s="441"/>
      <c r="O1408" s="441"/>
      <c r="R1408" s="440"/>
    </row>
    <row r="1409" spans="1:18" s="439" customFormat="1">
      <c r="A1409" s="443" t="s">
        <v>318</v>
      </c>
      <c r="B1409" s="444" t="s">
        <v>694</v>
      </c>
      <c r="C1409" s="442" t="s">
        <v>330</v>
      </c>
      <c r="D1409" s="443" t="s">
        <v>695</v>
      </c>
      <c r="E1409" s="444">
        <v>201608</v>
      </c>
      <c r="F1409" s="445">
        <v>6.33</v>
      </c>
      <c r="G1409" s="443">
        <v>8.5</v>
      </c>
      <c r="H1409" s="453">
        <v>1.3083000000000001E-3</v>
      </c>
      <c r="I1409" s="445">
        <v>7.0000000000000007E-2</v>
      </c>
      <c r="J1409" s="448">
        <v>0.1</v>
      </c>
      <c r="N1409" s="441"/>
      <c r="O1409" s="441"/>
      <c r="R1409" s="440"/>
    </row>
    <row r="1410" spans="1:18" s="439" customFormat="1">
      <c r="A1410" s="443" t="s">
        <v>318</v>
      </c>
      <c r="B1410" s="444" t="s">
        <v>694</v>
      </c>
      <c r="C1410" s="442" t="s">
        <v>330</v>
      </c>
      <c r="D1410" s="443" t="s">
        <v>695</v>
      </c>
      <c r="E1410" s="444">
        <v>201608</v>
      </c>
      <c r="F1410" s="445">
        <v>0.22</v>
      </c>
      <c r="G1410" s="443">
        <v>8.5</v>
      </c>
      <c r="H1410" s="446">
        <v>1.3083000000000001E-3</v>
      </c>
      <c r="I1410" s="445">
        <v>0</v>
      </c>
      <c r="J1410" s="448">
        <v>0</v>
      </c>
      <c r="N1410" s="441"/>
      <c r="O1410" s="441"/>
      <c r="R1410" s="440"/>
    </row>
    <row r="1411" spans="1:18" s="439" customFormat="1">
      <c r="A1411" s="443" t="s">
        <v>318</v>
      </c>
      <c r="B1411" s="444" t="s">
        <v>696</v>
      </c>
      <c r="C1411" s="442" t="s">
        <v>330</v>
      </c>
      <c r="D1411" s="443" t="s">
        <v>697</v>
      </c>
      <c r="E1411" s="444">
        <v>201608</v>
      </c>
      <c r="F1411" s="445">
        <v>-2.56</v>
      </c>
      <c r="G1411" s="443">
        <v>8.5</v>
      </c>
      <c r="H1411" s="446">
        <v>1.3083000000000001E-3</v>
      </c>
      <c r="I1411" s="445">
        <v>-0.03</v>
      </c>
      <c r="J1411" s="448">
        <v>-0.04</v>
      </c>
      <c r="N1411" s="441"/>
      <c r="O1411" s="441"/>
      <c r="R1411" s="440"/>
    </row>
    <row r="1412" spans="1:18" s="439" customFormat="1">
      <c r="A1412" s="443" t="s">
        <v>318</v>
      </c>
      <c r="B1412" s="444" t="s">
        <v>696</v>
      </c>
      <c r="C1412" s="444" t="s">
        <v>330</v>
      </c>
      <c r="D1412" s="443" t="s">
        <v>697</v>
      </c>
      <c r="E1412" s="444">
        <v>201608</v>
      </c>
      <c r="F1412" s="445">
        <v>-0.25</v>
      </c>
      <c r="G1412" s="443">
        <v>8.5</v>
      </c>
      <c r="H1412" s="446">
        <v>1.3083000000000001E-3</v>
      </c>
      <c r="I1412" s="445">
        <v>0</v>
      </c>
      <c r="J1412" s="448">
        <v>0</v>
      </c>
      <c r="N1412" s="441"/>
      <c r="O1412" s="441"/>
      <c r="R1412" s="440"/>
    </row>
    <row r="1413" spans="1:18" s="439" customFormat="1">
      <c r="A1413" s="443" t="s">
        <v>318</v>
      </c>
      <c r="B1413" s="444" t="s">
        <v>698</v>
      </c>
      <c r="C1413" s="444" t="s">
        <v>330</v>
      </c>
      <c r="D1413" s="443" t="s">
        <v>699</v>
      </c>
      <c r="E1413" s="444">
        <v>201608</v>
      </c>
      <c r="F1413" s="445">
        <v>1424.89</v>
      </c>
      <c r="G1413" s="443">
        <v>8.5</v>
      </c>
      <c r="H1413" s="446">
        <v>1.3083000000000001E-3</v>
      </c>
      <c r="I1413" s="445">
        <v>15.85</v>
      </c>
      <c r="J1413" s="448">
        <v>22.37</v>
      </c>
      <c r="N1413" s="441"/>
      <c r="O1413" s="441"/>
      <c r="R1413" s="440"/>
    </row>
    <row r="1414" spans="1:18" s="439" customFormat="1">
      <c r="A1414" s="443" t="s">
        <v>318</v>
      </c>
      <c r="B1414" s="444" t="s">
        <v>700</v>
      </c>
      <c r="C1414" s="444" t="s">
        <v>330</v>
      </c>
      <c r="D1414" s="443" t="s">
        <v>701</v>
      </c>
      <c r="E1414" s="444">
        <v>201608</v>
      </c>
      <c r="F1414" s="445">
        <v>1306.69</v>
      </c>
      <c r="G1414" s="443">
        <v>8.5</v>
      </c>
      <c r="H1414" s="446">
        <v>1.3083000000000001E-3</v>
      </c>
      <c r="I1414" s="445">
        <v>14.53</v>
      </c>
      <c r="J1414" s="448">
        <v>20.51</v>
      </c>
      <c r="N1414" s="441"/>
      <c r="O1414" s="441"/>
      <c r="R1414" s="440"/>
    </row>
    <row r="1415" spans="1:18" s="439" customFormat="1">
      <c r="A1415" s="443" t="s">
        <v>318</v>
      </c>
      <c r="B1415" s="444" t="s">
        <v>700</v>
      </c>
      <c r="C1415" s="444" t="s">
        <v>330</v>
      </c>
      <c r="D1415" s="443" t="s">
        <v>701</v>
      </c>
      <c r="E1415" s="444">
        <v>201608</v>
      </c>
      <c r="F1415" s="445">
        <v>52.92</v>
      </c>
      <c r="G1415" s="443">
        <v>8.5</v>
      </c>
      <c r="H1415" s="446">
        <v>1.3083000000000001E-3</v>
      </c>
      <c r="I1415" s="445">
        <v>0.59</v>
      </c>
      <c r="J1415" s="448">
        <v>0.83</v>
      </c>
      <c r="N1415" s="441"/>
      <c r="O1415" s="441"/>
      <c r="R1415" s="440"/>
    </row>
    <row r="1416" spans="1:18" s="439" customFormat="1">
      <c r="A1416" s="443" t="s">
        <v>318</v>
      </c>
      <c r="B1416" s="444" t="s">
        <v>794</v>
      </c>
      <c r="C1416" s="444" t="s">
        <v>330</v>
      </c>
      <c r="D1416" s="443" t="s">
        <v>795</v>
      </c>
      <c r="E1416" s="444">
        <v>201608</v>
      </c>
      <c r="F1416" s="445">
        <v>2033.27</v>
      </c>
      <c r="G1416" s="443">
        <v>8.5</v>
      </c>
      <c r="H1416" s="446">
        <v>1.3083000000000001E-3</v>
      </c>
      <c r="I1416" s="445">
        <v>22.61</v>
      </c>
      <c r="J1416" s="448">
        <v>31.92</v>
      </c>
      <c r="N1416" s="441"/>
      <c r="O1416" s="441"/>
      <c r="R1416" s="440"/>
    </row>
    <row r="1417" spans="1:18" s="439" customFormat="1">
      <c r="A1417" s="443" t="s">
        <v>318</v>
      </c>
      <c r="B1417" s="444" t="s">
        <v>794</v>
      </c>
      <c r="C1417" s="444" t="s">
        <v>330</v>
      </c>
      <c r="D1417" s="443" t="s">
        <v>795</v>
      </c>
      <c r="E1417" s="444">
        <v>201608</v>
      </c>
      <c r="F1417" s="445">
        <v>43.44</v>
      </c>
      <c r="G1417" s="443">
        <v>8.5</v>
      </c>
      <c r="H1417" s="446">
        <v>1.3083000000000001E-3</v>
      </c>
      <c r="I1417" s="445">
        <v>0.48</v>
      </c>
      <c r="J1417" s="448">
        <v>0.68</v>
      </c>
      <c r="N1417" s="441"/>
      <c r="O1417" s="441"/>
      <c r="R1417" s="440"/>
    </row>
    <row r="1418" spans="1:18" s="439" customFormat="1">
      <c r="A1418" s="443" t="s">
        <v>318</v>
      </c>
      <c r="B1418" s="444" t="s">
        <v>702</v>
      </c>
      <c r="C1418" s="444" t="s">
        <v>330</v>
      </c>
      <c r="D1418" s="443" t="s">
        <v>703</v>
      </c>
      <c r="E1418" s="444">
        <v>201608</v>
      </c>
      <c r="F1418" s="445">
        <v>6.52</v>
      </c>
      <c r="G1418" s="443">
        <v>8.5</v>
      </c>
      <c r="H1418" s="446">
        <v>1.3083000000000001E-3</v>
      </c>
      <c r="I1418" s="445">
        <v>7.0000000000000007E-2</v>
      </c>
      <c r="J1418" s="448">
        <v>0.1</v>
      </c>
      <c r="N1418" s="441"/>
      <c r="O1418" s="441"/>
      <c r="R1418" s="440"/>
    </row>
    <row r="1419" spans="1:18" s="439" customFormat="1">
      <c r="A1419" s="443" t="s">
        <v>318</v>
      </c>
      <c r="B1419" s="444" t="s">
        <v>975</v>
      </c>
      <c r="C1419" s="444" t="s">
        <v>330</v>
      </c>
      <c r="D1419" s="443" t="s">
        <v>976</v>
      </c>
      <c r="E1419" s="444">
        <v>201608</v>
      </c>
      <c r="F1419" s="445">
        <v>76592.12</v>
      </c>
      <c r="G1419" s="443">
        <v>8.5</v>
      </c>
      <c r="H1419" s="446">
        <v>1.3083000000000001E-3</v>
      </c>
      <c r="I1419" s="445">
        <v>851.75</v>
      </c>
      <c r="J1419" s="448">
        <v>1202.47</v>
      </c>
      <c r="N1419" s="441"/>
      <c r="O1419" s="441"/>
      <c r="R1419" s="440"/>
    </row>
    <row r="1420" spans="1:18" s="439" customFormat="1">
      <c r="A1420" s="443" t="s">
        <v>318</v>
      </c>
      <c r="B1420" s="444" t="s">
        <v>975</v>
      </c>
      <c r="C1420" s="444" t="s">
        <v>330</v>
      </c>
      <c r="D1420" s="443" t="s">
        <v>976</v>
      </c>
      <c r="E1420" s="444">
        <v>201608</v>
      </c>
      <c r="F1420" s="445">
        <v>1108.18</v>
      </c>
      <c r="G1420" s="443">
        <v>8.5</v>
      </c>
      <c r="H1420" s="446">
        <v>1.3083000000000001E-3</v>
      </c>
      <c r="I1420" s="445">
        <v>12.32</v>
      </c>
      <c r="J1420" s="448">
        <v>17.399999999999999</v>
      </c>
      <c r="N1420" s="441"/>
      <c r="O1420" s="441"/>
      <c r="R1420" s="440"/>
    </row>
    <row r="1421" spans="1:18" s="439" customFormat="1">
      <c r="A1421" s="443" t="s">
        <v>318</v>
      </c>
      <c r="B1421" s="444" t="s">
        <v>852</v>
      </c>
      <c r="C1421" s="444" t="s">
        <v>330</v>
      </c>
      <c r="D1421" s="443" t="s">
        <v>853</v>
      </c>
      <c r="E1421" s="444">
        <v>201608</v>
      </c>
      <c r="F1421" s="445">
        <v>29558.7</v>
      </c>
      <c r="G1421" s="443">
        <v>8.5</v>
      </c>
      <c r="H1421" s="446">
        <v>1.3083000000000001E-3</v>
      </c>
      <c r="I1421" s="445">
        <v>328.71</v>
      </c>
      <c r="J1421" s="448">
        <v>464.06</v>
      </c>
      <c r="N1421" s="441"/>
      <c r="O1421" s="441"/>
      <c r="R1421" s="440"/>
    </row>
    <row r="1422" spans="1:18" s="439" customFormat="1">
      <c r="A1422" s="443" t="s">
        <v>318</v>
      </c>
      <c r="B1422" s="444" t="s">
        <v>852</v>
      </c>
      <c r="C1422" s="444" t="s">
        <v>330</v>
      </c>
      <c r="D1422" s="443" t="s">
        <v>853</v>
      </c>
      <c r="E1422" s="444">
        <v>201608</v>
      </c>
      <c r="F1422" s="445">
        <v>2010.19</v>
      </c>
      <c r="G1422" s="443">
        <v>8.5</v>
      </c>
      <c r="H1422" s="446">
        <v>1.3083000000000001E-3</v>
      </c>
      <c r="I1422" s="445">
        <v>22.35</v>
      </c>
      <c r="J1422" s="448">
        <v>31.56</v>
      </c>
      <c r="N1422" s="441"/>
      <c r="O1422" s="441"/>
      <c r="R1422" s="440"/>
    </row>
    <row r="1423" spans="1:18" s="439" customFormat="1">
      <c r="A1423" s="443" t="s">
        <v>318</v>
      </c>
      <c r="B1423" s="444" t="s">
        <v>870</v>
      </c>
      <c r="C1423" s="444" t="s">
        <v>330</v>
      </c>
      <c r="D1423" s="443" t="s">
        <v>871</v>
      </c>
      <c r="E1423" s="444">
        <v>201608</v>
      </c>
      <c r="F1423" s="445">
        <v>203.62</v>
      </c>
      <c r="G1423" s="443">
        <v>8.5</v>
      </c>
      <c r="H1423" s="446">
        <v>1.3083000000000001E-3</v>
      </c>
      <c r="I1423" s="445">
        <v>2.2599999999999998</v>
      </c>
      <c r="J1423" s="448">
        <v>3.2</v>
      </c>
      <c r="N1423" s="441"/>
      <c r="O1423" s="441"/>
      <c r="R1423" s="440"/>
    </row>
    <row r="1424" spans="1:18" s="439" customFormat="1">
      <c r="A1424" s="443" t="s">
        <v>318</v>
      </c>
      <c r="B1424" s="444" t="s">
        <v>870</v>
      </c>
      <c r="C1424" s="444" t="s">
        <v>330</v>
      </c>
      <c r="D1424" s="443" t="s">
        <v>871</v>
      </c>
      <c r="E1424" s="444">
        <v>201608</v>
      </c>
      <c r="F1424" s="445">
        <v>13.62</v>
      </c>
      <c r="G1424" s="443">
        <v>8.5</v>
      </c>
      <c r="H1424" s="446">
        <v>1.3083000000000001E-3</v>
      </c>
      <c r="I1424" s="445">
        <v>0.15</v>
      </c>
      <c r="J1424" s="448">
        <v>0.21</v>
      </c>
      <c r="N1424" s="441"/>
      <c r="O1424" s="441"/>
      <c r="R1424" s="440"/>
    </row>
    <row r="1425" spans="1:18" s="439" customFormat="1">
      <c r="A1425" s="443" t="s">
        <v>318</v>
      </c>
      <c r="B1425" s="444" t="s">
        <v>872</v>
      </c>
      <c r="C1425" s="444" t="s">
        <v>330</v>
      </c>
      <c r="D1425" s="443" t="s">
        <v>873</v>
      </c>
      <c r="E1425" s="444">
        <v>201608</v>
      </c>
      <c r="F1425" s="445">
        <v>-1773.59</v>
      </c>
      <c r="G1425" s="443">
        <v>8.5</v>
      </c>
      <c r="H1425" s="446">
        <v>1.3083000000000001E-3</v>
      </c>
      <c r="I1425" s="445">
        <v>-19.72</v>
      </c>
      <c r="J1425" s="448">
        <v>-27.84</v>
      </c>
      <c r="N1425" s="441"/>
      <c r="O1425" s="441"/>
      <c r="R1425" s="440"/>
    </row>
    <row r="1426" spans="1:18" s="439" customFormat="1">
      <c r="A1426" s="443" t="s">
        <v>318</v>
      </c>
      <c r="B1426" s="444" t="s">
        <v>872</v>
      </c>
      <c r="C1426" s="444" t="s">
        <v>330</v>
      </c>
      <c r="D1426" s="443" t="s">
        <v>873</v>
      </c>
      <c r="E1426" s="444">
        <v>201608</v>
      </c>
      <c r="F1426" s="445">
        <v>-88.68</v>
      </c>
      <c r="G1426" s="443">
        <v>8.5</v>
      </c>
      <c r="H1426" s="446">
        <v>1.3083000000000001E-3</v>
      </c>
      <c r="I1426" s="445">
        <v>-0.99</v>
      </c>
      <c r="J1426" s="448">
        <v>-1.39</v>
      </c>
      <c r="N1426" s="441"/>
      <c r="O1426" s="441"/>
      <c r="R1426" s="440"/>
    </row>
    <row r="1427" spans="1:18" s="439" customFormat="1">
      <c r="A1427" s="443" t="s">
        <v>318</v>
      </c>
      <c r="B1427" s="444" t="s">
        <v>977</v>
      </c>
      <c r="C1427" s="444" t="s">
        <v>330</v>
      </c>
      <c r="D1427" s="443" t="s">
        <v>978</v>
      </c>
      <c r="E1427" s="444">
        <v>201608</v>
      </c>
      <c r="F1427" s="445">
        <v>205789.37</v>
      </c>
      <c r="G1427" s="443">
        <v>8.5</v>
      </c>
      <c r="H1427" s="446">
        <v>1.3083000000000001E-3</v>
      </c>
      <c r="I1427" s="445">
        <v>2288.4899999999998</v>
      </c>
      <c r="J1427" s="448">
        <v>3230.81</v>
      </c>
      <c r="N1427" s="441"/>
      <c r="O1427" s="441"/>
      <c r="R1427" s="440"/>
    </row>
    <row r="1428" spans="1:18" s="439" customFormat="1">
      <c r="A1428" s="443" t="s">
        <v>318</v>
      </c>
      <c r="B1428" s="444" t="s">
        <v>977</v>
      </c>
      <c r="C1428" s="444" t="s">
        <v>330</v>
      </c>
      <c r="D1428" s="443" t="s">
        <v>978</v>
      </c>
      <c r="E1428" s="444">
        <v>201608</v>
      </c>
      <c r="F1428" s="445">
        <v>13058.33</v>
      </c>
      <c r="G1428" s="443">
        <v>8.5</v>
      </c>
      <c r="H1428" s="446">
        <v>1.3083000000000001E-3</v>
      </c>
      <c r="I1428" s="445">
        <v>145.22</v>
      </c>
      <c r="J1428" s="448">
        <v>205.01</v>
      </c>
      <c r="N1428" s="441"/>
      <c r="O1428" s="441"/>
      <c r="R1428" s="440"/>
    </row>
    <row r="1429" spans="1:18" s="439" customFormat="1">
      <c r="A1429" s="443" t="s">
        <v>318</v>
      </c>
      <c r="B1429" s="444" t="s">
        <v>826</v>
      </c>
      <c r="C1429" s="444" t="s">
        <v>330</v>
      </c>
      <c r="D1429" s="443" t="s">
        <v>827</v>
      </c>
      <c r="E1429" s="444">
        <v>201608</v>
      </c>
      <c r="F1429" s="445">
        <v>16098.66</v>
      </c>
      <c r="G1429" s="443">
        <v>8.5</v>
      </c>
      <c r="H1429" s="446">
        <v>1.3083000000000001E-3</v>
      </c>
      <c r="I1429" s="445">
        <v>179.03</v>
      </c>
      <c r="J1429" s="448">
        <v>252.74</v>
      </c>
      <c r="N1429" s="441"/>
      <c r="O1429" s="441"/>
      <c r="R1429" s="440"/>
    </row>
    <row r="1430" spans="1:18" s="439" customFormat="1">
      <c r="A1430" s="443" t="s">
        <v>318</v>
      </c>
      <c r="B1430" s="444" t="s">
        <v>826</v>
      </c>
      <c r="C1430" s="444" t="s">
        <v>330</v>
      </c>
      <c r="D1430" s="443" t="s">
        <v>827</v>
      </c>
      <c r="E1430" s="444">
        <v>201608</v>
      </c>
      <c r="F1430" s="445">
        <v>560.85</v>
      </c>
      <c r="G1430" s="443">
        <v>8.5</v>
      </c>
      <c r="H1430" s="446">
        <v>1.3083000000000001E-3</v>
      </c>
      <c r="I1430" s="445">
        <v>6.24</v>
      </c>
      <c r="J1430" s="448">
        <v>8.81</v>
      </c>
      <c r="N1430" s="441"/>
      <c r="O1430" s="441"/>
      <c r="R1430" s="440"/>
    </row>
    <row r="1431" spans="1:18" s="439" customFormat="1">
      <c r="A1431" s="443" t="s">
        <v>318</v>
      </c>
      <c r="B1431" s="444" t="s">
        <v>979</v>
      </c>
      <c r="C1431" s="444" t="s">
        <v>330</v>
      </c>
      <c r="D1431" s="443" t="s">
        <v>980</v>
      </c>
      <c r="E1431" s="444">
        <v>201608</v>
      </c>
      <c r="F1431" s="445">
        <v>78473.820000000007</v>
      </c>
      <c r="G1431" s="443">
        <v>8.5</v>
      </c>
      <c r="H1431" s="446">
        <v>1.3083000000000001E-3</v>
      </c>
      <c r="I1431" s="445">
        <v>872.67</v>
      </c>
      <c r="J1431" s="448">
        <v>1232.01</v>
      </c>
      <c r="N1431" s="441"/>
      <c r="O1431" s="441"/>
      <c r="R1431" s="440"/>
    </row>
    <row r="1432" spans="1:18" s="439" customFormat="1">
      <c r="A1432" s="443" t="s">
        <v>318</v>
      </c>
      <c r="B1432" s="444" t="s">
        <v>979</v>
      </c>
      <c r="C1432" s="444" t="s">
        <v>330</v>
      </c>
      <c r="D1432" s="443" t="s">
        <v>980</v>
      </c>
      <c r="E1432" s="444">
        <v>201608</v>
      </c>
      <c r="F1432" s="445">
        <v>3855.35</v>
      </c>
      <c r="G1432" s="443">
        <v>8.5</v>
      </c>
      <c r="H1432" s="446">
        <v>1.3083000000000001E-3</v>
      </c>
      <c r="I1432" s="445">
        <v>42.87</v>
      </c>
      <c r="J1432" s="448">
        <v>60.53</v>
      </c>
      <c r="N1432" s="441"/>
      <c r="O1432" s="441"/>
      <c r="R1432" s="440"/>
    </row>
    <row r="1433" spans="1:18" s="439" customFormat="1">
      <c r="A1433" s="443" t="s">
        <v>318</v>
      </c>
      <c r="B1433" s="444" t="s">
        <v>981</v>
      </c>
      <c r="C1433" s="444" t="s">
        <v>330</v>
      </c>
      <c r="D1433" s="443" t="s">
        <v>982</v>
      </c>
      <c r="E1433" s="444">
        <v>201608</v>
      </c>
      <c r="F1433" s="445">
        <v>127911.09</v>
      </c>
      <c r="G1433" s="443">
        <v>8.5</v>
      </c>
      <c r="H1433" s="446">
        <v>1.3083000000000001E-3</v>
      </c>
      <c r="I1433" s="445">
        <v>1422.44</v>
      </c>
      <c r="J1433" s="448">
        <v>2008.15</v>
      </c>
      <c r="N1433" s="441"/>
      <c r="O1433" s="441"/>
      <c r="R1433" s="440"/>
    </row>
    <row r="1434" spans="1:18" s="439" customFormat="1">
      <c r="A1434" s="443" t="s">
        <v>318</v>
      </c>
      <c r="B1434" s="444" t="s">
        <v>981</v>
      </c>
      <c r="C1434" s="444" t="s">
        <v>330</v>
      </c>
      <c r="D1434" s="443" t="s">
        <v>982</v>
      </c>
      <c r="E1434" s="444">
        <v>201608</v>
      </c>
      <c r="F1434" s="445">
        <v>6478.67</v>
      </c>
      <c r="G1434" s="443">
        <v>8.5</v>
      </c>
      <c r="H1434" s="446">
        <v>1.3083000000000001E-3</v>
      </c>
      <c r="I1434" s="445">
        <v>72.05</v>
      </c>
      <c r="J1434" s="448">
        <v>101.71</v>
      </c>
      <c r="N1434" s="441"/>
      <c r="O1434" s="441"/>
      <c r="R1434" s="440"/>
    </row>
    <row r="1435" spans="1:18" s="439" customFormat="1">
      <c r="A1435" s="443" t="s">
        <v>318</v>
      </c>
      <c r="B1435" s="444" t="s">
        <v>874</v>
      </c>
      <c r="C1435" s="444" t="s">
        <v>330</v>
      </c>
      <c r="D1435" s="443" t="s">
        <v>875</v>
      </c>
      <c r="E1435" s="444">
        <v>201608</v>
      </c>
      <c r="F1435" s="445">
        <v>4237.55</v>
      </c>
      <c r="G1435" s="443">
        <v>8.5</v>
      </c>
      <c r="H1435" s="446">
        <v>1.3083000000000001E-3</v>
      </c>
      <c r="I1435" s="445">
        <v>47.12</v>
      </c>
      <c r="J1435" s="448">
        <v>66.53</v>
      </c>
      <c r="N1435" s="441"/>
      <c r="O1435" s="441"/>
      <c r="R1435" s="440"/>
    </row>
    <row r="1436" spans="1:18" s="439" customFormat="1">
      <c r="A1436" s="443" t="s">
        <v>318</v>
      </c>
      <c r="B1436" s="444" t="s">
        <v>874</v>
      </c>
      <c r="C1436" s="444" t="s">
        <v>330</v>
      </c>
      <c r="D1436" s="443" t="s">
        <v>875</v>
      </c>
      <c r="E1436" s="444">
        <v>201608</v>
      </c>
      <c r="F1436" s="445">
        <v>193.85</v>
      </c>
      <c r="G1436" s="443">
        <v>8.5</v>
      </c>
      <c r="H1436" s="446">
        <v>1.3083000000000001E-3</v>
      </c>
      <c r="I1436" s="445">
        <v>2.16</v>
      </c>
      <c r="J1436" s="448">
        <v>3.04</v>
      </c>
      <c r="N1436" s="441"/>
      <c r="O1436" s="441"/>
      <c r="R1436" s="440"/>
    </row>
    <row r="1437" spans="1:18" s="439" customFormat="1">
      <c r="A1437" s="443" t="s">
        <v>318</v>
      </c>
      <c r="B1437" s="444" t="s">
        <v>983</v>
      </c>
      <c r="C1437" s="444" t="s">
        <v>330</v>
      </c>
      <c r="D1437" s="443" t="s">
        <v>984</v>
      </c>
      <c r="E1437" s="444">
        <v>201608</v>
      </c>
      <c r="F1437" s="445">
        <v>123534.32</v>
      </c>
      <c r="G1437" s="443">
        <v>8.5</v>
      </c>
      <c r="H1437" s="446">
        <v>1.3083000000000001E-3</v>
      </c>
      <c r="I1437" s="445">
        <v>1373.77</v>
      </c>
      <c r="J1437" s="448">
        <v>1939.44</v>
      </c>
      <c r="N1437" s="441"/>
      <c r="O1437" s="441"/>
      <c r="R1437" s="440"/>
    </row>
    <row r="1438" spans="1:18" s="439" customFormat="1">
      <c r="A1438" s="443" t="s">
        <v>318</v>
      </c>
      <c r="B1438" s="444" t="s">
        <v>983</v>
      </c>
      <c r="C1438" s="444" t="s">
        <v>330</v>
      </c>
      <c r="D1438" s="443" t="s">
        <v>984</v>
      </c>
      <c r="E1438" s="444">
        <v>201608</v>
      </c>
      <c r="F1438" s="445">
        <v>4421.5</v>
      </c>
      <c r="G1438" s="443">
        <v>8.5</v>
      </c>
      <c r="H1438" s="446">
        <v>1.3083000000000001E-3</v>
      </c>
      <c r="I1438" s="445">
        <v>49.17</v>
      </c>
      <c r="J1438" s="448">
        <v>69.42</v>
      </c>
      <c r="N1438" s="441"/>
      <c r="O1438" s="441"/>
      <c r="R1438" s="440"/>
    </row>
    <row r="1439" spans="1:18" s="439" customFormat="1">
      <c r="A1439" s="443" t="s">
        <v>318</v>
      </c>
      <c r="B1439" s="444" t="s">
        <v>876</v>
      </c>
      <c r="C1439" s="444" t="s">
        <v>330</v>
      </c>
      <c r="D1439" s="443" t="s">
        <v>877</v>
      </c>
      <c r="E1439" s="444">
        <v>201608</v>
      </c>
      <c r="F1439" s="445">
        <v>8457.0499999999993</v>
      </c>
      <c r="G1439" s="443">
        <v>8.5</v>
      </c>
      <c r="H1439" s="446">
        <v>1.3083000000000001E-3</v>
      </c>
      <c r="I1439" s="445">
        <v>94.05</v>
      </c>
      <c r="J1439" s="448">
        <v>132.77000000000001</v>
      </c>
      <c r="N1439" s="441"/>
      <c r="O1439" s="441"/>
      <c r="R1439" s="440"/>
    </row>
    <row r="1440" spans="1:18" s="439" customFormat="1">
      <c r="A1440" s="443" t="s">
        <v>318</v>
      </c>
      <c r="B1440" s="444" t="s">
        <v>876</v>
      </c>
      <c r="C1440" s="444" t="s">
        <v>330</v>
      </c>
      <c r="D1440" s="443" t="s">
        <v>877</v>
      </c>
      <c r="E1440" s="444">
        <v>201608</v>
      </c>
      <c r="F1440" s="445">
        <v>477.39</v>
      </c>
      <c r="G1440" s="443">
        <v>8.5</v>
      </c>
      <c r="H1440" s="446">
        <v>1.3083000000000001E-3</v>
      </c>
      <c r="I1440" s="445">
        <v>5.31</v>
      </c>
      <c r="J1440" s="448">
        <v>7.49</v>
      </c>
      <c r="N1440" s="441"/>
      <c r="O1440" s="441"/>
      <c r="R1440" s="440"/>
    </row>
    <row r="1441" spans="1:18" s="439" customFormat="1">
      <c r="A1441" s="443" t="s">
        <v>318</v>
      </c>
      <c r="B1441" s="444" t="s">
        <v>985</v>
      </c>
      <c r="C1441" s="444" t="s">
        <v>330</v>
      </c>
      <c r="D1441" s="443" t="s">
        <v>986</v>
      </c>
      <c r="E1441" s="444">
        <v>201608</v>
      </c>
      <c r="F1441" s="445">
        <v>24561.040000000001</v>
      </c>
      <c r="G1441" s="443">
        <v>8.5</v>
      </c>
      <c r="H1441" s="446">
        <v>1.3083000000000001E-3</v>
      </c>
      <c r="I1441" s="445">
        <v>273.13</v>
      </c>
      <c r="J1441" s="448">
        <v>385.6</v>
      </c>
      <c r="N1441" s="441"/>
      <c r="O1441" s="441"/>
      <c r="R1441" s="440"/>
    </row>
    <row r="1442" spans="1:18" s="439" customFormat="1">
      <c r="A1442" s="443" t="s">
        <v>318</v>
      </c>
      <c r="B1442" s="444" t="s">
        <v>985</v>
      </c>
      <c r="C1442" s="444" t="s">
        <v>330</v>
      </c>
      <c r="D1442" s="443" t="s">
        <v>986</v>
      </c>
      <c r="E1442" s="444">
        <v>201608</v>
      </c>
      <c r="F1442" s="445">
        <v>785.85</v>
      </c>
      <c r="G1442" s="443">
        <v>8.5</v>
      </c>
      <c r="H1442" s="446">
        <v>1.3083000000000001E-3</v>
      </c>
      <c r="I1442" s="445">
        <v>8.74</v>
      </c>
      <c r="J1442" s="448">
        <v>12.34</v>
      </c>
      <c r="N1442" s="441"/>
      <c r="O1442" s="441"/>
      <c r="R1442" s="440"/>
    </row>
    <row r="1443" spans="1:18" s="439" customFormat="1">
      <c r="A1443" s="443" t="s">
        <v>318</v>
      </c>
      <c r="B1443" s="444" t="s">
        <v>878</v>
      </c>
      <c r="C1443" s="444" t="s">
        <v>330</v>
      </c>
      <c r="D1443" s="443" t="s">
        <v>879</v>
      </c>
      <c r="E1443" s="444">
        <v>201608</v>
      </c>
      <c r="F1443" s="445">
        <v>4599.7299999999996</v>
      </c>
      <c r="G1443" s="443">
        <v>8.5</v>
      </c>
      <c r="H1443" s="446">
        <v>1.3083000000000001E-3</v>
      </c>
      <c r="I1443" s="445">
        <v>51.15</v>
      </c>
      <c r="J1443" s="448">
        <v>72.209999999999994</v>
      </c>
      <c r="N1443" s="441"/>
      <c r="O1443" s="441"/>
      <c r="R1443" s="440"/>
    </row>
    <row r="1444" spans="1:18" s="439" customFormat="1">
      <c r="A1444" s="443" t="s">
        <v>318</v>
      </c>
      <c r="B1444" s="444" t="s">
        <v>878</v>
      </c>
      <c r="C1444" s="444" t="s">
        <v>330</v>
      </c>
      <c r="D1444" s="443" t="s">
        <v>879</v>
      </c>
      <c r="E1444" s="444">
        <v>201608</v>
      </c>
      <c r="F1444" s="445">
        <v>227.31</v>
      </c>
      <c r="G1444" s="443">
        <v>8.5</v>
      </c>
      <c r="H1444" s="446">
        <v>1.3083000000000001E-3</v>
      </c>
      <c r="I1444" s="445">
        <v>2.5299999999999998</v>
      </c>
      <c r="J1444" s="448">
        <v>3.57</v>
      </c>
      <c r="N1444" s="441"/>
      <c r="O1444" s="441"/>
      <c r="R1444" s="440"/>
    </row>
    <row r="1445" spans="1:18" s="439" customFormat="1">
      <c r="A1445" s="443" t="s">
        <v>318</v>
      </c>
      <c r="B1445" s="444" t="s">
        <v>987</v>
      </c>
      <c r="C1445" s="444" t="s">
        <v>330</v>
      </c>
      <c r="D1445" s="443" t="s">
        <v>988</v>
      </c>
      <c r="E1445" s="444">
        <v>201608</v>
      </c>
      <c r="F1445" s="445">
        <v>69496.67</v>
      </c>
      <c r="G1445" s="443">
        <v>8.5</v>
      </c>
      <c r="H1445" s="446">
        <v>1.3083000000000001E-3</v>
      </c>
      <c r="I1445" s="445">
        <v>772.84</v>
      </c>
      <c r="J1445" s="448">
        <v>1091.07</v>
      </c>
      <c r="N1445" s="441"/>
      <c r="O1445" s="441"/>
      <c r="R1445" s="440"/>
    </row>
    <row r="1446" spans="1:18" s="439" customFormat="1">
      <c r="A1446" s="443" t="s">
        <v>318</v>
      </c>
      <c r="B1446" s="444" t="s">
        <v>987</v>
      </c>
      <c r="C1446" s="444" t="s">
        <v>330</v>
      </c>
      <c r="D1446" s="443" t="s">
        <v>988</v>
      </c>
      <c r="E1446" s="444">
        <v>201608</v>
      </c>
      <c r="F1446" s="445">
        <v>2920.47</v>
      </c>
      <c r="G1446" s="443">
        <v>8.5</v>
      </c>
      <c r="H1446" s="446">
        <v>1.3083000000000001E-3</v>
      </c>
      <c r="I1446" s="445">
        <v>32.479999999999997</v>
      </c>
      <c r="J1446" s="448">
        <v>45.85</v>
      </c>
      <c r="N1446" s="441"/>
      <c r="O1446" s="441"/>
      <c r="R1446" s="440"/>
    </row>
    <row r="1447" spans="1:18" s="439" customFormat="1">
      <c r="A1447" s="443" t="s">
        <v>318</v>
      </c>
      <c r="B1447" s="444" t="s">
        <v>989</v>
      </c>
      <c r="C1447" s="444" t="s">
        <v>330</v>
      </c>
      <c r="D1447" s="443" t="s">
        <v>990</v>
      </c>
      <c r="E1447" s="444">
        <v>201608</v>
      </c>
      <c r="F1447" s="445">
        <v>170933.73</v>
      </c>
      <c r="G1447" s="443">
        <v>8.5</v>
      </c>
      <c r="H1447" s="446">
        <v>1.3083000000000001E-3</v>
      </c>
      <c r="I1447" s="445">
        <v>1900.88</v>
      </c>
      <c r="J1447" s="448">
        <v>2683.59</v>
      </c>
      <c r="N1447" s="441"/>
      <c r="O1447" s="441"/>
      <c r="R1447" s="440"/>
    </row>
    <row r="1448" spans="1:18" s="439" customFormat="1">
      <c r="A1448" s="443" t="s">
        <v>318</v>
      </c>
      <c r="B1448" s="444" t="s">
        <v>989</v>
      </c>
      <c r="C1448" s="444" t="s">
        <v>330</v>
      </c>
      <c r="D1448" s="443" t="s">
        <v>990</v>
      </c>
      <c r="E1448" s="444">
        <v>201608</v>
      </c>
      <c r="F1448" s="445">
        <v>7006.17</v>
      </c>
      <c r="G1448" s="443">
        <v>8.5</v>
      </c>
      <c r="H1448" s="446">
        <v>1.3083000000000001E-3</v>
      </c>
      <c r="I1448" s="445">
        <v>77.91</v>
      </c>
      <c r="J1448" s="448">
        <v>109.99</v>
      </c>
      <c r="N1448" s="441"/>
      <c r="O1448" s="441"/>
      <c r="R1448" s="440"/>
    </row>
    <row r="1449" spans="1:18" s="439" customFormat="1">
      <c r="A1449" s="443" t="s">
        <v>318</v>
      </c>
      <c r="B1449" s="444" t="s">
        <v>991</v>
      </c>
      <c r="C1449" s="444" t="s">
        <v>330</v>
      </c>
      <c r="D1449" s="443" t="s">
        <v>992</v>
      </c>
      <c r="E1449" s="444">
        <v>201608</v>
      </c>
      <c r="F1449" s="445">
        <v>77956.649999999994</v>
      </c>
      <c r="G1449" s="443">
        <v>8.5</v>
      </c>
      <c r="H1449" s="446">
        <v>1.3083000000000001E-3</v>
      </c>
      <c r="I1449" s="445">
        <v>866.92</v>
      </c>
      <c r="J1449" s="448">
        <v>1223.8900000000001</v>
      </c>
      <c r="N1449" s="441"/>
      <c r="O1449" s="441"/>
      <c r="R1449" s="440"/>
    </row>
    <row r="1450" spans="1:18" s="439" customFormat="1">
      <c r="A1450" s="443" t="s">
        <v>318</v>
      </c>
      <c r="B1450" s="444" t="s">
        <v>991</v>
      </c>
      <c r="C1450" s="444" t="s">
        <v>330</v>
      </c>
      <c r="D1450" s="443" t="s">
        <v>992</v>
      </c>
      <c r="E1450" s="444">
        <v>201608</v>
      </c>
      <c r="F1450" s="445">
        <v>25774.32</v>
      </c>
      <c r="G1450" s="443">
        <v>8.5</v>
      </c>
      <c r="H1450" s="446">
        <v>1.3083000000000001E-3</v>
      </c>
      <c r="I1450" s="445">
        <v>286.62</v>
      </c>
      <c r="J1450" s="448">
        <v>404.65</v>
      </c>
      <c r="N1450" s="441"/>
      <c r="O1450" s="441"/>
      <c r="R1450" s="440"/>
    </row>
    <row r="1451" spans="1:18" s="439" customFormat="1">
      <c r="A1451" s="443" t="s">
        <v>318</v>
      </c>
      <c r="B1451" s="444" t="s">
        <v>880</v>
      </c>
      <c r="C1451" s="444" t="s">
        <v>330</v>
      </c>
      <c r="D1451" s="443" t="s">
        <v>881</v>
      </c>
      <c r="E1451" s="444">
        <v>201608</v>
      </c>
      <c r="F1451" s="445">
        <v>6559.18</v>
      </c>
      <c r="G1451" s="443">
        <v>8.5</v>
      </c>
      <c r="H1451" s="446">
        <v>1.3083000000000001E-3</v>
      </c>
      <c r="I1451" s="445">
        <v>72.94</v>
      </c>
      <c r="J1451" s="448">
        <v>102.98</v>
      </c>
      <c r="N1451" s="441"/>
      <c r="O1451" s="441"/>
      <c r="R1451" s="440"/>
    </row>
    <row r="1452" spans="1:18" s="439" customFormat="1">
      <c r="A1452" s="443" t="s">
        <v>318</v>
      </c>
      <c r="B1452" s="444" t="s">
        <v>880</v>
      </c>
      <c r="C1452" s="444" t="s">
        <v>330</v>
      </c>
      <c r="D1452" s="443" t="s">
        <v>881</v>
      </c>
      <c r="E1452" s="444">
        <v>201608</v>
      </c>
      <c r="F1452" s="445">
        <v>334.6</v>
      </c>
      <c r="G1452" s="443">
        <v>8.5</v>
      </c>
      <c r="H1452" s="446">
        <v>1.3083000000000001E-3</v>
      </c>
      <c r="I1452" s="445">
        <v>3.72</v>
      </c>
      <c r="J1452" s="448">
        <v>5.25</v>
      </c>
      <c r="N1452" s="441"/>
      <c r="O1452" s="441"/>
      <c r="R1452" s="440"/>
    </row>
    <row r="1453" spans="1:18" s="439" customFormat="1">
      <c r="A1453" s="443" t="s">
        <v>318</v>
      </c>
      <c r="B1453" s="444" t="s">
        <v>993</v>
      </c>
      <c r="C1453" s="444" t="s">
        <v>330</v>
      </c>
      <c r="D1453" s="443" t="s">
        <v>994</v>
      </c>
      <c r="E1453" s="444">
        <v>201608</v>
      </c>
      <c r="F1453" s="445">
        <v>95347.18</v>
      </c>
      <c r="G1453" s="443">
        <v>8.5</v>
      </c>
      <c r="H1453" s="446">
        <v>1.3083000000000001E-3</v>
      </c>
      <c r="I1453" s="445">
        <v>1060.31</v>
      </c>
      <c r="J1453" s="448">
        <v>1496.91</v>
      </c>
      <c r="N1453" s="441"/>
      <c r="O1453" s="441"/>
      <c r="R1453" s="440"/>
    </row>
    <row r="1454" spans="1:18" s="439" customFormat="1">
      <c r="A1454" s="443" t="s">
        <v>318</v>
      </c>
      <c r="B1454" s="444" t="s">
        <v>993</v>
      </c>
      <c r="C1454" s="444" t="s">
        <v>330</v>
      </c>
      <c r="D1454" s="443" t="s">
        <v>994</v>
      </c>
      <c r="E1454" s="444">
        <v>201608</v>
      </c>
      <c r="F1454" s="445">
        <v>4799.3599999999997</v>
      </c>
      <c r="G1454" s="443">
        <v>8.5</v>
      </c>
      <c r="H1454" s="446">
        <v>1.3083000000000001E-3</v>
      </c>
      <c r="I1454" s="445">
        <v>53.37</v>
      </c>
      <c r="J1454" s="448">
        <v>75.349999999999994</v>
      </c>
      <c r="N1454" s="441"/>
      <c r="O1454" s="441"/>
      <c r="R1454" s="440"/>
    </row>
    <row r="1455" spans="1:18" s="439" customFormat="1">
      <c r="A1455" s="443" t="s">
        <v>318</v>
      </c>
      <c r="B1455" s="444" t="s">
        <v>882</v>
      </c>
      <c r="C1455" s="444" t="s">
        <v>330</v>
      </c>
      <c r="D1455" s="443" t="s">
        <v>995</v>
      </c>
      <c r="E1455" s="444">
        <v>201608</v>
      </c>
      <c r="F1455" s="445">
        <v>2814.11</v>
      </c>
      <c r="G1455" s="443">
        <v>8.5</v>
      </c>
      <c r="H1455" s="446">
        <v>1.3083000000000001E-3</v>
      </c>
      <c r="I1455" s="445">
        <v>31.29</v>
      </c>
      <c r="J1455" s="448">
        <v>44.18</v>
      </c>
      <c r="N1455" s="441"/>
      <c r="O1455" s="441"/>
      <c r="R1455" s="440"/>
    </row>
    <row r="1456" spans="1:18" s="439" customFormat="1">
      <c r="A1456" s="443" t="s">
        <v>318</v>
      </c>
      <c r="B1456" s="444" t="s">
        <v>882</v>
      </c>
      <c r="C1456" s="444" t="s">
        <v>330</v>
      </c>
      <c r="D1456" s="443" t="s">
        <v>995</v>
      </c>
      <c r="E1456" s="444">
        <v>201608</v>
      </c>
      <c r="F1456" s="445">
        <v>107.9</v>
      </c>
      <c r="G1456" s="443">
        <v>8.5</v>
      </c>
      <c r="H1456" s="446">
        <v>1.3083000000000001E-3</v>
      </c>
      <c r="I1456" s="445">
        <v>1.2</v>
      </c>
      <c r="J1456" s="448">
        <v>1.69</v>
      </c>
      <c r="N1456" s="441"/>
      <c r="O1456" s="441"/>
      <c r="R1456" s="440"/>
    </row>
    <row r="1457" spans="1:18" s="439" customFormat="1">
      <c r="A1457" s="443" t="s">
        <v>318</v>
      </c>
      <c r="B1457" s="444" t="s">
        <v>704</v>
      </c>
      <c r="C1457" s="444" t="s">
        <v>330</v>
      </c>
      <c r="D1457" s="443" t="s">
        <v>884</v>
      </c>
      <c r="E1457" s="444">
        <v>201608</v>
      </c>
      <c r="F1457" s="445">
        <v>15.3</v>
      </c>
      <c r="G1457" s="443">
        <v>8.5</v>
      </c>
      <c r="H1457" s="446">
        <v>1.3083000000000001E-3</v>
      </c>
      <c r="I1457" s="445">
        <v>0.17</v>
      </c>
      <c r="J1457" s="448">
        <v>0.24</v>
      </c>
      <c r="N1457" s="441"/>
      <c r="O1457" s="441"/>
      <c r="R1457" s="440"/>
    </row>
    <row r="1458" spans="1:18" s="439" customFormat="1">
      <c r="A1458" s="443" t="s">
        <v>318</v>
      </c>
      <c r="B1458" s="444" t="s">
        <v>704</v>
      </c>
      <c r="C1458" s="444" t="s">
        <v>330</v>
      </c>
      <c r="D1458" s="443" t="s">
        <v>884</v>
      </c>
      <c r="E1458" s="444">
        <v>201608</v>
      </c>
      <c r="F1458" s="445">
        <v>0.85</v>
      </c>
      <c r="G1458" s="443">
        <v>8.5</v>
      </c>
      <c r="H1458" s="446">
        <v>1.3083000000000001E-3</v>
      </c>
      <c r="I1458" s="445">
        <v>0.01</v>
      </c>
      <c r="J1458" s="448">
        <v>0.01</v>
      </c>
      <c r="N1458" s="441"/>
      <c r="O1458" s="441"/>
      <c r="R1458" s="440"/>
    </row>
    <row r="1459" spans="1:18" s="439" customFormat="1">
      <c r="A1459" s="443" t="s">
        <v>318</v>
      </c>
      <c r="B1459" s="444" t="s">
        <v>996</v>
      </c>
      <c r="C1459" s="444" t="s">
        <v>330</v>
      </c>
      <c r="D1459" s="443" t="s">
        <v>997</v>
      </c>
      <c r="E1459" s="444">
        <v>201608</v>
      </c>
      <c r="F1459" s="445">
        <v>338439.81</v>
      </c>
      <c r="G1459" s="443">
        <v>8.5</v>
      </c>
      <c r="H1459" s="446">
        <v>1.3083000000000001E-3</v>
      </c>
      <c r="I1459" s="445">
        <v>3763.64</v>
      </c>
      <c r="J1459" s="448">
        <v>5313.37</v>
      </c>
      <c r="N1459" s="441"/>
      <c r="O1459" s="441"/>
      <c r="R1459" s="440"/>
    </row>
    <row r="1460" spans="1:18" s="439" customFormat="1">
      <c r="A1460" s="443" t="s">
        <v>318</v>
      </c>
      <c r="B1460" s="444" t="s">
        <v>996</v>
      </c>
      <c r="C1460" s="444" t="s">
        <v>330</v>
      </c>
      <c r="D1460" s="443" t="s">
        <v>997</v>
      </c>
      <c r="E1460" s="444">
        <v>201608</v>
      </c>
      <c r="F1460" s="445">
        <v>12211.81</v>
      </c>
      <c r="G1460" s="443">
        <v>8.5</v>
      </c>
      <c r="H1460" s="446">
        <v>1.3083000000000001E-3</v>
      </c>
      <c r="I1460" s="445">
        <v>135.80000000000001</v>
      </c>
      <c r="J1460" s="448">
        <v>191.72</v>
      </c>
      <c r="N1460" s="441"/>
      <c r="O1460" s="441"/>
      <c r="R1460" s="440"/>
    </row>
    <row r="1461" spans="1:18" s="439" customFormat="1">
      <c r="A1461" s="443" t="s">
        <v>318</v>
      </c>
      <c r="B1461" s="444" t="s">
        <v>854</v>
      </c>
      <c r="C1461" s="444" t="s">
        <v>330</v>
      </c>
      <c r="D1461" s="443" t="s">
        <v>855</v>
      </c>
      <c r="E1461" s="444">
        <v>201608</v>
      </c>
      <c r="F1461" s="445">
        <v>6683.24</v>
      </c>
      <c r="G1461" s="443">
        <v>8.5</v>
      </c>
      <c r="H1461" s="446">
        <v>1.3083000000000001E-3</v>
      </c>
      <c r="I1461" s="445">
        <v>74.319999999999993</v>
      </c>
      <c r="J1461" s="448">
        <v>104.92</v>
      </c>
      <c r="N1461" s="441"/>
      <c r="O1461" s="441"/>
      <c r="R1461" s="440"/>
    </row>
    <row r="1462" spans="1:18" s="439" customFormat="1">
      <c r="A1462" s="443" t="s">
        <v>318</v>
      </c>
      <c r="B1462" s="444" t="s">
        <v>854</v>
      </c>
      <c r="C1462" s="444" t="s">
        <v>330</v>
      </c>
      <c r="D1462" s="443" t="s">
        <v>855</v>
      </c>
      <c r="E1462" s="444">
        <v>201608</v>
      </c>
      <c r="F1462" s="445">
        <v>229.19</v>
      </c>
      <c r="G1462" s="443">
        <v>8.5</v>
      </c>
      <c r="H1462" s="446">
        <v>1.3083000000000001E-3</v>
      </c>
      <c r="I1462" s="445">
        <v>2.5499999999999998</v>
      </c>
      <c r="J1462" s="448">
        <v>3.6</v>
      </c>
      <c r="N1462" s="441"/>
      <c r="O1462" s="441"/>
      <c r="R1462" s="440"/>
    </row>
    <row r="1463" spans="1:18" s="439" customFormat="1">
      <c r="A1463" s="443" t="s">
        <v>322</v>
      </c>
      <c r="B1463" s="444" t="s">
        <v>998</v>
      </c>
      <c r="C1463" s="444" t="s">
        <v>329</v>
      </c>
      <c r="D1463" s="443" t="s">
        <v>999</v>
      </c>
      <c r="E1463" s="444">
        <v>201608</v>
      </c>
      <c r="F1463" s="445">
        <v>2942.76</v>
      </c>
      <c r="G1463" s="443">
        <v>8.5</v>
      </c>
      <c r="H1463" s="446">
        <v>1.1999999999999999E-3</v>
      </c>
      <c r="I1463" s="445">
        <v>30.02</v>
      </c>
      <c r="J1463" s="448">
        <v>42.38</v>
      </c>
      <c r="N1463" s="441"/>
      <c r="O1463" s="441"/>
      <c r="R1463" s="440"/>
    </row>
    <row r="1464" spans="1:18" s="439" customFormat="1">
      <c r="A1464" s="443" t="s">
        <v>318</v>
      </c>
      <c r="B1464" s="444" t="s">
        <v>998</v>
      </c>
      <c r="C1464" s="444" t="s">
        <v>329</v>
      </c>
      <c r="D1464" s="443" t="s">
        <v>999</v>
      </c>
      <c r="E1464" s="444">
        <v>201608</v>
      </c>
      <c r="F1464" s="445">
        <v>211119.9</v>
      </c>
      <c r="G1464" s="443">
        <v>8.5</v>
      </c>
      <c r="H1464" s="446">
        <v>1.3083000000000001E-3</v>
      </c>
      <c r="I1464" s="445">
        <v>2347.77</v>
      </c>
      <c r="J1464" s="448">
        <v>3314.5</v>
      </c>
      <c r="N1464" s="441"/>
      <c r="O1464" s="441"/>
      <c r="R1464" s="440"/>
    </row>
    <row r="1465" spans="1:18" s="439" customFormat="1">
      <c r="A1465" s="443" t="s">
        <v>318</v>
      </c>
      <c r="B1465" s="444" t="s">
        <v>998</v>
      </c>
      <c r="C1465" s="444" t="s">
        <v>329</v>
      </c>
      <c r="D1465" s="443" t="s">
        <v>999</v>
      </c>
      <c r="E1465" s="444">
        <v>201608</v>
      </c>
      <c r="F1465" s="445">
        <v>70871.740000000005</v>
      </c>
      <c r="G1465" s="443">
        <v>8.5</v>
      </c>
      <c r="H1465" s="446">
        <v>1.3083000000000001E-3</v>
      </c>
      <c r="I1465" s="445">
        <v>788.13</v>
      </c>
      <c r="J1465" s="448">
        <v>1112.6600000000001</v>
      </c>
      <c r="N1465" s="441"/>
      <c r="O1465" s="441"/>
      <c r="R1465" s="440"/>
    </row>
    <row r="1466" spans="1:18" s="439" customFormat="1">
      <c r="A1466" s="443" t="s">
        <v>318</v>
      </c>
      <c r="B1466" s="444" t="s">
        <v>885</v>
      </c>
      <c r="C1466" s="444" t="s">
        <v>414</v>
      </c>
      <c r="D1466" s="443" t="s">
        <v>886</v>
      </c>
      <c r="E1466" s="444">
        <v>201608</v>
      </c>
      <c r="F1466" s="445">
        <v>-590.45000000000005</v>
      </c>
      <c r="G1466" s="443">
        <v>8.5</v>
      </c>
      <c r="H1466" s="446">
        <v>1.3083000000000001E-3</v>
      </c>
      <c r="I1466" s="445">
        <v>-6.57</v>
      </c>
      <c r="J1466" s="448">
        <v>-9.27</v>
      </c>
      <c r="N1466" s="441"/>
      <c r="O1466" s="441"/>
      <c r="R1466" s="440"/>
    </row>
    <row r="1467" spans="1:18" s="439" customFormat="1">
      <c r="A1467" s="443" t="s">
        <v>318</v>
      </c>
      <c r="B1467" s="444" t="s">
        <v>885</v>
      </c>
      <c r="C1467" s="444" t="s">
        <v>414</v>
      </c>
      <c r="D1467" s="443" t="s">
        <v>886</v>
      </c>
      <c r="E1467" s="444">
        <v>201608</v>
      </c>
      <c r="F1467" s="445">
        <v>-170.38</v>
      </c>
      <c r="G1467" s="443">
        <v>8.5</v>
      </c>
      <c r="H1467" s="446">
        <v>1.3083000000000001E-3</v>
      </c>
      <c r="I1467" s="445">
        <v>-1.89</v>
      </c>
      <c r="J1467" s="448">
        <v>-2.67</v>
      </c>
      <c r="N1467" s="441"/>
      <c r="O1467" s="441"/>
      <c r="R1467" s="440"/>
    </row>
    <row r="1468" spans="1:18" s="439" customFormat="1">
      <c r="A1468" s="443" t="s">
        <v>318</v>
      </c>
      <c r="B1468" s="444" t="s">
        <v>887</v>
      </c>
      <c r="C1468" s="444" t="s">
        <v>330</v>
      </c>
      <c r="D1468" s="443" t="s">
        <v>888</v>
      </c>
      <c r="E1468" s="444">
        <v>201608</v>
      </c>
      <c r="F1468" s="445">
        <v>711.77</v>
      </c>
      <c r="G1468" s="443">
        <v>8.5</v>
      </c>
      <c r="H1468" s="446">
        <v>1.3083000000000001E-3</v>
      </c>
      <c r="I1468" s="445">
        <v>7.92</v>
      </c>
      <c r="J1468" s="448">
        <v>11.17</v>
      </c>
      <c r="N1468" s="441"/>
      <c r="O1468" s="441"/>
      <c r="R1468" s="440"/>
    </row>
    <row r="1469" spans="1:18" s="439" customFormat="1">
      <c r="A1469" s="443" t="s">
        <v>318</v>
      </c>
      <c r="B1469" s="444" t="s">
        <v>887</v>
      </c>
      <c r="C1469" s="444" t="s">
        <v>330</v>
      </c>
      <c r="D1469" s="443" t="s">
        <v>888</v>
      </c>
      <c r="E1469" s="444">
        <v>201608</v>
      </c>
      <c r="F1469" s="445">
        <v>32.54</v>
      </c>
      <c r="G1469" s="443">
        <v>8.5</v>
      </c>
      <c r="H1469" s="446">
        <v>1.3083000000000001E-3</v>
      </c>
      <c r="I1469" s="445">
        <v>0.36</v>
      </c>
      <c r="J1469" s="448">
        <v>0.51</v>
      </c>
      <c r="N1469" s="441"/>
      <c r="O1469" s="441"/>
      <c r="R1469" s="440"/>
    </row>
    <row r="1470" spans="1:18" s="439" customFormat="1">
      <c r="A1470" s="443" t="s">
        <v>318</v>
      </c>
      <c r="B1470" s="444" t="s">
        <v>1004</v>
      </c>
      <c r="C1470" s="444" t="s">
        <v>330</v>
      </c>
      <c r="D1470" s="443" t="s">
        <v>1005</v>
      </c>
      <c r="E1470" s="444">
        <v>201608</v>
      </c>
      <c r="F1470" s="445">
        <v>2221.5</v>
      </c>
      <c r="G1470" s="443">
        <v>8.5</v>
      </c>
      <c r="H1470" s="446">
        <v>1.3083000000000001E-3</v>
      </c>
      <c r="I1470" s="445">
        <v>24.7</v>
      </c>
      <c r="J1470" s="448">
        <v>34.880000000000003</v>
      </c>
      <c r="N1470" s="441"/>
      <c r="O1470" s="441"/>
      <c r="R1470" s="440"/>
    </row>
    <row r="1471" spans="1:18" s="439" customFormat="1">
      <c r="A1471" s="443" t="s">
        <v>318</v>
      </c>
      <c r="B1471" s="444" t="s">
        <v>1004</v>
      </c>
      <c r="C1471" s="444" t="s">
        <v>330</v>
      </c>
      <c r="D1471" s="443" t="s">
        <v>1005</v>
      </c>
      <c r="E1471" s="444">
        <v>201608</v>
      </c>
      <c r="F1471" s="445">
        <v>322.98</v>
      </c>
      <c r="G1471" s="443">
        <v>8.5</v>
      </c>
      <c r="H1471" s="446">
        <v>1.3083000000000001E-3</v>
      </c>
      <c r="I1471" s="445">
        <v>3.59</v>
      </c>
      <c r="J1471" s="448">
        <v>5.07</v>
      </c>
      <c r="N1471" s="441"/>
      <c r="O1471" s="441"/>
      <c r="R1471" s="440"/>
    </row>
    <row r="1472" spans="1:18" s="439" customFormat="1">
      <c r="A1472" s="443" t="s">
        <v>322</v>
      </c>
      <c r="B1472" s="444" t="s">
        <v>836</v>
      </c>
      <c r="C1472" s="444" t="s">
        <v>330</v>
      </c>
      <c r="D1472" s="443" t="s">
        <v>837</v>
      </c>
      <c r="E1472" s="444">
        <v>201608</v>
      </c>
      <c r="F1472" s="445">
        <v>3165.63</v>
      </c>
      <c r="G1472" s="443">
        <v>8.5</v>
      </c>
      <c r="H1472" s="446">
        <v>1.1999999999999999E-3</v>
      </c>
      <c r="I1472" s="445">
        <v>32.29</v>
      </c>
      <c r="J1472" s="448">
        <v>45.59</v>
      </c>
      <c r="N1472" s="441"/>
      <c r="O1472" s="441"/>
      <c r="R1472" s="440"/>
    </row>
    <row r="1473" spans="1:18" s="439" customFormat="1">
      <c r="A1473" s="443" t="s">
        <v>318</v>
      </c>
      <c r="B1473" s="444" t="s">
        <v>889</v>
      </c>
      <c r="C1473" s="444" t="s">
        <v>414</v>
      </c>
      <c r="D1473" s="443" t="s">
        <v>890</v>
      </c>
      <c r="E1473" s="444">
        <v>201608</v>
      </c>
      <c r="F1473" s="445">
        <v>682.63</v>
      </c>
      <c r="G1473" s="443">
        <v>8.5</v>
      </c>
      <c r="H1473" s="446">
        <v>1.3083000000000001E-3</v>
      </c>
      <c r="I1473" s="445">
        <v>7.59</v>
      </c>
      <c r="J1473" s="448">
        <v>10.72</v>
      </c>
      <c r="N1473" s="441"/>
      <c r="O1473" s="441"/>
      <c r="R1473" s="440"/>
    </row>
    <row r="1474" spans="1:18" s="439" customFormat="1">
      <c r="A1474" s="443" t="s">
        <v>318</v>
      </c>
      <c r="B1474" s="444" t="s">
        <v>889</v>
      </c>
      <c r="C1474" s="444" t="s">
        <v>414</v>
      </c>
      <c r="D1474" s="443" t="s">
        <v>890</v>
      </c>
      <c r="E1474" s="444">
        <v>201608</v>
      </c>
      <c r="F1474" s="445">
        <v>25.76</v>
      </c>
      <c r="G1474" s="443">
        <v>8.5</v>
      </c>
      <c r="H1474" s="446">
        <v>1.3083000000000001E-3</v>
      </c>
      <c r="I1474" s="445">
        <v>0.28999999999999998</v>
      </c>
      <c r="J1474" s="448">
        <v>0.4</v>
      </c>
      <c r="N1474" s="441"/>
      <c r="O1474" s="441"/>
      <c r="R1474" s="440"/>
    </row>
    <row r="1475" spans="1:18" s="439" customFormat="1">
      <c r="A1475" s="443" t="s">
        <v>318</v>
      </c>
      <c r="B1475" s="444" t="s">
        <v>1006</v>
      </c>
      <c r="C1475" s="444" t="s">
        <v>414</v>
      </c>
      <c r="D1475" s="443" t="s">
        <v>1007</v>
      </c>
      <c r="E1475" s="444">
        <v>201608</v>
      </c>
      <c r="F1475" s="445">
        <v>33139.480000000003</v>
      </c>
      <c r="G1475" s="443">
        <v>8.5</v>
      </c>
      <c r="H1475" s="446">
        <v>1.3083000000000001E-3</v>
      </c>
      <c r="I1475" s="445">
        <v>368.53</v>
      </c>
      <c r="J1475" s="448">
        <v>520.28</v>
      </c>
      <c r="N1475" s="441"/>
      <c r="O1475" s="441"/>
      <c r="R1475" s="440"/>
    </row>
    <row r="1476" spans="1:18" s="439" customFormat="1">
      <c r="A1476" s="443" t="s">
        <v>318</v>
      </c>
      <c r="B1476" s="444" t="s">
        <v>1006</v>
      </c>
      <c r="C1476" s="444" t="s">
        <v>414</v>
      </c>
      <c r="D1476" s="443" t="s">
        <v>1007</v>
      </c>
      <c r="E1476" s="444">
        <v>201608</v>
      </c>
      <c r="F1476" s="445">
        <v>470.32</v>
      </c>
      <c r="G1476" s="443">
        <v>8.5</v>
      </c>
      <c r="H1476" s="446">
        <v>1.3083000000000001E-3</v>
      </c>
      <c r="I1476" s="445">
        <v>5.23</v>
      </c>
      <c r="J1476" s="448">
        <v>7.38</v>
      </c>
      <c r="N1476" s="441"/>
      <c r="O1476" s="441"/>
      <c r="R1476" s="440"/>
    </row>
    <row r="1477" spans="1:18" s="439" customFormat="1">
      <c r="A1477" s="443" t="s">
        <v>318</v>
      </c>
      <c r="B1477" s="444" t="s">
        <v>627</v>
      </c>
      <c r="C1477" s="444" t="s">
        <v>330</v>
      </c>
      <c r="D1477" s="443" t="s">
        <v>628</v>
      </c>
      <c r="E1477" s="444">
        <v>201609</v>
      </c>
      <c r="F1477" s="445">
        <v>248.97</v>
      </c>
      <c r="G1477" s="443">
        <v>7.5</v>
      </c>
      <c r="H1477" s="446">
        <v>1.3083000000000001E-3</v>
      </c>
      <c r="I1477" s="445">
        <v>2.44</v>
      </c>
      <c r="J1477" s="448">
        <v>3.91</v>
      </c>
      <c r="N1477" s="441"/>
      <c r="O1477" s="441"/>
      <c r="R1477" s="440"/>
    </row>
    <row r="1478" spans="1:18" s="439" customFormat="1">
      <c r="A1478" s="443" t="s">
        <v>318</v>
      </c>
      <c r="B1478" s="444" t="s">
        <v>320</v>
      </c>
      <c r="C1478" s="444" t="s">
        <v>319</v>
      </c>
      <c r="D1478" s="443" t="s">
        <v>321</v>
      </c>
      <c r="E1478" s="444">
        <v>201609</v>
      </c>
      <c r="F1478" s="445">
        <v>-1682.74</v>
      </c>
      <c r="G1478" s="443">
        <v>7.5</v>
      </c>
      <c r="H1478" s="446">
        <v>1.3083000000000001E-3</v>
      </c>
      <c r="I1478" s="445">
        <v>-16.510000000000002</v>
      </c>
      <c r="J1478" s="448">
        <v>-26.42</v>
      </c>
      <c r="N1478" s="441"/>
      <c r="O1478" s="441"/>
      <c r="R1478" s="440"/>
    </row>
    <row r="1479" spans="1:18" s="439" customFormat="1">
      <c r="A1479" s="443" t="s">
        <v>318</v>
      </c>
      <c r="B1479" s="444" t="s">
        <v>323</v>
      </c>
      <c r="C1479" s="444" t="s">
        <v>319</v>
      </c>
      <c r="D1479" s="443" t="s">
        <v>324</v>
      </c>
      <c r="E1479" s="444">
        <v>201609</v>
      </c>
      <c r="F1479" s="445">
        <v>2221.11</v>
      </c>
      <c r="G1479" s="443">
        <v>7.5</v>
      </c>
      <c r="H1479" s="446">
        <v>1.3083000000000001E-3</v>
      </c>
      <c r="I1479" s="445">
        <v>21.79</v>
      </c>
      <c r="J1479" s="448">
        <v>34.869999999999997</v>
      </c>
      <c r="N1479" s="441"/>
      <c r="O1479" s="441"/>
      <c r="R1479" s="440"/>
    </row>
    <row r="1480" spans="1:18" s="439" customFormat="1">
      <c r="A1480" s="443" t="s">
        <v>322</v>
      </c>
      <c r="B1480" s="444" t="s">
        <v>325</v>
      </c>
      <c r="C1480" s="444" t="s">
        <v>319</v>
      </c>
      <c r="D1480" s="443" t="s">
        <v>326</v>
      </c>
      <c r="E1480" s="444">
        <v>201609</v>
      </c>
      <c r="F1480" s="445">
        <v>3332.58</v>
      </c>
      <c r="G1480" s="443">
        <v>7.5</v>
      </c>
      <c r="H1480" s="446">
        <v>1.1999999999999999E-3</v>
      </c>
      <c r="I1480" s="445">
        <v>29.99</v>
      </c>
      <c r="J1480" s="448">
        <v>47.99</v>
      </c>
      <c r="N1480" s="441"/>
      <c r="O1480" s="441"/>
      <c r="R1480" s="440"/>
    </row>
    <row r="1481" spans="1:18" s="439" customFormat="1">
      <c r="A1481" s="443" t="s">
        <v>318</v>
      </c>
      <c r="B1481" s="444" t="s">
        <v>327</v>
      </c>
      <c r="C1481" s="444" t="s">
        <v>319</v>
      </c>
      <c r="D1481" s="443" t="s">
        <v>328</v>
      </c>
      <c r="E1481" s="444">
        <v>201609</v>
      </c>
      <c r="F1481" s="445">
        <v>17696.5</v>
      </c>
      <c r="G1481" s="443">
        <v>7.5</v>
      </c>
      <c r="H1481" s="446">
        <v>1.3083000000000001E-3</v>
      </c>
      <c r="I1481" s="445">
        <v>173.64</v>
      </c>
      <c r="J1481" s="448">
        <v>277.83</v>
      </c>
      <c r="N1481" s="441"/>
      <c r="O1481" s="441"/>
      <c r="R1481" s="440"/>
    </row>
    <row r="1482" spans="1:18" s="439" customFormat="1">
      <c r="A1482" s="443" t="s">
        <v>318</v>
      </c>
      <c r="B1482" s="444" t="s">
        <v>546</v>
      </c>
      <c r="C1482" s="444" t="s">
        <v>330</v>
      </c>
      <c r="D1482" s="443" t="s">
        <v>547</v>
      </c>
      <c r="E1482" s="444">
        <v>201609</v>
      </c>
      <c r="F1482" s="445">
        <v>0.64</v>
      </c>
      <c r="G1482" s="443">
        <v>7.5</v>
      </c>
      <c r="H1482" s="446">
        <v>1.3083000000000001E-3</v>
      </c>
      <c r="I1482" s="445">
        <v>0.01</v>
      </c>
      <c r="J1482" s="448">
        <v>0.01</v>
      </c>
      <c r="N1482" s="441"/>
      <c r="O1482" s="441"/>
      <c r="R1482" s="440"/>
    </row>
    <row r="1483" spans="1:18" s="439" customFormat="1">
      <c r="A1483" s="443" t="s">
        <v>318</v>
      </c>
      <c r="B1483" s="444" t="s">
        <v>589</v>
      </c>
      <c r="C1483" s="444" t="s">
        <v>330</v>
      </c>
      <c r="D1483" s="443" t="s">
        <v>590</v>
      </c>
      <c r="E1483" s="444">
        <v>201609</v>
      </c>
      <c r="F1483" s="445">
        <v>0.92</v>
      </c>
      <c r="G1483" s="443">
        <v>7.5</v>
      </c>
      <c r="H1483" s="446">
        <v>1.3083000000000001E-3</v>
      </c>
      <c r="I1483" s="445">
        <v>0.01</v>
      </c>
      <c r="J1483" s="448">
        <v>0.01</v>
      </c>
      <c r="N1483" s="441"/>
      <c r="O1483" s="441"/>
      <c r="R1483" s="440"/>
    </row>
    <row r="1484" spans="1:18" s="439" customFormat="1">
      <c r="A1484" s="443" t="s">
        <v>318</v>
      </c>
      <c r="B1484" s="444" t="s">
        <v>589</v>
      </c>
      <c r="C1484" s="444" t="s">
        <v>330</v>
      </c>
      <c r="D1484" s="443" t="s">
        <v>590</v>
      </c>
      <c r="E1484" s="444">
        <v>201609</v>
      </c>
      <c r="F1484" s="445">
        <v>29.4</v>
      </c>
      <c r="G1484" s="443">
        <v>7.5</v>
      </c>
      <c r="H1484" s="446">
        <v>1.3083000000000001E-3</v>
      </c>
      <c r="I1484" s="445">
        <v>0.28999999999999998</v>
      </c>
      <c r="J1484" s="448">
        <v>0.46</v>
      </c>
      <c r="N1484" s="441"/>
      <c r="O1484" s="441"/>
      <c r="R1484" s="440"/>
    </row>
    <row r="1485" spans="1:18" s="439" customFormat="1">
      <c r="A1485" s="443" t="s">
        <v>318</v>
      </c>
      <c r="B1485" s="444" t="s">
        <v>941</v>
      </c>
      <c r="C1485" s="444" t="s">
        <v>330</v>
      </c>
      <c r="D1485" s="443" t="s">
        <v>942</v>
      </c>
      <c r="E1485" s="444">
        <v>201609</v>
      </c>
      <c r="F1485" s="445">
        <v>1124.18</v>
      </c>
      <c r="G1485" s="443">
        <v>7.5</v>
      </c>
      <c r="H1485" s="446">
        <v>1.3083000000000001E-3</v>
      </c>
      <c r="I1485" s="445">
        <v>11.03</v>
      </c>
      <c r="J1485" s="448">
        <v>17.649999999999999</v>
      </c>
      <c r="N1485" s="441"/>
      <c r="O1485" s="441"/>
      <c r="R1485" s="440"/>
    </row>
    <row r="1486" spans="1:18" s="439" customFormat="1">
      <c r="A1486" s="443" t="s">
        <v>318</v>
      </c>
      <c r="B1486" s="444" t="s">
        <v>941</v>
      </c>
      <c r="C1486" s="444" t="s">
        <v>330</v>
      </c>
      <c r="D1486" s="443" t="s">
        <v>942</v>
      </c>
      <c r="E1486" s="444">
        <v>201609</v>
      </c>
      <c r="F1486" s="445">
        <v>16070.34</v>
      </c>
      <c r="G1486" s="443">
        <v>7.5</v>
      </c>
      <c r="H1486" s="446">
        <v>1.3083000000000001E-3</v>
      </c>
      <c r="I1486" s="445">
        <v>157.69</v>
      </c>
      <c r="J1486" s="448">
        <v>252.3</v>
      </c>
      <c r="N1486" s="441"/>
      <c r="O1486" s="441"/>
      <c r="R1486" s="440"/>
    </row>
    <row r="1487" spans="1:18" s="439" customFormat="1">
      <c r="A1487" s="443" t="s">
        <v>322</v>
      </c>
      <c r="B1487" s="444" t="s">
        <v>643</v>
      </c>
      <c r="C1487" s="444" t="s">
        <v>330</v>
      </c>
      <c r="D1487" s="443" t="s">
        <v>644</v>
      </c>
      <c r="E1487" s="444">
        <v>201609</v>
      </c>
      <c r="F1487" s="445">
        <v>16.149999999999999</v>
      </c>
      <c r="G1487" s="443">
        <v>7.5</v>
      </c>
      <c r="H1487" s="446">
        <v>1.1999999999999999E-3</v>
      </c>
      <c r="I1487" s="445">
        <v>0.15</v>
      </c>
      <c r="J1487" s="448">
        <v>0.23</v>
      </c>
      <c r="N1487" s="441"/>
      <c r="O1487" s="441"/>
      <c r="R1487" s="440"/>
    </row>
    <row r="1488" spans="1:18" s="439" customFormat="1">
      <c r="A1488" s="443" t="s">
        <v>318</v>
      </c>
      <c r="B1488" s="444" t="s">
        <v>643</v>
      </c>
      <c r="C1488" s="444" t="s">
        <v>330</v>
      </c>
      <c r="D1488" s="443" t="s">
        <v>644</v>
      </c>
      <c r="E1488" s="444">
        <v>201609</v>
      </c>
      <c r="F1488" s="445">
        <v>77.53</v>
      </c>
      <c r="G1488" s="443">
        <v>7.5</v>
      </c>
      <c r="H1488" s="446">
        <v>1.3083000000000001E-3</v>
      </c>
      <c r="I1488" s="445">
        <v>0.76</v>
      </c>
      <c r="J1488" s="448">
        <v>1.22</v>
      </c>
      <c r="N1488" s="441"/>
      <c r="O1488" s="441"/>
      <c r="R1488" s="440"/>
    </row>
    <row r="1489" spans="1:18" s="439" customFormat="1">
      <c r="A1489" s="443" t="s">
        <v>318</v>
      </c>
      <c r="B1489" s="444" t="s">
        <v>643</v>
      </c>
      <c r="C1489" s="444" t="s">
        <v>330</v>
      </c>
      <c r="D1489" s="443" t="s">
        <v>644</v>
      </c>
      <c r="E1489" s="444">
        <v>201609</v>
      </c>
      <c r="F1489" s="445">
        <v>1108.26</v>
      </c>
      <c r="G1489" s="443">
        <v>7.5</v>
      </c>
      <c r="H1489" s="446">
        <v>1.3083000000000001E-3</v>
      </c>
      <c r="I1489" s="445">
        <v>10.87</v>
      </c>
      <c r="J1489" s="448">
        <v>17.399999999999999</v>
      </c>
      <c r="N1489" s="441"/>
      <c r="O1489" s="441"/>
      <c r="R1489" s="440"/>
    </row>
    <row r="1490" spans="1:18" s="439" customFormat="1">
      <c r="A1490" s="443" t="s">
        <v>318</v>
      </c>
      <c r="B1490" s="444" t="s">
        <v>553</v>
      </c>
      <c r="C1490" s="444" t="s">
        <v>330</v>
      </c>
      <c r="D1490" s="443" t="s">
        <v>552</v>
      </c>
      <c r="E1490" s="444">
        <v>201609</v>
      </c>
      <c r="F1490" s="445">
        <v>-25.06</v>
      </c>
      <c r="G1490" s="443">
        <v>7.5</v>
      </c>
      <c r="H1490" s="446">
        <v>1.3083000000000001E-3</v>
      </c>
      <c r="I1490" s="445">
        <v>-0.25</v>
      </c>
      <c r="J1490" s="448">
        <v>-0.39</v>
      </c>
      <c r="N1490" s="441"/>
      <c r="O1490" s="441"/>
      <c r="R1490" s="440"/>
    </row>
    <row r="1491" spans="1:18" s="439" customFormat="1">
      <c r="A1491" s="443" t="s">
        <v>318</v>
      </c>
      <c r="B1491" s="444" t="s">
        <v>553</v>
      </c>
      <c r="C1491" s="444" t="s">
        <v>330</v>
      </c>
      <c r="D1491" s="443" t="s">
        <v>552</v>
      </c>
      <c r="E1491" s="444">
        <v>201609</v>
      </c>
      <c r="F1491" s="445">
        <v>-14.68</v>
      </c>
      <c r="G1491" s="443">
        <v>7.5</v>
      </c>
      <c r="H1491" s="446">
        <v>1.3083000000000001E-3</v>
      </c>
      <c r="I1491" s="445">
        <v>-0.14000000000000001</v>
      </c>
      <c r="J1491" s="448">
        <v>-0.23</v>
      </c>
      <c r="N1491" s="441"/>
      <c r="O1491" s="441"/>
      <c r="R1491" s="440"/>
    </row>
    <row r="1492" spans="1:18" s="439" customFormat="1">
      <c r="A1492" s="443" t="s">
        <v>322</v>
      </c>
      <c r="B1492" s="444" t="s">
        <v>856</v>
      </c>
      <c r="C1492" s="444" t="s">
        <v>330</v>
      </c>
      <c r="D1492" s="443" t="s">
        <v>857</v>
      </c>
      <c r="E1492" s="444">
        <v>201609</v>
      </c>
      <c r="F1492" s="445">
        <v>127.6</v>
      </c>
      <c r="G1492" s="443">
        <v>7.5</v>
      </c>
      <c r="H1492" s="446">
        <v>1.1999999999999999E-3</v>
      </c>
      <c r="I1492" s="445">
        <v>1.1499999999999999</v>
      </c>
      <c r="J1492" s="448">
        <v>1.84</v>
      </c>
      <c r="N1492" s="441"/>
      <c r="O1492" s="441"/>
      <c r="R1492" s="440"/>
    </row>
    <row r="1493" spans="1:18" s="439" customFormat="1">
      <c r="A1493" s="443" t="s">
        <v>318</v>
      </c>
      <c r="B1493" s="444" t="s">
        <v>856</v>
      </c>
      <c r="C1493" s="444" t="s">
        <v>330</v>
      </c>
      <c r="D1493" s="443" t="s">
        <v>857</v>
      </c>
      <c r="E1493" s="444">
        <v>201609</v>
      </c>
      <c r="F1493" s="445">
        <v>597.74</v>
      </c>
      <c r="G1493" s="443">
        <v>7.5</v>
      </c>
      <c r="H1493" s="446">
        <v>1.3083000000000001E-3</v>
      </c>
      <c r="I1493" s="445">
        <v>5.87</v>
      </c>
      <c r="J1493" s="448">
        <v>9.3800000000000008</v>
      </c>
      <c r="N1493" s="441"/>
      <c r="O1493" s="441"/>
      <c r="R1493" s="440"/>
    </row>
    <row r="1494" spans="1:18" s="439" customFormat="1">
      <c r="A1494" s="443" t="s">
        <v>318</v>
      </c>
      <c r="B1494" s="444" t="s">
        <v>856</v>
      </c>
      <c r="C1494" s="444" t="s">
        <v>330</v>
      </c>
      <c r="D1494" s="443" t="s">
        <v>857</v>
      </c>
      <c r="E1494" s="444">
        <v>201609</v>
      </c>
      <c r="F1494" s="445">
        <v>13959.74</v>
      </c>
      <c r="G1494" s="443">
        <v>7.5</v>
      </c>
      <c r="H1494" s="446">
        <v>1.3083000000000001E-3</v>
      </c>
      <c r="I1494" s="445">
        <v>136.97999999999999</v>
      </c>
      <c r="J1494" s="448">
        <v>219.16</v>
      </c>
      <c r="N1494" s="441"/>
      <c r="O1494" s="441"/>
      <c r="R1494" s="440"/>
    </row>
    <row r="1495" spans="1:18" s="439" customFormat="1">
      <c r="A1495" s="443" t="s">
        <v>318</v>
      </c>
      <c r="B1495" s="444" t="s">
        <v>800</v>
      </c>
      <c r="C1495" s="444" t="s">
        <v>330</v>
      </c>
      <c r="D1495" s="443" t="s">
        <v>830</v>
      </c>
      <c r="E1495" s="444">
        <v>201609</v>
      </c>
      <c r="F1495" s="445">
        <v>540.04999999999995</v>
      </c>
      <c r="G1495" s="443">
        <v>7.5</v>
      </c>
      <c r="H1495" s="446">
        <v>1.3083000000000001E-3</v>
      </c>
      <c r="I1495" s="445">
        <v>5.3</v>
      </c>
      <c r="J1495" s="448">
        <v>8.48</v>
      </c>
      <c r="N1495" s="441"/>
      <c r="O1495" s="441"/>
      <c r="R1495" s="440"/>
    </row>
    <row r="1496" spans="1:18" s="439" customFormat="1">
      <c r="A1496" s="443" t="s">
        <v>318</v>
      </c>
      <c r="B1496" s="444" t="s">
        <v>800</v>
      </c>
      <c r="C1496" s="444" t="s">
        <v>330</v>
      </c>
      <c r="D1496" s="443" t="s">
        <v>830</v>
      </c>
      <c r="E1496" s="444">
        <v>201609</v>
      </c>
      <c r="F1496" s="445">
        <v>9634.81</v>
      </c>
      <c r="G1496" s="443">
        <v>7.5</v>
      </c>
      <c r="H1496" s="446">
        <v>1.3083000000000001E-3</v>
      </c>
      <c r="I1496" s="445">
        <v>94.54</v>
      </c>
      <c r="J1496" s="448">
        <v>151.26</v>
      </c>
      <c r="N1496" s="441"/>
      <c r="O1496" s="441"/>
      <c r="R1496" s="440"/>
    </row>
    <row r="1497" spans="1:18" s="439" customFormat="1">
      <c r="A1497" s="443" t="s">
        <v>318</v>
      </c>
      <c r="B1497" s="444" t="s">
        <v>451</v>
      </c>
      <c r="C1497" s="444" t="s">
        <v>330</v>
      </c>
      <c r="D1497" s="443" t="s">
        <v>452</v>
      </c>
      <c r="E1497" s="444">
        <v>201609</v>
      </c>
      <c r="F1497" s="445">
        <v>0.04</v>
      </c>
      <c r="G1497" s="443">
        <v>7.5</v>
      </c>
      <c r="H1497" s="446">
        <v>1.3083000000000001E-3</v>
      </c>
      <c r="I1497" s="445">
        <v>0</v>
      </c>
      <c r="J1497" s="448">
        <v>0</v>
      </c>
      <c r="N1497" s="441"/>
      <c r="O1497" s="441"/>
      <c r="R1497" s="440"/>
    </row>
    <row r="1498" spans="1:18" s="439" customFormat="1">
      <c r="A1498" s="443" t="s">
        <v>318</v>
      </c>
      <c r="B1498" s="444" t="s">
        <v>451</v>
      </c>
      <c r="C1498" s="444" t="s">
        <v>330</v>
      </c>
      <c r="D1498" s="443" t="s">
        <v>452</v>
      </c>
      <c r="E1498" s="444">
        <v>201609</v>
      </c>
      <c r="F1498" s="445">
        <v>1.25</v>
      </c>
      <c r="G1498" s="443">
        <v>7.5</v>
      </c>
      <c r="H1498" s="446">
        <v>1.3083000000000001E-3</v>
      </c>
      <c r="I1498" s="445">
        <v>0.01</v>
      </c>
      <c r="J1498" s="448">
        <v>0.02</v>
      </c>
      <c r="N1498" s="441"/>
      <c r="O1498" s="441"/>
      <c r="R1498" s="440"/>
    </row>
    <row r="1499" spans="1:18" s="439" customFormat="1">
      <c r="A1499" s="443" t="s">
        <v>318</v>
      </c>
      <c r="B1499" s="444" t="s">
        <v>645</v>
      </c>
      <c r="C1499" s="444" t="s">
        <v>330</v>
      </c>
      <c r="D1499" s="443" t="s">
        <v>646</v>
      </c>
      <c r="E1499" s="444">
        <v>201609</v>
      </c>
      <c r="F1499" s="445">
        <v>-3.5</v>
      </c>
      <c r="G1499" s="443">
        <v>7.5</v>
      </c>
      <c r="H1499" s="446">
        <v>1.3083000000000001E-3</v>
      </c>
      <c r="I1499" s="445">
        <v>-0.03</v>
      </c>
      <c r="J1499" s="448">
        <v>-0.05</v>
      </c>
      <c r="N1499" s="441"/>
      <c r="O1499" s="441"/>
      <c r="R1499" s="440"/>
    </row>
    <row r="1500" spans="1:18" s="439" customFormat="1">
      <c r="A1500" s="443" t="s">
        <v>318</v>
      </c>
      <c r="B1500" s="444" t="s">
        <v>645</v>
      </c>
      <c r="C1500" s="444" t="s">
        <v>330</v>
      </c>
      <c r="D1500" s="443" t="s">
        <v>646</v>
      </c>
      <c r="E1500" s="444">
        <v>201609</v>
      </c>
      <c r="F1500" s="445">
        <v>-7.0000000000000007E-2</v>
      </c>
      <c r="G1500" s="443">
        <v>7.5</v>
      </c>
      <c r="H1500" s="446">
        <v>1.3083000000000001E-3</v>
      </c>
      <c r="I1500" s="445">
        <v>0</v>
      </c>
      <c r="J1500" s="448">
        <v>0</v>
      </c>
      <c r="N1500" s="441"/>
      <c r="O1500" s="441"/>
      <c r="R1500" s="440"/>
    </row>
    <row r="1501" spans="1:18" s="439" customFormat="1">
      <c r="A1501" s="443" t="s">
        <v>318</v>
      </c>
      <c r="B1501" s="444" t="s">
        <v>647</v>
      </c>
      <c r="C1501" s="444" t="s">
        <v>330</v>
      </c>
      <c r="D1501" s="443" t="s">
        <v>648</v>
      </c>
      <c r="E1501" s="444">
        <v>201609</v>
      </c>
      <c r="F1501" s="445">
        <v>0.18</v>
      </c>
      <c r="G1501" s="443">
        <v>7.5</v>
      </c>
      <c r="H1501" s="446">
        <v>1.3083000000000001E-3</v>
      </c>
      <c r="I1501" s="445">
        <v>0</v>
      </c>
      <c r="J1501" s="448">
        <v>0</v>
      </c>
      <c r="N1501" s="441"/>
      <c r="O1501" s="441"/>
      <c r="R1501" s="440"/>
    </row>
    <row r="1502" spans="1:18" s="439" customFormat="1">
      <c r="A1502" s="443" t="s">
        <v>318</v>
      </c>
      <c r="B1502" s="444" t="s">
        <v>647</v>
      </c>
      <c r="C1502" s="444" t="s">
        <v>330</v>
      </c>
      <c r="D1502" s="443" t="s">
        <v>648</v>
      </c>
      <c r="E1502" s="444">
        <v>201609</v>
      </c>
      <c r="F1502" s="445">
        <v>39.39</v>
      </c>
      <c r="G1502" s="443">
        <v>7.5</v>
      </c>
      <c r="H1502" s="446">
        <v>1.3083000000000001E-3</v>
      </c>
      <c r="I1502" s="445">
        <v>0.39</v>
      </c>
      <c r="J1502" s="448">
        <v>0.62</v>
      </c>
      <c r="N1502" s="441"/>
      <c r="O1502" s="441"/>
      <c r="R1502" s="440"/>
    </row>
    <row r="1503" spans="1:18" s="439" customFormat="1">
      <c r="A1503" s="443" t="s">
        <v>318</v>
      </c>
      <c r="B1503" s="444" t="s">
        <v>784</v>
      </c>
      <c r="C1503" s="444" t="s">
        <v>330</v>
      </c>
      <c r="D1503" s="443" t="s">
        <v>785</v>
      </c>
      <c r="E1503" s="444">
        <v>201609</v>
      </c>
      <c r="F1503" s="445">
        <v>-153621.15</v>
      </c>
      <c r="G1503" s="443">
        <v>7.5</v>
      </c>
      <c r="H1503" s="446">
        <v>1.3083000000000001E-3</v>
      </c>
      <c r="I1503" s="445">
        <v>-1507.37</v>
      </c>
      <c r="J1503" s="448">
        <v>-2411.79</v>
      </c>
      <c r="N1503" s="441"/>
      <c r="O1503" s="441"/>
      <c r="R1503" s="440"/>
    </row>
    <row r="1504" spans="1:18" s="439" customFormat="1">
      <c r="A1504" s="443" t="s">
        <v>318</v>
      </c>
      <c r="B1504" s="444" t="s">
        <v>784</v>
      </c>
      <c r="C1504" s="444" t="s">
        <v>330</v>
      </c>
      <c r="D1504" s="443" t="s">
        <v>785</v>
      </c>
      <c r="E1504" s="444">
        <v>201609</v>
      </c>
      <c r="F1504" s="445">
        <v>26453.75</v>
      </c>
      <c r="G1504" s="443">
        <v>7.5</v>
      </c>
      <c r="H1504" s="446">
        <v>1.3083000000000001E-3</v>
      </c>
      <c r="I1504" s="445">
        <v>259.57</v>
      </c>
      <c r="J1504" s="448">
        <v>415.31</v>
      </c>
      <c r="N1504" s="441"/>
      <c r="O1504" s="441"/>
      <c r="R1504" s="440"/>
    </row>
    <row r="1505" spans="1:18" s="439" customFormat="1">
      <c r="A1505" s="443" t="s">
        <v>318</v>
      </c>
      <c r="B1505" s="444" t="s">
        <v>629</v>
      </c>
      <c r="C1505" s="444" t="s">
        <v>330</v>
      </c>
      <c r="D1505" s="443" t="s">
        <v>630</v>
      </c>
      <c r="E1505" s="444">
        <v>201609</v>
      </c>
      <c r="F1505" s="445">
        <v>0.06</v>
      </c>
      <c r="G1505" s="443">
        <v>7.5</v>
      </c>
      <c r="H1505" s="446">
        <v>1.3083000000000001E-3</v>
      </c>
      <c r="I1505" s="445">
        <v>0</v>
      </c>
      <c r="J1505" s="448">
        <v>0</v>
      </c>
      <c r="N1505" s="441"/>
      <c r="O1505" s="441"/>
      <c r="R1505" s="440"/>
    </row>
    <row r="1506" spans="1:18" s="439" customFormat="1">
      <c r="A1506" s="443" t="s">
        <v>318</v>
      </c>
      <c r="B1506" s="444" t="s">
        <v>629</v>
      </c>
      <c r="C1506" s="444" t="s">
        <v>330</v>
      </c>
      <c r="D1506" s="443" t="s">
        <v>630</v>
      </c>
      <c r="E1506" s="444">
        <v>201609</v>
      </c>
      <c r="F1506" s="445">
        <v>2.36</v>
      </c>
      <c r="G1506" s="443">
        <v>7.5</v>
      </c>
      <c r="H1506" s="446">
        <v>1.3083000000000001E-3</v>
      </c>
      <c r="I1506" s="445">
        <v>0.02</v>
      </c>
      <c r="J1506" s="448">
        <v>0.04</v>
      </c>
      <c r="N1506" s="441"/>
      <c r="O1506" s="441"/>
      <c r="R1506" s="440"/>
    </row>
    <row r="1507" spans="1:18" s="439" customFormat="1">
      <c r="A1507" s="443" t="s">
        <v>318</v>
      </c>
      <c r="B1507" s="444" t="s">
        <v>592</v>
      </c>
      <c r="C1507" s="444" t="s">
        <v>329</v>
      </c>
      <c r="D1507" s="443" t="s">
        <v>593</v>
      </c>
      <c r="E1507" s="444">
        <v>201609</v>
      </c>
      <c r="F1507" s="445">
        <v>-50.85</v>
      </c>
      <c r="G1507" s="443">
        <v>7.5</v>
      </c>
      <c r="H1507" s="446">
        <v>1.3083000000000001E-3</v>
      </c>
      <c r="I1507" s="445">
        <v>-0.5</v>
      </c>
      <c r="J1507" s="448">
        <v>-0.8</v>
      </c>
      <c r="N1507" s="441"/>
      <c r="O1507" s="441"/>
      <c r="R1507" s="440"/>
    </row>
    <row r="1508" spans="1:18" s="439" customFormat="1">
      <c r="A1508" s="443" t="s">
        <v>318</v>
      </c>
      <c r="B1508" s="444" t="s">
        <v>592</v>
      </c>
      <c r="C1508" s="444" t="s">
        <v>329</v>
      </c>
      <c r="D1508" s="443" t="s">
        <v>593</v>
      </c>
      <c r="E1508" s="444">
        <v>201609</v>
      </c>
      <c r="F1508" s="445">
        <v>-22.61</v>
      </c>
      <c r="G1508" s="443">
        <v>7.5</v>
      </c>
      <c r="H1508" s="446">
        <v>1.3083000000000001E-3</v>
      </c>
      <c r="I1508" s="445">
        <v>-0.22</v>
      </c>
      <c r="J1508" s="448">
        <v>-0.35</v>
      </c>
      <c r="N1508" s="441"/>
      <c r="O1508" s="441"/>
      <c r="R1508" s="440"/>
    </row>
    <row r="1509" spans="1:18" s="439" customFormat="1">
      <c r="A1509" s="443" t="s">
        <v>318</v>
      </c>
      <c r="B1509" s="444" t="s">
        <v>631</v>
      </c>
      <c r="C1509" s="444" t="s">
        <v>330</v>
      </c>
      <c r="D1509" s="443" t="s">
        <v>632</v>
      </c>
      <c r="E1509" s="444">
        <v>201609</v>
      </c>
      <c r="F1509" s="445">
        <v>-883340.69</v>
      </c>
      <c r="G1509" s="443">
        <v>7.5</v>
      </c>
      <c r="H1509" s="446">
        <v>1.3083000000000001E-3</v>
      </c>
      <c r="I1509" s="445">
        <v>-8667.56</v>
      </c>
      <c r="J1509" s="448">
        <v>-13868.1</v>
      </c>
      <c r="N1509" s="441"/>
      <c r="O1509" s="441"/>
      <c r="R1509" s="440"/>
    </row>
    <row r="1510" spans="1:18" s="439" customFormat="1">
      <c r="A1510" s="443" t="s">
        <v>318</v>
      </c>
      <c r="B1510" s="444" t="s">
        <v>631</v>
      </c>
      <c r="C1510" s="444" t="s">
        <v>330</v>
      </c>
      <c r="D1510" s="443" t="s">
        <v>632</v>
      </c>
      <c r="E1510" s="444">
        <v>201609</v>
      </c>
      <c r="F1510" s="445">
        <v>-12500.1</v>
      </c>
      <c r="G1510" s="443">
        <v>7.5</v>
      </c>
      <c r="H1510" s="446">
        <v>1.3083000000000001E-3</v>
      </c>
      <c r="I1510" s="445">
        <v>-122.65</v>
      </c>
      <c r="J1510" s="448">
        <v>-196.25</v>
      </c>
      <c r="N1510" s="441"/>
      <c r="O1510" s="441"/>
      <c r="R1510" s="440"/>
    </row>
    <row r="1511" spans="1:18" s="439" customFormat="1">
      <c r="A1511" s="443" t="s">
        <v>318</v>
      </c>
      <c r="B1511" s="444" t="s">
        <v>649</v>
      </c>
      <c r="C1511" s="444" t="s">
        <v>330</v>
      </c>
      <c r="D1511" s="443" t="s">
        <v>650</v>
      </c>
      <c r="E1511" s="444">
        <v>201609</v>
      </c>
      <c r="F1511" s="445">
        <v>342.95</v>
      </c>
      <c r="G1511" s="443">
        <v>7.5</v>
      </c>
      <c r="H1511" s="446">
        <v>1.3083000000000001E-3</v>
      </c>
      <c r="I1511" s="445">
        <v>3.37</v>
      </c>
      <c r="J1511" s="448">
        <v>5.38</v>
      </c>
      <c r="N1511" s="441"/>
      <c r="O1511" s="441"/>
      <c r="R1511" s="440"/>
    </row>
    <row r="1512" spans="1:18" s="439" customFormat="1">
      <c r="A1512" s="443" t="s">
        <v>318</v>
      </c>
      <c r="B1512" s="444" t="s">
        <v>649</v>
      </c>
      <c r="C1512" s="444" t="s">
        <v>330</v>
      </c>
      <c r="D1512" s="443" t="s">
        <v>650</v>
      </c>
      <c r="E1512" s="444">
        <v>201609</v>
      </c>
      <c r="F1512" s="445">
        <v>4736.33</v>
      </c>
      <c r="G1512" s="443">
        <v>7.5</v>
      </c>
      <c r="H1512" s="446">
        <v>1.3083000000000001E-3</v>
      </c>
      <c r="I1512" s="445">
        <v>46.47</v>
      </c>
      <c r="J1512" s="448">
        <v>74.36</v>
      </c>
      <c r="N1512" s="441"/>
      <c r="O1512" s="441"/>
      <c r="R1512" s="440"/>
    </row>
    <row r="1513" spans="1:18" s="439" customFormat="1">
      <c r="A1513" s="443" t="s">
        <v>318</v>
      </c>
      <c r="B1513" s="444" t="s">
        <v>838</v>
      </c>
      <c r="C1513" s="444" t="s">
        <v>330</v>
      </c>
      <c r="D1513" s="443" t="s">
        <v>1015</v>
      </c>
      <c r="E1513" s="444">
        <v>201609</v>
      </c>
      <c r="F1513" s="445">
        <v>191.28</v>
      </c>
      <c r="G1513" s="443">
        <v>7.5</v>
      </c>
      <c r="H1513" s="446">
        <v>1.3083000000000001E-3</v>
      </c>
      <c r="I1513" s="445">
        <v>1.88</v>
      </c>
      <c r="J1513" s="448">
        <v>3</v>
      </c>
      <c r="N1513" s="441"/>
      <c r="O1513" s="441"/>
      <c r="R1513" s="440"/>
    </row>
    <row r="1514" spans="1:18" s="439" customFormat="1">
      <c r="A1514" s="443" t="s">
        <v>318</v>
      </c>
      <c r="B1514" s="444" t="s">
        <v>838</v>
      </c>
      <c r="C1514" s="444" t="s">
        <v>330</v>
      </c>
      <c r="D1514" s="443" t="s">
        <v>1015</v>
      </c>
      <c r="E1514" s="444">
        <v>201609</v>
      </c>
      <c r="F1514" s="445">
        <v>9200.44</v>
      </c>
      <c r="G1514" s="443">
        <v>7.5</v>
      </c>
      <c r="H1514" s="446">
        <v>1.3083000000000001E-3</v>
      </c>
      <c r="I1514" s="445">
        <v>90.28</v>
      </c>
      <c r="J1514" s="448">
        <v>144.44</v>
      </c>
      <c r="N1514" s="441"/>
      <c r="O1514" s="441"/>
      <c r="R1514" s="440"/>
    </row>
    <row r="1515" spans="1:18" s="439" customFormat="1">
      <c r="A1515" s="443" t="s">
        <v>318</v>
      </c>
      <c r="B1515" s="444" t="s">
        <v>651</v>
      </c>
      <c r="C1515" s="444" t="s">
        <v>330</v>
      </c>
      <c r="D1515" s="443" t="s">
        <v>652</v>
      </c>
      <c r="E1515" s="444">
        <v>201609</v>
      </c>
      <c r="F1515" s="445">
        <v>73.040000000000006</v>
      </c>
      <c r="G1515" s="443">
        <v>7.5</v>
      </c>
      <c r="H1515" s="446">
        <v>1.3083000000000001E-3</v>
      </c>
      <c r="I1515" s="445">
        <v>0.72</v>
      </c>
      <c r="J1515" s="448">
        <v>1.1499999999999999</v>
      </c>
      <c r="N1515" s="441"/>
      <c r="O1515" s="441"/>
      <c r="R1515" s="440"/>
    </row>
    <row r="1516" spans="1:18" s="439" customFormat="1">
      <c r="A1516" s="443" t="s">
        <v>318</v>
      </c>
      <c r="B1516" s="444" t="s">
        <v>651</v>
      </c>
      <c r="C1516" s="444" t="s">
        <v>330</v>
      </c>
      <c r="D1516" s="443" t="s">
        <v>652</v>
      </c>
      <c r="E1516" s="444">
        <v>201609</v>
      </c>
      <c r="F1516" s="445">
        <v>1894.71</v>
      </c>
      <c r="G1516" s="443">
        <v>7.5</v>
      </c>
      <c r="H1516" s="446">
        <v>1.3083000000000001E-3</v>
      </c>
      <c r="I1516" s="445">
        <v>18.59</v>
      </c>
      <c r="J1516" s="448">
        <v>29.75</v>
      </c>
      <c r="N1516" s="441"/>
      <c r="O1516" s="441"/>
      <c r="R1516" s="440"/>
    </row>
    <row r="1517" spans="1:18" s="439" customFormat="1">
      <c r="A1517" s="443" t="s">
        <v>318</v>
      </c>
      <c r="B1517" s="444" t="s">
        <v>786</v>
      </c>
      <c r="C1517" s="444" t="s">
        <v>330</v>
      </c>
      <c r="D1517" s="443" t="s">
        <v>787</v>
      </c>
      <c r="E1517" s="444">
        <v>201609</v>
      </c>
      <c r="F1517" s="445">
        <v>28</v>
      </c>
      <c r="G1517" s="443">
        <v>7.5</v>
      </c>
      <c r="H1517" s="446">
        <v>1.3083000000000001E-3</v>
      </c>
      <c r="I1517" s="445">
        <v>0.27</v>
      </c>
      <c r="J1517" s="448">
        <v>0.44</v>
      </c>
      <c r="N1517" s="441"/>
      <c r="O1517" s="441"/>
      <c r="R1517" s="440"/>
    </row>
    <row r="1518" spans="1:18" s="439" customFormat="1">
      <c r="A1518" s="443" t="s">
        <v>318</v>
      </c>
      <c r="B1518" s="444" t="s">
        <v>786</v>
      </c>
      <c r="C1518" s="444" t="s">
        <v>330</v>
      </c>
      <c r="D1518" s="443" t="s">
        <v>787</v>
      </c>
      <c r="E1518" s="444">
        <v>201609</v>
      </c>
      <c r="F1518" s="445">
        <v>3930.46</v>
      </c>
      <c r="G1518" s="443">
        <v>7.5</v>
      </c>
      <c r="H1518" s="446">
        <v>1.3083000000000001E-3</v>
      </c>
      <c r="I1518" s="445">
        <v>38.57</v>
      </c>
      <c r="J1518" s="448">
        <v>61.71</v>
      </c>
      <c r="N1518" s="441"/>
      <c r="O1518" s="441"/>
      <c r="R1518" s="440"/>
    </row>
    <row r="1519" spans="1:18" s="439" customFormat="1">
      <c r="A1519" s="443" t="s">
        <v>318</v>
      </c>
      <c r="B1519" s="444" t="s">
        <v>653</v>
      </c>
      <c r="C1519" s="444" t="s">
        <v>330</v>
      </c>
      <c r="D1519" s="443" t="s">
        <v>654</v>
      </c>
      <c r="E1519" s="444">
        <v>201609</v>
      </c>
      <c r="F1519" s="445">
        <v>143.22999999999999</v>
      </c>
      <c r="G1519" s="443">
        <v>7.5</v>
      </c>
      <c r="H1519" s="446">
        <v>1.3083000000000001E-3</v>
      </c>
      <c r="I1519" s="445">
        <v>1.41</v>
      </c>
      <c r="J1519" s="448">
        <v>2.25</v>
      </c>
      <c r="N1519" s="441"/>
      <c r="O1519" s="441"/>
      <c r="R1519" s="440"/>
    </row>
    <row r="1520" spans="1:18" s="439" customFormat="1">
      <c r="A1520" s="443" t="s">
        <v>318</v>
      </c>
      <c r="B1520" s="444" t="s">
        <v>653</v>
      </c>
      <c r="C1520" s="444" t="s">
        <v>330</v>
      </c>
      <c r="D1520" s="443" t="s">
        <v>654</v>
      </c>
      <c r="E1520" s="444">
        <v>201609</v>
      </c>
      <c r="F1520" s="445">
        <v>2998.79</v>
      </c>
      <c r="G1520" s="443">
        <v>7.5</v>
      </c>
      <c r="H1520" s="446">
        <v>1.3083000000000001E-3</v>
      </c>
      <c r="I1520" s="445">
        <v>29.42</v>
      </c>
      <c r="J1520" s="448">
        <v>47.08</v>
      </c>
      <c r="N1520" s="441"/>
      <c r="O1520" s="441"/>
      <c r="R1520" s="440"/>
    </row>
    <row r="1521" spans="1:18" s="439" customFormat="1">
      <c r="A1521" s="443" t="s">
        <v>318</v>
      </c>
      <c r="B1521" s="444" t="s">
        <v>655</v>
      </c>
      <c r="C1521" s="444" t="s">
        <v>330</v>
      </c>
      <c r="D1521" s="443" t="s">
        <v>656</v>
      </c>
      <c r="E1521" s="444">
        <v>201609</v>
      </c>
      <c r="F1521" s="445">
        <v>0.1</v>
      </c>
      <c r="G1521" s="443">
        <v>7.5</v>
      </c>
      <c r="H1521" s="446">
        <v>1.3083000000000001E-3</v>
      </c>
      <c r="I1521" s="445">
        <v>0</v>
      </c>
      <c r="J1521" s="448">
        <v>0</v>
      </c>
      <c r="N1521" s="441"/>
      <c r="O1521" s="441"/>
      <c r="R1521" s="440"/>
    </row>
    <row r="1522" spans="1:18" s="439" customFormat="1">
      <c r="A1522" s="443" t="s">
        <v>318</v>
      </c>
      <c r="B1522" s="444" t="s">
        <v>655</v>
      </c>
      <c r="C1522" s="444" t="s">
        <v>330</v>
      </c>
      <c r="D1522" s="443" t="s">
        <v>656</v>
      </c>
      <c r="E1522" s="444">
        <v>201609</v>
      </c>
      <c r="F1522" s="445">
        <v>6.13</v>
      </c>
      <c r="G1522" s="443">
        <v>7.5</v>
      </c>
      <c r="H1522" s="446">
        <v>1.3083000000000001E-3</v>
      </c>
      <c r="I1522" s="445">
        <v>0.06</v>
      </c>
      <c r="J1522" s="448">
        <v>0.1</v>
      </c>
      <c r="N1522" s="441"/>
      <c r="O1522" s="441"/>
      <c r="R1522" s="440"/>
    </row>
    <row r="1523" spans="1:18" s="439" customFormat="1">
      <c r="A1523" s="443" t="s">
        <v>318</v>
      </c>
      <c r="B1523" s="444" t="s">
        <v>594</v>
      </c>
      <c r="C1523" s="444" t="s">
        <v>330</v>
      </c>
      <c r="D1523" s="443" t="s">
        <v>595</v>
      </c>
      <c r="E1523" s="444">
        <v>201609</v>
      </c>
      <c r="F1523" s="445">
        <v>0.02</v>
      </c>
      <c r="G1523" s="443">
        <v>7.5</v>
      </c>
      <c r="H1523" s="446">
        <v>1.3083000000000001E-3</v>
      </c>
      <c r="I1523" s="445">
        <v>0</v>
      </c>
      <c r="J1523" s="448">
        <v>0</v>
      </c>
      <c r="N1523" s="441"/>
      <c r="O1523" s="441"/>
      <c r="R1523" s="440"/>
    </row>
    <row r="1524" spans="1:18" s="439" customFormat="1">
      <c r="A1524" s="443" t="s">
        <v>318</v>
      </c>
      <c r="B1524" s="444" t="s">
        <v>594</v>
      </c>
      <c r="C1524" s="444" t="s">
        <v>330</v>
      </c>
      <c r="D1524" s="443" t="s">
        <v>595</v>
      </c>
      <c r="E1524" s="444">
        <v>201609</v>
      </c>
      <c r="F1524" s="445">
        <v>0.63</v>
      </c>
      <c r="G1524" s="443">
        <v>7.5</v>
      </c>
      <c r="H1524" s="446">
        <v>1.3083000000000001E-3</v>
      </c>
      <c r="I1524" s="445">
        <v>0.01</v>
      </c>
      <c r="J1524" s="448">
        <v>0.01</v>
      </c>
      <c r="N1524" s="441"/>
      <c r="O1524" s="441"/>
      <c r="R1524" s="440"/>
    </row>
    <row r="1525" spans="1:18" s="439" customFormat="1">
      <c r="A1525" s="443" t="s">
        <v>318</v>
      </c>
      <c r="B1525" s="444" t="s">
        <v>596</v>
      </c>
      <c r="C1525" s="444" t="s">
        <v>330</v>
      </c>
      <c r="D1525" s="443" t="s">
        <v>597</v>
      </c>
      <c r="E1525" s="444">
        <v>201609</v>
      </c>
      <c r="F1525" s="445">
        <v>0.02</v>
      </c>
      <c r="G1525" s="443">
        <v>7.5</v>
      </c>
      <c r="H1525" s="446">
        <v>1.3083000000000001E-3</v>
      </c>
      <c r="I1525" s="445">
        <v>0</v>
      </c>
      <c r="J1525" s="448">
        <v>0</v>
      </c>
      <c r="N1525" s="441"/>
      <c r="O1525" s="441"/>
      <c r="R1525" s="440"/>
    </row>
    <row r="1526" spans="1:18" s="439" customFormat="1">
      <c r="A1526" s="443" t="s">
        <v>318</v>
      </c>
      <c r="B1526" s="444" t="s">
        <v>596</v>
      </c>
      <c r="C1526" s="444" t="s">
        <v>330</v>
      </c>
      <c r="D1526" s="443" t="s">
        <v>597</v>
      </c>
      <c r="E1526" s="444">
        <v>201609</v>
      </c>
      <c r="F1526" s="445">
        <v>1.04</v>
      </c>
      <c r="G1526" s="443">
        <v>7.5</v>
      </c>
      <c r="H1526" s="446">
        <v>1.3083000000000001E-3</v>
      </c>
      <c r="I1526" s="445">
        <v>0.01</v>
      </c>
      <c r="J1526" s="448">
        <v>0.02</v>
      </c>
      <c r="N1526" s="441"/>
      <c r="O1526" s="441"/>
      <c r="R1526" s="440"/>
    </row>
    <row r="1527" spans="1:18" s="439" customFormat="1">
      <c r="A1527" s="443" t="s">
        <v>318</v>
      </c>
      <c r="B1527" s="444" t="s">
        <v>657</v>
      </c>
      <c r="C1527" s="444" t="s">
        <v>330</v>
      </c>
      <c r="D1527" s="443" t="s">
        <v>658</v>
      </c>
      <c r="E1527" s="444">
        <v>201609</v>
      </c>
      <c r="F1527" s="445">
        <v>-12.83</v>
      </c>
      <c r="G1527" s="443">
        <v>7.5</v>
      </c>
      <c r="H1527" s="446">
        <v>1.3083000000000001E-3</v>
      </c>
      <c r="I1527" s="445">
        <v>-0.13</v>
      </c>
      <c r="J1527" s="448">
        <v>-0.2</v>
      </c>
      <c r="N1527" s="441"/>
      <c r="O1527" s="441"/>
      <c r="R1527" s="440"/>
    </row>
    <row r="1528" spans="1:18" s="439" customFormat="1">
      <c r="A1528" s="443" t="s">
        <v>318</v>
      </c>
      <c r="B1528" s="444" t="s">
        <v>657</v>
      </c>
      <c r="C1528" s="444" t="s">
        <v>330</v>
      </c>
      <c r="D1528" s="443" t="s">
        <v>658</v>
      </c>
      <c r="E1528" s="444">
        <v>201609</v>
      </c>
      <c r="F1528" s="445">
        <v>-0.1</v>
      </c>
      <c r="G1528" s="443">
        <v>7.5</v>
      </c>
      <c r="H1528" s="446">
        <v>1.3083000000000001E-3</v>
      </c>
      <c r="I1528" s="445">
        <v>0</v>
      </c>
      <c r="J1528" s="448">
        <v>0</v>
      </c>
      <c r="N1528" s="441"/>
      <c r="O1528" s="441"/>
      <c r="R1528" s="440"/>
    </row>
    <row r="1529" spans="1:18" s="439" customFormat="1">
      <c r="A1529" s="443" t="s">
        <v>318</v>
      </c>
      <c r="B1529" s="444" t="s">
        <v>659</v>
      </c>
      <c r="C1529" s="444" t="s">
        <v>330</v>
      </c>
      <c r="D1529" s="443" t="s">
        <v>660</v>
      </c>
      <c r="E1529" s="444">
        <v>201609</v>
      </c>
      <c r="F1529" s="445">
        <v>-59.45</v>
      </c>
      <c r="G1529" s="443">
        <v>7.5</v>
      </c>
      <c r="H1529" s="446">
        <v>1.3083000000000001E-3</v>
      </c>
      <c r="I1529" s="445">
        <v>-0.57999999999999996</v>
      </c>
      <c r="J1529" s="448">
        <v>-0.93</v>
      </c>
      <c r="N1529" s="441"/>
      <c r="O1529" s="441"/>
      <c r="R1529" s="440"/>
    </row>
    <row r="1530" spans="1:18" s="439" customFormat="1">
      <c r="A1530" s="443" t="s">
        <v>318</v>
      </c>
      <c r="B1530" s="444" t="s">
        <v>659</v>
      </c>
      <c r="C1530" s="444" t="s">
        <v>330</v>
      </c>
      <c r="D1530" s="443" t="s">
        <v>660</v>
      </c>
      <c r="E1530" s="444">
        <v>201609</v>
      </c>
      <c r="F1530" s="445">
        <v>-1.1200000000000001</v>
      </c>
      <c r="G1530" s="443">
        <v>7.5</v>
      </c>
      <c r="H1530" s="446">
        <v>1.3083000000000001E-3</v>
      </c>
      <c r="I1530" s="445">
        <v>-0.01</v>
      </c>
      <c r="J1530" s="448">
        <v>-0.02</v>
      </c>
      <c r="N1530" s="441"/>
      <c r="O1530" s="441"/>
      <c r="R1530" s="440"/>
    </row>
    <row r="1531" spans="1:18" s="439" customFormat="1">
      <c r="A1531" s="443" t="s">
        <v>318</v>
      </c>
      <c r="B1531" s="444" t="s">
        <v>661</v>
      </c>
      <c r="C1531" s="442" t="s">
        <v>330</v>
      </c>
      <c r="D1531" s="443" t="s">
        <v>662</v>
      </c>
      <c r="E1531" s="444">
        <v>201609</v>
      </c>
      <c r="F1531" s="445">
        <v>445.77</v>
      </c>
      <c r="G1531" s="443">
        <v>7.5</v>
      </c>
      <c r="H1531" s="446">
        <v>1.3083000000000001E-3</v>
      </c>
      <c r="I1531" s="445">
        <v>4.37</v>
      </c>
      <c r="J1531" s="448">
        <v>7</v>
      </c>
      <c r="N1531" s="441"/>
      <c r="O1531" s="441"/>
      <c r="R1531" s="440"/>
    </row>
    <row r="1532" spans="1:18" s="439" customFormat="1">
      <c r="A1532" s="443" t="s">
        <v>318</v>
      </c>
      <c r="B1532" s="444" t="s">
        <v>661</v>
      </c>
      <c r="C1532" s="442" t="s">
        <v>330</v>
      </c>
      <c r="D1532" s="443" t="s">
        <v>662</v>
      </c>
      <c r="E1532" s="444">
        <v>201609</v>
      </c>
      <c r="F1532" s="445">
        <v>6733.95</v>
      </c>
      <c r="G1532" s="443">
        <v>7.5</v>
      </c>
      <c r="H1532" s="446">
        <v>1.3083000000000001E-3</v>
      </c>
      <c r="I1532" s="445">
        <v>66.08</v>
      </c>
      <c r="J1532" s="448">
        <v>105.72</v>
      </c>
      <c r="N1532" s="441"/>
      <c r="O1532" s="441"/>
      <c r="R1532" s="440"/>
    </row>
    <row r="1533" spans="1:18" s="439" customFormat="1">
      <c r="A1533" s="443" t="s">
        <v>318</v>
      </c>
      <c r="B1533" s="444" t="s">
        <v>663</v>
      </c>
      <c r="C1533" s="444" t="s">
        <v>330</v>
      </c>
      <c r="D1533" s="443" t="s">
        <v>664</v>
      </c>
      <c r="E1533" s="444">
        <v>201609</v>
      </c>
      <c r="F1533" s="445">
        <v>52.94</v>
      </c>
      <c r="G1533" s="443">
        <v>7.5</v>
      </c>
      <c r="H1533" s="446">
        <v>1.3083000000000001E-3</v>
      </c>
      <c r="I1533" s="445">
        <v>0.52</v>
      </c>
      <c r="J1533" s="448">
        <v>0.83</v>
      </c>
      <c r="N1533" s="441"/>
      <c r="O1533" s="441"/>
      <c r="R1533" s="440"/>
    </row>
    <row r="1534" spans="1:18" s="439" customFormat="1">
      <c r="A1534" s="443" t="s">
        <v>318</v>
      </c>
      <c r="B1534" s="444" t="s">
        <v>663</v>
      </c>
      <c r="C1534" s="444" t="s">
        <v>330</v>
      </c>
      <c r="D1534" s="443" t="s">
        <v>664</v>
      </c>
      <c r="E1534" s="444">
        <v>201609</v>
      </c>
      <c r="F1534" s="445">
        <v>2920.94</v>
      </c>
      <c r="G1534" s="443">
        <v>7.5</v>
      </c>
      <c r="H1534" s="446">
        <v>1.3083000000000001E-3</v>
      </c>
      <c r="I1534" s="445">
        <v>28.66</v>
      </c>
      <c r="J1534" s="448">
        <v>45.86</v>
      </c>
      <c r="N1534" s="441"/>
      <c r="O1534" s="441"/>
      <c r="R1534" s="440"/>
    </row>
    <row r="1535" spans="1:18" s="439" customFormat="1">
      <c r="A1535" s="443" t="s">
        <v>318</v>
      </c>
      <c r="B1535" s="444" t="s">
        <v>665</v>
      </c>
      <c r="C1535" s="444" t="s">
        <v>330</v>
      </c>
      <c r="D1535" s="443" t="s">
        <v>666</v>
      </c>
      <c r="E1535" s="444">
        <v>201609</v>
      </c>
      <c r="F1535" s="445">
        <v>1.17</v>
      </c>
      <c r="G1535" s="443">
        <v>7.5</v>
      </c>
      <c r="H1535" s="446">
        <v>1.3083000000000001E-3</v>
      </c>
      <c r="I1535" s="445">
        <v>0.01</v>
      </c>
      <c r="J1535" s="448">
        <v>0.02</v>
      </c>
      <c r="N1535" s="441"/>
      <c r="O1535" s="441"/>
      <c r="R1535" s="440"/>
    </row>
    <row r="1536" spans="1:18" s="439" customFormat="1">
      <c r="A1536" s="443" t="s">
        <v>318</v>
      </c>
      <c r="B1536" s="444" t="s">
        <v>665</v>
      </c>
      <c r="C1536" s="444" t="s">
        <v>330</v>
      </c>
      <c r="D1536" s="443" t="s">
        <v>666</v>
      </c>
      <c r="E1536" s="444">
        <v>201609</v>
      </c>
      <c r="F1536" s="445">
        <v>106.7</v>
      </c>
      <c r="G1536" s="443">
        <v>7.5</v>
      </c>
      <c r="H1536" s="446">
        <v>1.3083000000000001E-3</v>
      </c>
      <c r="I1536" s="445">
        <v>1.05</v>
      </c>
      <c r="J1536" s="448">
        <v>1.68</v>
      </c>
      <c r="N1536" s="441"/>
      <c r="O1536" s="441"/>
      <c r="R1536" s="440"/>
    </row>
    <row r="1537" spans="1:18" s="439" customFormat="1">
      <c r="A1537" s="443" t="s">
        <v>318</v>
      </c>
      <c r="B1537" s="444" t="s">
        <v>801</v>
      </c>
      <c r="C1537" s="444" t="s">
        <v>330</v>
      </c>
      <c r="D1537" s="443" t="s">
        <v>802</v>
      </c>
      <c r="E1537" s="444">
        <v>201609</v>
      </c>
      <c r="F1537" s="445">
        <v>140.55000000000001</v>
      </c>
      <c r="G1537" s="443">
        <v>7.5</v>
      </c>
      <c r="H1537" s="446">
        <v>1.3083000000000001E-3</v>
      </c>
      <c r="I1537" s="445">
        <v>1.38</v>
      </c>
      <c r="J1537" s="448">
        <v>2.21</v>
      </c>
      <c r="N1537" s="441"/>
      <c r="O1537" s="441"/>
      <c r="R1537" s="440"/>
    </row>
    <row r="1538" spans="1:18" s="439" customFormat="1">
      <c r="A1538" s="443" t="s">
        <v>318</v>
      </c>
      <c r="B1538" s="444" t="s">
        <v>801</v>
      </c>
      <c r="C1538" s="444" t="s">
        <v>330</v>
      </c>
      <c r="D1538" s="443" t="s">
        <v>802</v>
      </c>
      <c r="E1538" s="444">
        <v>201609</v>
      </c>
      <c r="F1538" s="445">
        <v>4592.2700000000004</v>
      </c>
      <c r="G1538" s="443">
        <v>7.5</v>
      </c>
      <c r="H1538" s="446">
        <v>1.3083000000000001E-3</v>
      </c>
      <c r="I1538" s="445">
        <v>45.06</v>
      </c>
      <c r="J1538" s="448">
        <v>72.099999999999994</v>
      </c>
      <c r="N1538" s="441"/>
      <c r="O1538" s="441"/>
      <c r="R1538" s="440"/>
    </row>
    <row r="1539" spans="1:18" s="439" customFormat="1">
      <c r="A1539" s="443" t="s">
        <v>318</v>
      </c>
      <c r="B1539" s="444" t="s">
        <v>803</v>
      </c>
      <c r="C1539" s="444" t="s">
        <v>330</v>
      </c>
      <c r="D1539" s="443" t="s">
        <v>804</v>
      </c>
      <c r="E1539" s="444">
        <v>201609</v>
      </c>
      <c r="F1539" s="445">
        <v>-40990</v>
      </c>
      <c r="G1539" s="443">
        <v>7.5</v>
      </c>
      <c r="H1539" s="446">
        <v>1.3083000000000001E-3</v>
      </c>
      <c r="I1539" s="445">
        <v>-402.2</v>
      </c>
      <c r="J1539" s="448">
        <v>-643.53</v>
      </c>
      <c r="N1539" s="441"/>
      <c r="O1539" s="441"/>
      <c r="R1539" s="440"/>
    </row>
    <row r="1540" spans="1:18" s="439" customFormat="1">
      <c r="A1540" s="443" t="s">
        <v>318</v>
      </c>
      <c r="B1540" s="444" t="s">
        <v>803</v>
      </c>
      <c r="C1540" s="444" t="s">
        <v>330</v>
      </c>
      <c r="D1540" s="443" t="s">
        <v>804</v>
      </c>
      <c r="E1540" s="444">
        <v>201609</v>
      </c>
      <c r="F1540" s="445">
        <v>-3181.31</v>
      </c>
      <c r="G1540" s="443">
        <v>7.5</v>
      </c>
      <c r="H1540" s="446">
        <v>1.3083000000000001E-3</v>
      </c>
      <c r="I1540" s="445">
        <v>-31.22</v>
      </c>
      <c r="J1540" s="448">
        <v>-49.95</v>
      </c>
      <c r="N1540" s="441"/>
      <c r="O1540" s="441"/>
      <c r="R1540" s="440"/>
    </row>
    <row r="1541" spans="1:18" s="439" customFormat="1">
      <c r="A1541" s="443" t="s">
        <v>318</v>
      </c>
      <c r="B1541" s="444" t="s">
        <v>805</v>
      </c>
      <c r="C1541" s="444" t="s">
        <v>330</v>
      </c>
      <c r="D1541" s="443" t="s">
        <v>806</v>
      </c>
      <c r="E1541" s="444">
        <v>201609</v>
      </c>
      <c r="F1541" s="445">
        <v>-92999.84</v>
      </c>
      <c r="G1541" s="443">
        <v>7.5</v>
      </c>
      <c r="H1541" s="446">
        <v>1.3083000000000001E-3</v>
      </c>
      <c r="I1541" s="445">
        <v>-912.54</v>
      </c>
      <c r="J1541" s="448">
        <v>-1460.06</v>
      </c>
      <c r="N1541" s="441"/>
      <c r="O1541" s="441"/>
      <c r="R1541" s="440"/>
    </row>
    <row r="1542" spans="1:18" s="439" customFormat="1">
      <c r="A1542" s="443" t="s">
        <v>318</v>
      </c>
      <c r="B1542" s="444" t="s">
        <v>805</v>
      </c>
      <c r="C1542" s="444" t="s">
        <v>330</v>
      </c>
      <c r="D1542" s="443" t="s">
        <v>806</v>
      </c>
      <c r="E1542" s="444">
        <v>201609</v>
      </c>
      <c r="F1542" s="445">
        <v>4445.25</v>
      </c>
      <c r="G1542" s="443">
        <v>7.5</v>
      </c>
      <c r="H1542" s="446">
        <v>1.3083000000000001E-3</v>
      </c>
      <c r="I1542" s="445">
        <v>43.62</v>
      </c>
      <c r="J1542" s="448">
        <v>69.790000000000006</v>
      </c>
      <c r="N1542" s="441"/>
      <c r="O1542" s="441"/>
      <c r="R1542" s="440"/>
    </row>
    <row r="1543" spans="1:18" s="439" customFormat="1">
      <c r="A1543" s="443" t="s">
        <v>318</v>
      </c>
      <c r="B1543" s="444" t="s">
        <v>633</v>
      </c>
      <c r="C1543" s="444" t="s">
        <v>329</v>
      </c>
      <c r="D1543" s="443" t="s">
        <v>807</v>
      </c>
      <c r="E1543" s="444">
        <v>201609</v>
      </c>
      <c r="F1543" s="445">
        <v>405.77</v>
      </c>
      <c r="G1543" s="443">
        <v>7.5</v>
      </c>
      <c r="H1543" s="446">
        <v>1.3083000000000001E-3</v>
      </c>
      <c r="I1543" s="445">
        <v>3.98</v>
      </c>
      <c r="J1543" s="448">
        <v>6.37</v>
      </c>
      <c r="N1543" s="441"/>
      <c r="O1543" s="441"/>
      <c r="R1543" s="440"/>
    </row>
    <row r="1544" spans="1:18" s="439" customFormat="1">
      <c r="A1544" s="443" t="s">
        <v>318</v>
      </c>
      <c r="B1544" s="444" t="s">
        <v>633</v>
      </c>
      <c r="C1544" s="444" t="s">
        <v>329</v>
      </c>
      <c r="D1544" s="443" t="s">
        <v>807</v>
      </c>
      <c r="E1544" s="444">
        <v>201609</v>
      </c>
      <c r="F1544" s="445">
        <v>2144.0100000000002</v>
      </c>
      <c r="G1544" s="443">
        <v>7.5</v>
      </c>
      <c r="H1544" s="446">
        <v>1.3083000000000001E-3</v>
      </c>
      <c r="I1544" s="445">
        <v>21.04</v>
      </c>
      <c r="J1544" s="448">
        <v>33.659999999999997</v>
      </c>
      <c r="N1544" s="441"/>
      <c r="O1544" s="441"/>
      <c r="R1544" s="440"/>
    </row>
    <row r="1545" spans="1:18" s="439" customFormat="1">
      <c r="A1545" s="443" t="s">
        <v>318</v>
      </c>
      <c r="B1545" s="444" t="s">
        <v>858</v>
      </c>
      <c r="C1545" s="444" t="s">
        <v>329</v>
      </c>
      <c r="D1545" s="443" t="s">
        <v>859</v>
      </c>
      <c r="E1545" s="444">
        <v>201609</v>
      </c>
      <c r="F1545" s="445">
        <v>747.23</v>
      </c>
      <c r="G1545" s="443">
        <v>7.5</v>
      </c>
      <c r="H1545" s="446">
        <v>1.3083000000000001E-3</v>
      </c>
      <c r="I1545" s="445">
        <v>7.33</v>
      </c>
      <c r="J1545" s="448">
        <v>11.73</v>
      </c>
      <c r="N1545" s="441"/>
      <c r="O1545" s="441"/>
      <c r="R1545" s="440"/>
    </row>
    <row r="1546" spans="1:18" s="439" customFormat="1">
      <c r="A1546" s="443" t="s">
        <v>318</v>
      </c>
      <c r="B1546" s="444" t="s">
        <v>858</v>
      </c>
      <c r="C1546" s="444" t="s">
        <v>329</v>
      </c>
      <c r="D1546" s="443" t="s">
        <v>859</v>
      </c>
      <c r="E1546" s="444">
        <v>201609</v>
      </c>
      <c r="F1546" s="445">
        <v>11145.84</v>
      </c>
      <c r="G1546" s="443">
        <v>7.5</v>
      </c>
      <c r="H1546" s="446">
        <v>1.3083000000000001E-3</v>
      </c>
      <c r="I1546" s="445">
        <v>109.37</v>
      </c>
      <c r="J1546" s="448">
        <v>174.99</v>
      </c>
      <c r="N1546" s="441"/>
      <c r="O1546" s="441"/>
      <c r="R1546" s="440"/>
    </row>
    <row r="1547" spans="1:18" s="439" customFormat="1">
      <c r="A1547" s="443" t="s">
        <v>318</v>
      </c>
      <c r="B1547" s="444" t="s">
        <v>808</v>
      </c>
      <c r="C1547" s="444" t="s">
        <v>329</v>
      </c>
      <c r="D1547" s="443" t="s">
        <v>809</v>
      </c>
      <c r="E1547" s="444">
        <v>201609</v>
      </c>
      <c r="F1547" s="445">
        <v>2263.9899999999998</v>
      </c>
      <c r="G1547" s="443">
        <v>7.5</v>
      </c>
      <c r="H1547" s="446">
        <v>1.3083000000000001E-3</v>
      </c>
      <c r="I1547" s="445">
        <v>22.21</v>
      </c>
      <c r="J1547" s="448">
        <v>35.54</v>
      </c>
      <c r="N1547" s="441"/>
      <c r="O1547" s="441"/>
      <c r="R1547" s="440"/>
    </row>
    <row r="1548" spans="1:18" s="439" customFormat="1">
      <c r="A1548" s="443" t="s">
        <v>318</v>
      </c>
      <c r="B1548" s="444" t="s">
        <v>808</v>
      </c>
      <c r="C1548" s="444" t="s">
        <v>329</v>
      </c>
      <c r="D1548" s="443" t="s">
        <v>809</v>
      </c>
      <c r="E1548" s="444">
        <v>201609</v>
      </c>
      <c r="F1548" s="445">
        <v>11446.08</v>
      </c>
      <c r="G1548" s="443">
        <v>7.5</v>
      </c>
      <c r="H1548" s="446">
        <v>1.3083000000000001E-3</v>
      </c>
      <c r="I1548" s="445">
        <v>112.31</v>
      </c>
      <c r="J1548" s="448">
        <v>179.7</v>
      </c>
      <c r="N1548" s="441"/>
      <c r="O1548" s="441"/>
      <c r="R1548" s="440"/>
    </row>
    <row r="1549" spans="1:18" s="439" customFormat="1">
      <c r="A1549" s="443" t="s">
        <v>322</v>
      </c>
      <c r="B1549" s="444" t="s">
        <v>667</v>
      </c>
      <c r="C1549" s="444" t="s">
        <v>329</v>
      </c>
      <c r="D1549" s="443" t="s">
        <v>668</v>
      </c>
      <c r="E1549" s="444">
        <v>201609</v>
      </c>
      <c r="F1549" s="445">
        <v>47.26</v>
      </c>
      <c r="G1549" s="443">
        <v>7.5</v>
      </c>
      <c r="H1549" s="446">
        <v>1.1999999999999999E-3</v>
      </c>
      <c r="I1549" s="445">
        <v>0.43</v>
      </c>
      <c r="J1549" s="448">
        <v>0.68</v>
      </c>
      <c r="N1549" s="441"/>
      <c r="O1549" s="441"/>
      <c r="R1549" s="440"/>
    </row>
    <row r="1550" spans="1:18" s="439" customFormat="1">
      <c r="A1550" s="443" t="s">
        <v>318</v>
      </c>
      <c r="B1550" s="444" t="s">
        <v>667</v>
      </c>
      <c r="C1550" s="444" t="s">
        <v>329</v>
      </c>
      <c r="D1550" s="443" t="s">
        <v>668</v>
      </c>
      <c r="E1550" s="444">
        <v>201609</v>
      </c>
      <c r="F1550" s="445">
        <v>129.77000000000001</v>
      </c>
      <c r="G1550" s="443">
        <v>7.5</v>
      </c>
      <c r="H1550" s="446">
        <v>1.3083000000000001E-3</v>
      </c>
      <c r="I1550" s="445">
        <v>1.27</v>
      </c>
      <c r="J1550" s="448">
        <v>2.04</v>
      </c>
      <c r="N1550" s="441"/>
      <c r="O1550" s="441"/>
      <c r="R1550" s="440"/>
    </row>
    <row r="1551" spans="1:18" s="439" customFormat="1">
      <c r="A1551" s="443" t="s">
        <v>318</v>
      </c>
      <c r="B1551" s="444" t="s">
        <v>667</v>
      </c>
      <c r="C1551" s="444" t="s">
        <v>329</v>
      </c>
      <c r="D1551" s="443" t="s">
        <v>668</v>
      </c>
      <c r="E1551" s="444">
        <v>201609</v>
      </c>
      <c r="F1551" s="445">
        <v>763.98</v>
      </c>
      <c r="G1551" s="443">
        <v>7.5</v>
      </c>
      <c r="H1551" s="446">
        <v>1.3083000000000001E-3</v>
      </c>
      <c r="I1551" s="445">
        <v>7.5</v>
      </c>
      <c r="J1551" s="448">
        <v>11.99</v>
      </c>
      <c r="N1551" s="441"/>
      <c r="O1551" s="441"/>
      <c r="R1551" s="440"/>
    </row>
    <row r="1552" spans="1:18" s="439" customFormat="1">
      <c r="A1552" s="443" t="s">
        <v>318</v>
      </c>
      <c r="B1552" s="444" t="s">
        <v>598</v>
      </c>
      <c r="C1552" s="444" t="s">
        <v>330</v>
      </c>
      <c r="D1552" s="443" t="s">
        <v>599</v>
      </c>
      <c r="E1552" s="444">
        <v>201609</v>
      </c>
      <c r="F1552" s="445">
        <v>-0.2</v>
      </c>
      <c r="G1552" s="443">
        <v>7.5</v>
      </c>
      <c r="H1552" s="446">
        <v>1.3083000000000001E-3</v>
      </c>
      <c r="I1552" s="445">
        <v>0</v>
      </c>
      <c r="J1552" s="448">
        <v>0</v>
      </c>
      <c r="N1552" s="441"/>
      <c r="O1552" s="441"/>
      <c r="R1552" s="440"/>
    </row>
    <row r="1553" spans="1:18" s="439" customFormat="1">
      <c r="A1553" s="443" t="s">
        <v>318</v>
      </c>
      <c r="B1553" s="444" t="s">
        <v>598</v>
      </c>
      <c r="C1553" s="444" t="s">
        <v>330</v>
      </c>
      <c r="D1553" s="443" t="s">
        <v>599</v>
      </c>
      <c r="E1553" s="444">
        <v>201609</v>
      </c>
      <c r="F1553" s="445">
        <v>-0.01</v>
      </c>
      <c r="G1553" s="443">
        <v>7.5</v>
      </c>
      <c r="H1553" s="446">
        <v>1.3083000000000001E-3</v>
      </c>
      <c r="I1553" s="445">
        <v>0</v>
      </c>
      <c r="J1553" s="448">
        <v>0</v>
      </c>
      <c r="N1553" s="441"/>
      <c r="O1553" s="441"/>
      <c r="R1553" s="440"/>
    </row>
    <row r="1554" spans="1:18" s="439" customFormat="1">
      <c r="A1554" s="443" t="s">
        <v>318</v>
      </c>
      <c r="B1554" s="444" t="s">
        <v>600</v>
      </c>
      <c r="C1554" s="444" t="s">
        <v>330</v>
      </c>
      <c r="D1554" s="443" t="s">
        <v>601</v>
      </c>
      <c r="E1554" s="444">
        <v>201609</v>
      </c>
      <c r="F1554" s="445">
        <v>0.01</v>
      </c>
      <c r="G1554" s="443">
        <v>7.5</v>
      </c>
      <c r="H1554" s="446">
        <v>1.3083000000000001E-3</v>
      </c>
      <c r="I1554" s="445">
        <v>0</v>
      </c>
      <c r="J1554" s="448">
        <v>0</v>
      </c>
      <c r="N1554" s="441"/>
      <c r="O1554" s="441"/>
      <c r="R1554" s="440"/>
    </row>
    <row r="1555" spans="1:18" s="439" customFormat="1">
      <c r="A1555" s="443" t="s">
        <v>318</v>
      </c>
      <c r="B1555" s="444" t="s">
        <v>600</v>
      </c>
      <c r="C1555" s="444" t="s">
        <v>330</v>
      </c>
      <c r="D1555" s="443" t="s">
        <v>601</v>
      </c>
      <c r="E1555" s="444">
        <v>201609</v>
      </c>
      <c r="F1555" s="445">
        <v>0.92</v>
      </c>
      <c r="G1555" s="443">
        <v>7.5</v>
      </c>
      <c r="H1555" s="446">
        <v>1.3083000000000001E-3</v>
      </c>
      <c r="I1555" s="445">
        <v>0.01</v>
      </c>
      <c r="J1555" s="448">
        <v>0.01</v>
      </c>
      <c r="N1555" s="441"/>
      <c r="O1555" s="441"/>
      <c r="R1555" s="440"/>
    </row>
    <row r="1556" spans="1:18" s="439" customFormat="1">
      <c r="A1556" s="443" t="s">
        <v>318</v>
      </c>
      <c r="B1556" s="444" t="s">
        <v>554</v>
      </c>
      <c r="C1556" s="444" t="s">
        <v>330</v>
      </c>
      <c r="D1556" s="443" t="s">
        <v>555</v>
      </c>
      <c r="E1556" s="444">
        <v>201609</v>
      </c>
      <c r="F1556" s="445">
        <v>0.05</v>
      </c>
      <c r="G1556" s="443">
        <v>7.5</v>
      </c>
      <c r="H1556" s="446">
        <v>1.3083000000000001E-3</v>
      </c>
      <c r="I1556" s="445">
        <v>0</v>
      </c>
      <c r="J1556" s="448">
        <v>0</v>
      </c>
      <c r="N1556" s="441"/>
      <c r="O1556" s="441"/>
      <c r="R1556" s="440"/>
    </row>
    <row r="1557" spans="1:18" s="439" customFormat="1">
      <c r="A1557" s="443" t="s">
        <v>318</v>
      </c>
      <c r="B1557" s="444" t="s">
        <v>554</v>
      </c>
      <c r="C1557" s="444" t="s">
        <v>330</v>
      </c>
      <c r="D1557" s="443" t="s">
        <v>555</v>
      </c>
      <c r="E1557" s="444">
        <v>201609</v>
      </c>
      <c r="F1557" s="445">
        <v>0.8</v>
      </c>
      <c r="G1557" s="443">
        <v>7.5</v>
      </c>
      <c r="H1557" s="446">
        <v>1.3083000000000001E-3</v>
      </c>
      <c r="I1557" s="445">
        <v>0.01</v>
      </c>
      <c r="J1557" s="448">
        <v>0.01</v>
      </c>
      <c r="N1557" s="441"/>
      <c r="O1557" s="441"/>
      <c r="R1557" s="440"/>
    </row>
    <row r="1558" spans="1:18" s="439" customFormat="1">
      <c r="A1558" s="443" t="s">
        <v>318</v>
      </c>
      <c r="B1558" s="444" t="s">
        <v>556</v>
      </c>
      <c r="C1558" s="444" t="s">
        <v>330</v>
      </c>
      <c r="D1558" s="443" t="s">
        <v>557</v>
      </c>
      <c r="E1558" s="444">
        <v>201609</v>
      </c>
      <c r="F1558" s="445">
        <v>0.08</v>
      </c>
      <c r="G1558" s="443">
        <v>7.5</v>
      </c>
      <c r="H1558" s="446">
        <v>1.3083000000000001E-3</v>
      </c>
      <c r="I1558" s="445">
        <v>0</v>
      </c>
      <c r="J1558" s="448">
        <v>0</v>
      </c>
      <c r="N1558" s="441"/>
      <c r="O1558" s="441"/>
      <c r="R1558" s="440"/>
    </row>
    <row r="1559" spans="1:18" s="439" customFormat="1">
      <c r="A1559" s="443" t="s">
        <v>318</v>
      </c>
      <c r="B1559" s="444" t="s">
        <v>556</v>
      </c>
      <c r="C1559" s="444" t="s">
        <v>330</v>
      </c>
      <c r="D1559" s="443" t="s">
        <v>557</v>
      </c>
      <c r="E1559" s="444">
        <v>201609</v>
      </c>
      <c r="F1559" s="445">
        <v>2.76</v>
      </c>
      <c r="G1559" s="443">
        <v>7.5</v>
      </c>
      <c r="H1559" s="446">
        <v>1.3083000000000001E-3</v>
      </c>
      <c r="I1559" s="445">
        <v>0.03</v>
      </c>
      <c r="J1559" s="448">
        <v>0.04</v>
      </c>
      <c r="N1559" s="441"/>
      <c r="O1559" s="441"/>
      <c r="R1559" s="440"/>
    </row>
    <row r="1560" spans="1:18" s="439" customFormat="1">
      <c r="A1560" s="443" t="s">
        <v>318</v>
      </c>
      <c r="B1560" s="444" t="s">
        <v>558</v>
      </c>
      <c r="C1560" s="444" t="s">
        <v>330</v>
      </c>
      <c r="D1560" s="443" t="s">
        <v>559</v>
      </c>
      <c r="E1560" s="444">
        <v>201609</v>
      </c>
      <c r="F1560" s="445">
        <v>-1.89</v>
      </c>
      <c r="G1560" s="443">
        <v>7.5</v>
      </c>
      <c r="H1560" s="446">
        <v>1.3083000000000001E-3</v>
      </c>
      <c r="I1560" s="445">
        <v>-0.02</v>
      </c>
      <c r="J1560" s="448">
        <v>-0.03</v>
      </c>
      <c r="N1560" s="441"/>
      <c r="O1560" s="441"/>
      <c r="R1560" s="440"/>
    </row>
    <row r="1561" spans="1:18" s="439" customFormat="1">
      <c r="A1561" s="443" t="s">
        <v>318</v>
      </c>
      <c r="B1561" s="444" t="s">
        <v>558</v>
      </c>
      <c r="C1561" s="444" t="s">
        <v>330</v>
      </c>
      <c r="D1561" s="443" t="s">
        <v>559</v>
      </c>
      <c r="E1561" s="444">
        <v>201609</v>
      </c>
      <c r="F1561" s="445">
        <v>-0.28000000000000003</v>
      </c>
      <c r="G1561" s="443">
        <v>7.5</v>
      </c>
      <c r="H1561" s="446">
        <v>1.3083000000000001E-3</v>
      </c>
      <c r="I1561" s="445">
        <v>0</v>
      </c>
      <c r="J1561" s="448">
        <v>0</v>
      </c>
      <c r="N1561" s="441"/>
      <c r="O1561" s="441"/>
      <c r="R1561" s="440"/>
    </row>
    <row r="1562" spans="1:18" s="439" customFormat="1">
      <c r="A1562" s="443" t="s">
        <v>318</v>
      </c>
      <c r="B1562" s="444" t="s">
        <v>560</v>
      </c>
      <c r="C1562" s="444" t="s">
        <v>330</v>
      </c>
      <c r="D1562" s="443" t="s">
        <v>561</v>
      </c>
      <c r="E1562" s="444">
        <v>201609</v>
      </c>
      <c r="F1562" s="445">
        <v>-3.09</v>
      </c>
      <c r="G1562" s="443">
        <v>7.5</v>
      </c>
      <c r="H1562" s="446">
        <v>1.3083000000000001E-3</v>
      </c>
      <c r="I1562" s="445">
        <v>-0.03</v>
      </c>
      <c r="J1562" s="448">
        <v>-0.05</v>
      </c>
      <c r="N1562" s="441"/>
      <c r="O1562" s="441"/>
      <c r="R1562" s="440"/>
    </row>
    <row r="1563" spans="1:18" s="439" customFormat="1">
      <c r="A1563" s="443" t="s">
        <v>318</v>
      </c>
      <c r="B1563" s="444" t="s">
        <v>560</v>
      </c>
      <c r="C1563" s="444" t="s">
        <v>330</v>
      </c>
      <c r="D1563" s="443" t="s">
        <v>561</v>
      </c>
      <c r="E1563" s="444">
        <v>201609</v>
      </c>
      <c r="F1563" s="445">
        <v>-0.24</v>
      </c>
      <c r="G1563" s="443">
        <v>7.5</v>
      </c>
      <c r="H1563" s="446">
        <v>1.3083000000000001E-3</v>
      </c>
      <c r="I1563" s="445">
        <v>0</v>
      </c>
      <c r="J1563" s="448">
        <v>0</v>
      </c>
      <c r="N1563" s="441"/>
      <c r="O1563" s="441"/>
      <c r="R1563" s="440"/>
    </row>
    <row r="1564" spans="1:18" s="439" customFormat="1">
      <c r="A1564" s="443" t="s">
        <v>318</v>
      </c>
      <c r="B1564" s="444" t="s">
        <v>562</v>
      </c>
      <c r="C1564" s="444" t="s">
        <v>330</v>
      </c>
      <c r="D1564" s="443" t="s">
        <v>563</v>
      </c>
      <c r="E1564" s="444">
        <v>201609</v>
      </c>
      <c r="F1564" s="445">
        <v>2.54</v>
      </c>
      <c r="G1564" s="443">
        <v>7.5</v>
      </c>
      <c r="H1564" s="446">
        <v>1.3083000000000001E-3</v>
      </c>
      <c r="I1564" s="445">
        <v>0.02</v>
      </c>
      <c r="J1564" s="448">
        <v>0.04</v>
      </c>
      <c r="N1564" s="441"/>
      <c r="O1564" s="441"/>
      <c r="R1564" s="440"/>
    </row>
    <row r="1565" spans="1:18" s="439" customFormat="1">
      <c r="A1565" s="443" t="s">
        <v>318</v>
      </c>
      <c r="B1565" s="444" t="s">
        <v>562</v>
      </c>
      <c r="C1565" s="444" t="s">
        <v>330</v>
      </c>
      <c r="D1565" s="443" t="s">
        <v>563</v>
      </c>
      <c r="E1565" s="444">
        <v>201609</v>
      </c>
      <c r="F1565" s="445">
        <v>40.01</v>
      </c>
      <c r="G1565" s="443">
        <v>7.5</v>
      </c>
      <c r="H1565" s="446">
        <v>1.3083000000000001E-3</v>
      </c>
      <c r="I1565" s="445">
        <v>0.39</v>
      </c>
      <c r="J1565" s="448">
        <v>0.63</v>
      </c>
      <c r="N1565" s="441"/>
      <c r="O1565" s="441"/>
      <c r="R1565" s="440"/>
    </row>
    <row r="1566" spans="1:18" s="439" customFormat="1">
      <c r="A1566" s="443" t="s">
        <v>318</v>
      </c>
      <c r="B1566" s="444" t="s">
        <v>1033</v>
      </c>
      <c r="C1566" s="444" t="s">
        <v>330</v>
      </c>
      <c r="D1566" s="443" t="s">
        <v>1034</v>
      </c>
      <c r="E1566" s="444">
        <v>201609</v>
      </c>
      <c r="F1566" s="445">
        <v>4733.29</v>
      </c>
      <c r="G1566" s="443">
        <v>7.5</v>
      </c>
      <c r="H1566" s="446">
        <v>1.3083000000000001E-3</v>
      </c>
      <c r="I1566" s="445">
        <v>46.44</v>
      </c>
      <c r="J1566" s="448">
        <v>74.31</v>
      </c>
      <c r="N1566" s="441"/>
      <c r="O1566" s="441"/>
      <c r="R1566" s="440"/>
    </row>
    <row r="1567" spans="1:18" s="439" customFormat="1">
      <c r="A1567" s="443" t="s">
        <v>318</v>
      </c>
      <c r="B1567" s="444" t="s">
        <v>1033</v>
      </c>
      <c r="C1567" s="444" t="s">
        <v>330</v>
      </c>
      <c r="D1567" s="443" t="s">
        <v>1034</v>
      </c>
      <c r="E1567" s="444">
        <v>201609</v>
      </c>
      <c r="F1567" s="445">
        <v>86319.41</v>
      </c>
      <c r="G1567" s="443">
        <v>7.5</v>
      </c>
      <c r="H1567" s="446">
        <v>1.3083000000000001E-3</v>
      </c>
      <c r="I1567" s="445">
        <v>846.99</v>
      </c>
      <c r="J1567" s="448">
        <v>1355.18</v>
      </c>
      <c r="N1567" s="441"/>
      <c r="O1567" s="441"/>
      <c r="R1567" s="440"/>
    </row>
    <row r="1568" spans="1:18" s="439" customFormat="1">
      <c r="A1568" s="443" t="s">
        <v>318</v>
      </c>
      <c r="B1568" s="444" t="s">
        <v>602</v>
      </c>
      <c r="C1568" s="444" t="s">
        <v>330</v>
      </c>
      <c r="D1568" s="443" t="s">
        <v>603</v>
      </c>
      <c r="E1568" s="444">
        <v>201609</v>
      </c>
      <c r="F1568" s="445">
        <v>-21.01</v>
      </c>
      <c r="G1568" s="443">
        <v>7.5</v>
      </c>
      <c r="H1568" s="446">
        <v>1.3083000000000001E-3</v>
      </c>
      <c r="I1568" s="445">
        <v>-0.21</v>
      </c>
      <c r="J1568" s="448">
        <v>-0.33</v>
      </c>
      <c r="N1568" s="441"/>
      <c r="O1568" s="441"/>
      <c r="R1568" s="440"/>
    </row>
    <row r="1569" spans="1:18" s="439" customFormat="1">
      <c r="A1569" s="443" t="s">
        <v>318</v>
      </c>
      <c r="B1569" s="444" t="s">
        <v>602</v>
      </c>
      <c r="C1569" s="444" t="s">
        <v>330</v>
      </c>
      <c r="D1569" s="443" t="s">
        <v>603</v>
      </c>
      <c r="E1569" s="444">
        <v>201609</v>
      </c>
      <c r="F1569" s="445">
        <v>-12.09</v>
      </c>
      <c r="G1569" s="443">
        <v>7.5</v>
      </c>
      <c r="H1569" s="446">
        <v>1.3083000000000001E-3</v>
      </c>
      <c r="I1569" s="445">
        <v>-0.12</v>
      </c>
      <c r="J1569" s="448">
        <v>-0.19</v>
      </c>
      <c r="N1569" s="441"/>
      <c r="O1569" s="441"/>
      <c r="R1569" s="440"/>
    </row>
    <row r="1570" spans="1:18" s="439" customFormat="1">
      <c r="A1570" s="443" t="s">
        <v>318</v>
      </c>
      <c r="B1570" s="444" t="s">
        <v>810</v>
      </c>
      <c r="C1570" s="444" t="s">
        <v>330</v>
      </c>
      <c r="D1570" s="443" t="s">
        <v>811</v>
      </c>
      <c r="E1570" s="444">
        <v>201609</v>
      </c>
      <c r="F1570" s="445">
        <v>279.5</v>
      </c>
      <c r="G1570" s="443">
        <v>7.5</v>
      </c>
      <c r="H1570" s="446">
        <v>1.3083000000000001E-3</v>
      </c>
      <c r="I1570" s="445">
        <v>2.74</v>
      </c>
      <c r="J1570" s="448">
        <v>4.3899999999999997</v>
      </c>
      <c r="N1570" s="441"/>
      <c r="O1570" s="441"/>
      <c r="R1570" s="440"/>
    </row>
    <row r="1571" spans="1:18" s="439" customFormat="1">
      <c r="A1571" s="443" t="s">
        <v>318</v>
      </c>
      <c r="B1571" s="444" t="s">
        <v>810</v>
      </c>
      <c r="C1571" s="444" t="s">
        <v>330</v>
      </c>
      <c r="D1571" s="443" t="s">
        <v>811</v>
      </c>
      <c r="E1571" s="444">
        <v>201609</v>
      </c>
      <c r="F1571" s="445">
        <v>4135.92</v>
      </c>
      <c r="G1571" s="443">
        <v>7.5</v>
      </c>
      <c r="H1571" s="446">
        <v>1.3083000000000001E-3</v>
      </c>
      <c r="I1571" s="445">
        <v>40.58</v>
      </c>
      <c r="J1571" s="448">
        <v>64.930000000000007</v>
      </c>
      <c r="N1571" s="441"/>
      <c r="O1571" s="441"/>
      <c r="R1571" s="440"/>
    </row>
    <row r="1572" spans="1:18" s="439" customFormat="1">
      <c r="A1572" s="443" t="s">
        <v>318</v>
      </c>
      <c r="B1572" s="444" t="s">
        <v>635</v>
      </c>
      <c r="C1572" s="444" t="s">
        <v>329</v>
      </c>
      <c r="D1572" s="443" t="s">
        <v>636</v>
      </c>
      <c r="E1572" s="444">
        <v>201609</v>
      </c>
      <c r="F1572" s="445">
        <v>0.21</v>
      </c>
      <c r="G1572" s="443">
        <v>7.5</v>
      </c>
      <c r="H1572" s="446">
        <v>1.3083000000000001E-3</v>
      </c>
      <c r="I1572" s="445">
        <v>0</v>
      </c>
      <c r="J1572" s="448">
        <v>0</v>
      </c>
      <c r="N1572" s="441"/>
      <c r="O1572" s="441"/>
      <c r="R1572" s="440"/>
    </row>
    <row r="1573" spans="1:18" s="439" customFormat="1">
      <c r="A1573" s="443" t="s">
        <v>318</v>
      </c>
      <c r="B1573" s="444" t="s">
        <v>635</v>
      </c>
      <c r="C1573" s="444" t="s">
        <v>329</v>
      </c>
      <c r="D1573" s="443" t="s">
        <v>636</v>
      </c>
      <c r="E1573" s="444">
        <v>201609</v>
      </c>
      <c r="F1573" s="445">
        <v>6.59</v>
      </c>
      <c r="G1573" s="443">
        <v>7.5</v>
      </c>
      <c r="H1573" s="446">
        <v>1.3083000000000001E-3</v>
      </c>
      <c r="I1573" s="445">
        <v>0.06</v>
      </c>
      <c r="J1573" s="448">
        <v>0.1</v>
      </c>
      <c r="N1573" s="441"/>
      <c r="O1573" s="441"/>
      <c r="R1573" s="440"/>
    </row>
    <row r="1574" spans="1:18" s="439" customFormat="1">
      <c r="A1574" s="443" t="s">
        <v>318</v>
      </c>
      <c r="B1574" s="444" t="s">
        <v>812</v>
      </c>
      <c r="C1574" s="444" t="s">
        <v>330</v>
      </c>
      <c r="D1574" s="443" t="s">
        <v>813</v>
      </c>
      <c r="E1574" s="444">
        <v>201609</v>
      </c>
      <c r="F1574" s="445">
        <v>-480035.67</v>
      </c>
      <c r="G1574" s="443">
        <v>7.5</v>
      </c>
      <c r="H1574" s="446">
        <v>1.3083000000000001E-3</v>
      </c>
      <c r="I1574" s="445">
        <v>-4710.2299999999996</v>
      </c>
      <c r="J1574" s="448">
        <v>-7536.37</v>
      </c>
      <c r="N1574" s="441"/>
      <c r="O1574" s="441"/>
      <c r="R1574" s="440"/>
    </row>
    <row r="1575" spans="1:18" s="439" customFormat="1">
      <c r="A1575" s="443" t="s">
        <v>318</v>
      </c>
      <c r="B1575" s="444" t="s">
        <v>812</v>
      </c>
      <c r="C1575" s="444" t="s">
        <v>330</v>
      </c>
      <c r="D1575" s="443" t="s">
        <v>813</v>
      </c>
      <c r="E1575" s="444">
        <v>201609</v>
      </c>
      <c r="F1575" s="445">
        <v>-14117.13</v>
      </c>
      <c r="G1575" s="443">
        <v>7.5</v>
      </c>
      <c r="H1575" s="446">
        <v>1.3083000000000001E-3</v>
      </c>
      <c r="I1575" s="445">
        <v>-138.52000000000001</v>
      </c>
      <c r="J1575" s="448">
        <v>-221.63</v>
      </c>
      <c r="N1575" s="441"/>
      <c r="O1575" s="441"/>
      <c r="R1575" s="440"/>
    </row>
    <row r="1576" spans="1:18" s="439" customFormat="1">
      <c r="A1576" s="443" t="s">
        <v>318</v>
      </c>
      <c r="B1576" s="444" t="s">
        <v>788</v>
      </c>
      <c r="C1576" s="444" t="s">
        <v>330</v>
      </c>
      <c r="D1576" s="443" t="s">
        <v>789</v>
      </c>
      <c r="E1576" s="444">
        <v>201609</v>
      </c>
      <c r="F1576" s="445">
        <v>10.130000000000001</v>
      </c>
      <c r="G1576" s="443">
        <v>7.5</v>
      </c>
      <c r="H1576" s="446">
        <v>1.3083000000000001E-3</v>
      </c>
      <c r="I1576" s="445">
        <v>0.1</v>
      </c>
      <c r="J1576" s="448">
        <v>0.16</v>
      </c>
      <c r="N1576" s="441"/>
      <c r="O1576" s="441"/>
      <c r="R1576" s="440"/>
    </row>
    <row r="1577" spans="1:18" s="439" customFormat="1">
      <c r="A1577" s="443" t="s">
        <v>318</v>
      </c>
      <c r="B1577" s="444" t="s">
        <v>788</v>
      </c>
      <c r="C1577" s="444" t="s">
        <v>330</v>
      </c>
      <c r="D1577" s="443" t="s">
        <v>789</v>
      </c>
      <c r="E1577" s="444">
        <v>201609</v>
      </c>
      <c r="F1577" s="445">
        <v>2071.6</v>
      </c>
      <c r="G1577" s="443">
        <v>7.5</v>
      </c>
      <c r="H1577" s="446">
        <v>1.3083000000000001E-3</v>
      </c>
      <c r="I1577" s="445">
        <v>20.329999999999998</v>
      </c>
      <c r="J1577" s="448">
        <v>32.520000000000003</v>
      </c>
      <c r="N1577" s="441"/>
      <c r="O1577" s="441"/>
      <c r="R1577" s="440"/>
    </row>
    <row r="1578" spans="1:18" s="439" customFormat="1">
      <c r="A1578" s="443" t="s">
        <v>318</v>
      </c>
      <c r="B1578" s="444" t="s">
        <v>564</v>
      </c>
      <c r="C1578" s="444" t="s">
        <v>330</v>
      </c>
      <c r="D1578" s="443" t="s">
        <v>669</v>
      </c>
      <c r="E1578" s="444">
        <v>201609</v>
      </c>
      <c r="F1578" s="445">
        <v>-1.64</v>
      </c>
      <c r="G1578" s="443">
        <v>7.5</v>
      </c>
      <c r="H1578" s="446">
        <v>1.3083000000000001E-3</v>
      </c>
      <c r="I1578" s="445">
        <v>-0.02</v>
      </c>
      <c r="J1578" s="448">
        <v>-0.03</v>
      </c>
      <c r="N1578" s="441"/>
      <c r="O1578" s="441"/>
      <c r="R1578" s="440"/>
    </row>
    <row r="1579" spans="1:18" s="439" customFormat="1">
      <c r="A1579" s="443" t="s">
        <v>318</v>
      </c>
      <c r="B1579" s="444" t="s">
        <v>564</v>
      </c>
      <c r="C1579" s="444" t="s">
        <v>330</v>
      </c>
      <c r="D1579" s="443" t="s">
        <v>669</v>
      </c>
      <c r="E1579" s="444">
        <v>201609</v>
      </c>
      <c r="F1579" s="445">
        <v>-0.15</v>
      </c>
      <c r="G1579" s="443">
        <v>7.5</v>
      </c>
      <c r="H1579" s="446">
        <v>1.3083000000000001E-3</v>
      </c>
      <c r="I1579" s="445">
        <v>0</v>
      </c>
      <c r="J1579" s="448">
        <v>0</v>
      </c>
      <c r="N1579" s="441"/>
      <c r="O1579" s="441"/>
      <c r="R1579" s="440"/>
    </row>
    <row r="1580" spans="1:18" s="439" customFormat="1">
      <c r="A1580" s="443" t="s">
        <v>318</v>
      </c>
      <c r="B1580" s="444" t="s">
        <v>829</v>
      </c>
      <c r="C1580" s="444" t="s">
        <v>330</v>
      </c>
      <c r="D1580" s="443" t="s">
        <v>831</v>
      </c>
      <c r="E1580" s="444">
        <v>201609</v>
      </c>
      <c r="F1580" s="445">
        <v>-20202.09</v>
      </c>
      <c r="G1580" s="443">
        <v>7.5</v>
      </c>
      <c r="H1580" s="446">
        <v>1.3083000000000001E-3</v>
      </c>
      <c r="I1580" s="445">
        <v>-198.23</v>
      </c>
      <c r="J1580" s="448">
        <v>-317.16000000000003</v>
      </c>
      <c r="N1580" s="441"/>
      <c r="O1580" s="441"/>
      <c r="R1580" s="440"/>
    </row>
    <row r="1581" spans="1:18" s="439" customFormat="1">
      <c r="A1581" s="443" t="s">
        <v>318</v>
      </c>
      <c r="B1581" s="444" t="s">
        <v>829</v>
      </c>
      <c r="C1581" s="444" t="s">
        <v>330</v>
      </c>
      <c r="D1581" s="443" t="s">
        <v>831</v>
      </c>
      <c r="E1581" s="444">
        <v>201609</v>
      </c>
      <c r="F1581" s="445">
        <v>-4934.88</v>
      </c>
      <c r="G1581" s="443">
        <v>7.5</v>
      </c>
      <c r="H1581" s="446">
        <v>1.3083000000000001E-3</v>
      </c>
      <c r="I1581" s="445">
        <v>-48.42</v>
      </c>
      <c r="J1581" s="448">
        <v>-77.48</v>
      </c>
      <c r="N1581" s="441"/>
      <c r="O1581" s="441"/>
      <c r="R1581" s="440"/>
    </row>
    <row r="1582" spans="1:18" s="439" customFormat="1">
      <c r="A1582" s="443" t="s">
        <v>318</v>
      </c>
      <c r="B1582" s="444" t="s">
        <v>832</v>
      </c>
      <c r="C1582" s="444" t="s">
        <v>330</v>
      </c>
      <c r="D1582" s="443" t="s">
        <v>833</v>
      </c>
      <c r="E1582" s="444">
        <v>201609</v>
      </c>
      <c r="F1582" s="445">
        <v>45.41</v>
      </c>
      <c r="G1582" s="443">
        <v>7.5</v>
      </c>
      <c r="H1582" s="446">
        <v>1.3083000000000001E-3</v>
      </c>
      <c r="I1582" s="445">
        <v>0.45</v>
      </c>
      <c r="J1582" s="448">
        <v>0.71</v>
      </c>
      <c r="N1582" s="441"/>
      <c r="O1582" s="441"/>
      <c r="R1582" s="440"/>
    </row>
    <row r="1583" spans="1:18" s="439" customFormat="1">
      <c r="A1583" s="443" t="s">
        <v>318</v>
      </c>
      <c r="B1583" s="444" t="s">
        <v>832</v>
      </c>
      <c r="C1583" s="444" t="s">
        <v>330</v>
      </c>
      <c r="D1583" s="443" t="s">
        <v>833</v>
      </c>
      <c r="E1583" s="444">
        <v>201609</v>
      </c>
      <c r="F1583" s="445">
        <v>2172.63</v>
      </c>
      <c r="G1583" s="443">
        <v>7.5</v>
      </c>
      <c r="H1583" s="446">
        <v>1.3083000000000001E-3</v>
      </c>
      <c r="I1583" s="445">
        <v>21.32</v>
      </c>
      <c r="J1583" s="448">
        <v>34.11</v>
      </c>
      <c r="N1583" s="441"/>
      <c r="O1583" s="441"/>
      <c r="R1583" s="440"/>
    </row>
    <row r="1584" spans="1:18" s="439" customFormat="1">
      <c r="A1584" s="443" t="s">
        <v>318</v>
      </c>
      <c r="B1584" s="444" t="s">
        <v>670</v>
      </c>
      <c r="C1584" s="444" t="s">
        <v>330</v>
      </c>
      <c r="D1584" s="443" t="s">
        <v>671</v>
      </c>
      <c r="E1584" s="444">
        <v>201609</v>
      </c>
      <c r="F1584" s="445">
        <v>9.15</v>
      </c>
      <c r="G1584" s="443">
        <v>7.5</v>
      </c>
      <c r="H1584" s="446">
        <v>1.3083000000000001E-3</v>
      </c>
      <c r="I1584" s="445">
        <v>0.09</v>
      </c>
      <c r="J1584" s="448">
        <v>0.14000000000000001</v>
      </c>
      <c r="N1584" s="441"/>
      <c r="O1584" s="441"/>
      <c r="R1584" s="440"/>
    </row>
    <row r="1585" spans="1:18" s="439" customFormat="1">
      <c r="A1585" s="443" t="s">
        <v>318</v>
      </c>
      <c r="B1585" s="444" t="s">
        <v>670</v>
      </c>
      <c r="C1585" s="444" t="s">
        <v>330</v>
      </c>
      <c r="D1585" s="443" t="s">
        <v>671</v>
      </c>
      <c r="E1585" s="444">
        <v>201609</v>
      </c>
      <c r="F1585" s="445">
        <v>1392.76</v>
      </c>
      <c r="G1585" s="443">
        <v>7.5</v>
      </c>
      <c r="H1585" s="446">
        <v>1.3083000000000001E-3</v>
      </c>
      <c r="I1585" s="445">
        <v>13.67</v>
      </c>
      <c r="J1585" s="448">
        <v>21.87</v>
      </c>
      <c r="N1585" s="441"/>
      <c r="O1585" s="441"/>
      <c r="R1585" s="440"/>
    </row>
    <row r="1586" spans="1:18" s="439" customFormat="1">
      <c r="A1586" s="443" t="s">
        <v>318</v>
      </c>
      <c r="B1586" s="444" t="s">
        <v>945</v>
      </c>
      <c r="C1586" s="444" t="s">
        <v>330</v>
      </c>
      <c r="D1586" s="443" t="s">
        <v>946</v>
      </c>
      <c r="E1586" s="444">
        <v>201609</v>
      </c>
      <c r="F1586" s="445">
        <v>138.76</v>
      </c>
      <c r="G1586" s="443">
        <v>7.5</v>
      </c>
      <c r="H1586" s="446">
        <v>1.3083000000000001E-3</v>
      </c>
      <c r="I1586" s="445">
        <v>1.36</v>
      </c>
      <c r="J1586" s="448">
        <v>2.1800000000000002</v>
      </c>
      <c r="N1586" s="441"/>
      <c r="O1586" s="441"/>
      <c r="R1586" s="440"/>
    </row>
    <row r="1587" spans="1:18" s="439" customFormat="1">
      <c r="A1587" s="443" t="s">
        <v>318</v>
      </c>
      <c r="B1587" s="444" t="s">
        <v>945</v>
      </c>
      <c r="C1587" s="444" t="s">
        <v>330</v>
      </c>
      <c r="D1587" s="443" t="s">
        <v>946</v>
      </c>
      <c r="E1587" s="444">
        <v>201609</v>
      </c>
      <c r="F1587" s="445">
        <v>6209.54</v>
      </c>
      <c r="G1587" s="443">
        <v>7.5</v>
      </c>
      <c r="H1587" s="446">
        <v>1.3083000000000001E-3</v>
      </c>
      <c r="I1587" s="445">
        <v>60.93</v>
      </c>
      <c r="J1587" s="448">
        <v>97.49</v>
      </c>
      <c r="N1587" s="441"/>
      <c r="O1587" s="441"/>
      <c r="R1587" s="440"/>
    </row>
    <row r="1588" spans="1:18" s="439" customFormat="1">
      <c r="A1588" s="443" t="s">
        <v>318</v>
      </c>
      <c r="B1588" s="444" t="s">
        <v>606</v>
      </c>
      <c r="C1588" s="444" t="s">
        <v>330</v>
      </c>
      <c r="D1588" s="443" t="s">
        <v>607</v>
      </c>
      <c r="E1588" s="444">
        <v>201609</v>
      </c>
      <c r="F1588" s="445">
        <v>0.14000000000000001</v>
      </c>
      <c r="G1588" s="443">
        <v>7.5</v>
      </c>
      <c r="H1588" s="446">
        <v>1.3083000000000001E-3</v>
      </c>
      <c r="I1588" s="445">
        <v>0</v>
      </c>
      <c r="J1588" s="448">
        <v>0</v>
      </c>
      <c r="N1588" s="441"/>
      <c r="O1588" s="441"/>
      <c r="R1588" s="440"/>
    </row>
    <row r="1589" spans="1:18" s="439" customFormat="1">
      <c r="A1589" s="443" t="s">
        <v>318</v>
      </c>
      <c r="B1589" s="444" t="s">
        <v>606</v>
      </c>
      <c r="C1589" s="444" t="s">
        <v>330</v>
      </c>
      <c r="D1589" s="443" t="s">
        <v>607</v>
      </c>
      <c r="E1589" s="444">
        <v>201609</v>
      </c>
      <c r="F1589" s="445">
        <v>8.35</v>
      </c>
      <c r="G1589" s="443">
        <v>7.5</v>
      </c>
      <c r="H1589" s="446">
        <v>1.3083000000000001E-3</v>
      </c>
      <c r="I1589" s="445">
        <v>0.08</v>
      </c>
      <c r="J1589" s="448">
        <v>0.13</v>
      </c>
      <c r="N1589" s="441"/>
      <c r="O1589" s="441"/>
      <c r="R1589" s="440"/>
    </row>
    <row r="1590" spans="1:18" s="439" customFormat="1">
      <c r="A1590" s="443" t="s">
        <v>318</v>
      </c>
      <c r="B1590" s="444" t="s">
        <v>947</v>
      </c>
      <c r="C1590" s="444" t="s">
        <v>330</v>
      </c>
      <c r="D1590" s="443" t="s">
        <v>948</v>
      </c>
      <c r="E1590" s="444">
        <v>201609</v>
      </c>
      <c r="F1590" s="445">
        <v>158.41</v>
      </c>
      <c r="G1590" s="443">
        <v>7.5</v>
      </c>
      <c r="H1590" s="446">
        <v>1.3083000000000001E-3</v>
      </c>
      <c r="I1590" s="445">
        <v>1.55</v>
      </c>
      <c r="J1590" s="448">
        <v>2.4900000000000002</v>
      </c>
      <c r="N1590" s="441"/>
      <c r="O1590" s="441"/>
      <c r="R1590" s="440"/>
    </row>
    <row r="1591" spans="1:18" s="439" customFormat="1">
      <c r="A1591" s="443" t="s">
        <v>318</v>
      </c>
      <c r="B1591" s="444" t="s">
        <v>947</v>
      </c>
      <c r="C1591" s="444" t="s">
        <v>330</v>
      </c>
      <c r="D1591" s="443" t="s">
        <v>948</v>
      </c>
      <c r="E1591" s="444">
        <v>201609</v>
      </c>
      <c r="F1591" s="445">
        <v>4418.57</v>
      </c>
      <c r="G1591" s="443">
        <v>7.5</v>
      </c>
      <c r="H1591" s="446">
        <v>1.3083000000000001E-3</v>
      </c>
      <c r="I1591" s="445">
        <v>43.36</v>
      </c>
      <c r="J1591" s="448">
        <v>69.37</v>
      </c>
      <c r="N1591" s="441"/>
      <c r="O1591" s="441"/>
      <c r="R1591" s="440"/>
    </row>
    <row r="1592" spans="1:18" s="439" customFormat="1">
      <c r="A1592" s="443" t="s">
        <v>318</v>
      </c>
      <c r="B1592" s="444" t="s">
        <v>834</v>
      </c>
      <c r="C1592" s="444" t="s">
        <v>330</v>
      </c>
      <c r="D1592" s="443" t="s">
        <v>835</v>
      </c>
      <c r="E1592" s="444">
        <v>201609</v>
      </c>
      <c r="F1592" s="445">
        <v>534.98</v>
      </c>
      <c r="G1592" s="443">
        <v>7.5</v>
      </c>
      <c r="H1592" s="446">
        <v>1.3083000000000001E-3</v>
      </c>
      <c r="I1592" s="445">
        <v>5.25</v>
      </c>
      <c r="J1592" s="448">
        <v>8.4</v>
      </c>
      <c r="N1592" s="441"/>
      <c r="O1592" s="441"/>
      <c r="R1592" s="440"/>
    </row>
    <row r="1593" spans="1:18" s="439" customFormat="1">
      <c r="A1593" s="443" t="s">
        <v>318</v>
      </c>
      <c r="B1593" s="444" t="s">
        <v>834</v>
      </c>
      <c r="C1593" s="444" t="s">
        <v>330</v>
      </c>
      <c r="D1593" s="443" t="s">
        <v>835</v>
      </c>
      <c r="E1593" s="444">
        <v>201609</v>
      </c>
      <c r="F1593" s="445">
        <v>6050.22</v>
      </c>
      <c r="G1593" s="443">
        <v>7.5</v>
      </c>
      <c r="H1593" s="446">
        <v>1.3083000000000001E-3</v>
      </c>
      <c r="I1593" s="445">
        <v>59.37</v>
      </c>
      <c r="J1593" s="448">
        <v>94.99</v>
      </c>
      <c r="N1593" s="441"/>
      <c r="O1593" s="441"/>
      <c r="R1593" s="440"/>
    </row>
    <row r="1594" spans="1:18" s="439" customFormat="1">
      <c r="A1594" s="443" t="s">
        <v>318</v>
      </c>
      <c r="B1594" s="444" t="s">
        <v>949</v>
      </c>
      <c r="C1594" s="444" t="s">
        <v>330</v>
      </c>
      <c r="D1594" s="443" t="s">
        <v>950</v>
      </c>
      <c r="E1594" s="444">
        <v>201609</v>
      </c>
      <c r="F1594" s="445">
        <v>166.38</v>
      </c>
      <c r="G1594" s="443">
        <v>7.5</v>
      </c>
      <c r="H1594" s="446">
        <v>1.3083000000000001E-3</v>
      </c>
      <c r="I1594" s="445">
        <v>1.63</v>
      </c>
      <c r="J1594" s="448">
        <v>2.61</v>
      </c>
      <c r="N1594" s="441"/>
      <c r="O1594" s="441"/>
      <c r="R1594" s="440"/>
    </row>
    <row r="1595" spans="1:18" s="439" customFormat="1">
      <c r="A1595" s="443" t="s">
        <v>318</v>
      </c>
      <c r="B1595" s="444" t="s">
        <v>949</v>
      </c>
      <c r="C1595" s="444" t="s">
        <v>330</v>
      </c>
      <c r="D1595" s="443" t="s">
        <v>950</v>
      </c>
      <c r="E1595" s="444">
        <v>201609</v>
      </c>
      <c r="F1595" s="445">
        <v>3415.95</v>
      </c>
      <c r="G1595" s="443">
        <v>7.5</v>
      </c>
      <c r="H1595" s="446">
        <v>1.3083000000000001E-3</v>
      </c>
      <c r="I1595" s="445">
        <v>33.520000000000003</v>
      </c>
      <c r="J1595" s="448">
        <v>53.63</v>
      </c>
      <c r="N1595" s="441"/>
      <c r="O1595" s="441"/>
      <c r="R1595" s="440"/>
    </row>
    <row r="1596" spans="1:18" s="439" customFormat="1">
      <c r="A1596" s="443" t="s">
        <v>318</v>
      </c>
      <c r="B1596" s="444" t="s">
        <v>951</v>
      </c>
      <c r="C1596" s="444" t="s">
        <v>330</v>
      </c>
      <c r="D1596" s="443" t="s">
        <v>952</v>
      </c>
      <c r="E1596" s="444">
        <v>201609</v>
      </c>
      <c r="F1596" s="445">
        <v>75.61</v>
      </c>
      <c r="G1596" s="443">
        <v>7.5</v>
      </c>
      <c r="H1596" s="446">
        <v>1.3083000000000001E-3</v>
      </c>
      <c r="I1596" s="445">
        <v>0.74</v>
      </c>
      <c r="J1596" s="448">
        <v>1.19</v>
      </c>
      <c r="N1596" s="441"/>
      <c r="O1596" s="441"/>
      <c r="R1596" s="440"/>
    </row>
    <row r="1597" spans="1:18" s="439" customFormat="1">
      <c r="A1597" s="443" t="s">
        <v>318</v>
      </c>
      <c r="B1597" s="444" t="s">
        <v>951</v>
      </c>
      <c r="C1597" s="444" t="s">
        <v>330</v>
      </c>
      <c r="D1597" s="443" t="s">
        <v>952</v>
      </c>
      <c r="E1597" s="444">
        <v>201609</v>
      </c>
      <c r="F1597" s="445">
        <v>2359.0100000000002</v>
      </c>
      <c r="G1597" s="443">
        <v>7.5</v>
      </c>
      <c r="H1597" s="446">
        <v>1.3083000000000001E-3</v>
      </c>
      <c r="I1597" s="445">
        <v>23.15</v>
      </c>
      <c r="J1597" s="448">
        <v>37.04</v>
      </c>
      <c r="N1597" s="441"/>
      <c r="O1597" s="441"/>
      <c r="R1597" s="440"/>
    </row>
    <row r="1598" spans="1:18" s="439" customFormat="1">
      <c r="A1598" s="443" t="s">
        <v>318</v>
      </c>
      <c r="B1598" s="444" t="s">
        <v>953</v>
      </c>
      <c r="C1598" s="444" t="s">
        <v>330</v>
      </c>
      <c r="D1598" s="443" t="s">
        <v>954</v>
      </c>
      <c r="E1598" s="444">
        <v>201609</v>
      </c>
      <c r="F1598" s="445">
        <v>26.22</v>
      </c>
      <c r="G1598" s="443">
        <v>7.5</v>
      </c>
      <c r="H1598" s="446">
        <v>1.3083000000000001E-3</v>
      </c>
      <c r="I1598" s="445">
        <v>0.26</v>
      </c>
      <c r="J1598" s="448">
        <v>0.41</v>
      </c>
      <c r="N1598" s="441"/>
      <c r="O1598" s="441"/>
      <c r="R1598" s="440"/>
    </row>
    <row r="1599" spans="1:18" s="439" customFormat="1">
      <c r="A1599" s="443" t="s">
        <v>318</v>
      </c>
      <c r="B1599" s="444" t="s">
        <v>953</v>
      </c>
      <c r="C1599" s="444" t="s">
        <v>330</v>
      </c>
      <c r="D1599" s="443" t="s">
        <v>954</v>
      </c>
      <c r="E1599" s="444">
        <v>201609</v>
      </c>
      <c r="F1599" s="445">
        <v>987.35</v>
      </c>
      <c r="G1599" s="443">
        <v>7.5</v>
      </c>
      <c r="H1599" s="446">
        <v>1.3083000000000001E-3</v>
      </c>
      <c r="I1599" s="445">
        <v>9.69</v>
      </c>
      <c r="J1599" s="448">
        <v>15.5</v>
      </c>
      <c r="N1599" s="441"/>
      <c r="O1599" s="441"/>
      <c r="R1599" s="440"/>
    </row>
    <row r="1600" spans="1:18" s="439" customFormat="1">
      <c r="A1600" s="443" t="s">
        <v>318</v>
      </c>
      <c r="B1600" s="444" t="s">
        <v>955</v>
      </c>
      <c r="C1600" s="444" t="s">
        <v>330</v>
      </c>
      <c r="D1600" s="443" t="s">
        <v>956</v>
      </c>
      <c r="E1600" s="444">
        <v>201609</v>
      </c>
      <c r="F1600" s="445">
        <v>47.14</v>
      </c>
      <c r="G1600" s="443">
        <v>7.5</v>
      </c>
      <c r="H1600" s="446">
        <v>1.3083000000000001E-3</v>
      </c>
      <c r="I1600" s="445">
        <v>0.46</v>
      </c>
      <c r="J1600" s="448">
        <v>0.74</v>
      </c>
      <c r="N1600" s="441"/>
      <c r="O1600" s="441"/>
      <c r="R1600" s="440"/>
    </row>
    <row r="1601" spans="1:18" s="439" customFormat="1">
      <c r="A1601" s="443" t="s">
        <v>318</v>
      </c>
      <c r="B1601" s="444" t="s">
        <v>955</v>
      </c>
      <c r="C1601" s="444" t="s">
        <v>330</v>
      </c>
      <c r="D1601" s="443" t="s">
        <v>956</v>
      </c>
      <c r="E1601" s="444">
        <v>201609</v>
      </c>
      <c r="F1601" s="445">
        <v>1473.29</v>
      </c>
      <c r="G1601" s="443">
        <v>7.5</v>
      </c>
      <c r="H1601" s="446">
        <v>1.3083000000000001E-3</v>
      </c>
      <c r="I1601" s="445">
        <v>14.46</v>
      </c>
      <c r="J1601" s="448">
        <v>23.13</v>
      </c>
      <c r="N1601" s="441"/>
      <c r="O1601" s="441"/>
      <c r="R1601" s="440"/>
    </row>
    <row r="1602" spans="1:18" s="439" customFormat="1">
      <c r="A1602" s="443" t="s">
        <v>318</v>
      </c>
      <c r="B1602" s="444" t="s">
        <v>957</v>
      </c>
      <c r="C1602" s="444" t="s">
        <v>330</v>
      </c>
      <c r="D1602" s="443" t="s">
        <v>958</v>
      </c>
      <c r="E1602" s="444">
        <v>201609</v>
      </c>
      <c r="F1602" s="445">
        <v>109.02</v>
      </c>
      <c r="G1602" s="443">
        <v>7.5</v>
      </c>
      <c r="H1602" s="446">
        <v>1.3083000000000001E-3</v>
      </c>
      <c r="I1602" s="445">
        <v>1.07</v>
      </c>
      <c r="J1602" s="448">
        <v>1.71</v>
      </c>
      <c r="N1602" s="441"/>
      <c r="O1602" s="441"/>
      <c r="R1602" s="440"/>
    </row>
    <row r="1603" spans="1:18" s="439" customFormat="1">
      <c r="A1603" s="443" t="s">
        <v>318</v>
      </c>
      <c r="B1603" s="444" t="s">
        <v>957</v>
      </c>
      <c r="C1603" s="444" t="s">
        <v>330</v>
      </c>
      <c r="D1603" s="443" t="s">
        <v>958</v>
      </c>
      <c r="E1603" s="444">
        <v>201609</v>
      </c>
      <c r="F1603" s="445">
        <v>2811.21</v>
      </c>
      <c r="G1603" s="443">
        <v>7.5</v>
      </c>
      <c r="H1603" s="446">
        <v>1.3083000000000001E-3</v>
      </c>
      <c r="I1603" s="445">
        <v>27.58</v>
      </c>
      <c r="J1603" s="448">
        <v>44.13</v>
      </c>
      <c r="N1603" s="441"/>
      <c r="O1603" s="441"/>
      <c r="R1603" s="440"/>
    </row>
    <row r="1604" spans="1:18" s="439" customFormat="1">
      <c r="A1604" s="443" t="s">
        <v>318</v>
      </c>
      <c r="B1604" s="444" t="s">
        <v>959</v>
      </c>
      <c r="C1604" s="444" t="s">
        <v>330</v>
      </c>
      <c r="D1604" s="443" t="s">
        <v>960</v>
      </c>
      <c r="E1604" s="444">
        <v>201609</v>
      </c>
      <c r="F1604" s="445">
        <v>67.56</v>
      </c>
      <c r="G1604" s="443">
        <v>7.5</v>
      </c>
      <c r="H1604" s="446">
        <v>1.3083000000000001E-3</v>
      </c>
      <c r="I1604" s="445">
        <v>0.66</v>
      </c>
      <c r="J1604" s="448">
        <v>1.06</v>
      </c>
      <c r="N1604" s="441"/>
      <c r="O1604" s="441"/>
      <c r="R1604" s="440"/>
    </row>
    <row r="1605" spans="1:18" s="439" customFormat="1">
      <c r="A1605" s="443" t="s">
        <v>318</v>
      </c>
      <c r="B1605" s="444" t="s">
        <v>959</v>
      </c>
      <c r="C1605" s="444" t="s">
        <v>330</v>
      </c>
      <c r="D1605" s="443" t="s">
        <v>960</v>
      </c>
      <c r="E1605" s="444">
        <v>201609</v>
      </c>
      <c r="F1605" s="445">
        <v>2067.77</v>
      </c>
      <c r="G1605" s="443">
        <v>7.5</v>
      </c>
      <c r="H1605" s="446">
        <v>1.3083000000000001E-3</v>
      </c>
      <c r="I1605" s="445">
        <v>20.29</v>
      </c>
      <c r="J1605" s="448">
        <v>32.46</v>
      </c>
      <c r="N1605" s="441"/>
      <c r="O1605" s="441"/>
      <c r="R1605" s="440"/>
    </row>
    <row r="1606" spans="1:18" s="439" customFormat="1">
      <c r="A1606" s="443" t="s">
        <v>318</v>
      </c>
      <c r="B1606" s="444" t="s">
        <v>608</v>
      </c>
      <c r="C1606" s="444" t="s">
        <v>330</v>
      </c>
      <c r="D1606" s="443" t="s">
        <v>609</v>
      </c>
      <c r="E1606" s="444">
        <v>201609</v>
      </c>
      <c r="F1606" s="445">
        <v>0.06</v>
      </c>
      <c r="G1606" s="443">
        <v>7.5</v>
      </c>
      <c r="H1606" s="446">
        <v>1.3083000000000001E-3</v>
      </c>
      <c r="I1606" s="445">
        <v>0</v>
      </c>
      <c r="J1606" s="448">
        <v>0</v>
      </c>
      <c r="N1606" s="441"/>
      <c r="O1606" s="441"/>
      <c r="R1606" s="440"/>
    </row>
    <row r="1607" spans="1:18" s="439" customFormat="1">
      <c r="A1607" s="443" t="s">
        <v>318</v>
      </c>
      <c r="B1607" s="444" t="s">
        <v>608</v>
      </c>
      <c r="C1607" s="444" t="s">
        <v>330</v>
      </c>
      <c r="D1607" s="443" t="s">
        <v>609</v>
      </c>
      <c r="E1607" s="444">
        <v>201609</v>
      </c>
      <c r="F1607" s="445">
        <v>0.8</v>
      </c>
      <c r="G1607" s="443">
        <v>7.5</v>
      </c>
      <c r="H1607" s="446">
        <v>1.3083000000000001E-3</v>
      </c>
      <c r="I1607" s="445">
        <v>0.01</v>
      </c>
      <c r="J1607" s="448">
        <v>0.01</v>
      </c>
      <c r="N1607" s="441"/>
      <c r="O1607" s="441"/>
      <c r="R1607" s="440"/>
    </row>
    <row r="1608" spans="1:18" s="439" customFormat="1">
      <c r="A1608" s="443" t="s">
        <v>318</v>
      </c>
      <c r="B1608" s="444" t="s">
        <v>565</v>
      </c>
      <c r="C1608" s="444" t="s">
        <v>330</v>
      </c>
      <c r="D1608" s="443" t="s">
        <v>566</v>
      </c>
      <c r="E1608" s="444">
        <v>201609</v>
      </c>
      <c r="F1608" s="445">
        <v>0.02</v>
      </c>
      <c r="G1608" s="443">
        <v>7.5</v>
      </c>
      <c r="H1608" s="446">
        <v>1.3083000000000001E-3</v>
      </c>
      <c r="I1608" s="445">
        <v>0</v>
      </c>
      <c r="J1608" s="448">
        <v>0</v>
      </c>
      <c r="N1608" s="441"/>
      <c r="O1608" s="441"/>
      <c r="R1608" s="440"/>
    </row>
    <row r="1609" spans="1:18" s="439" customFormat="1">
      <c r="A1609" s="443" t="s">
        <v>318</v>
      </c>
      <c r="B1609" s="444" t="s">
        <v>610</v>
      </c>
      <c r="C1609" s="444" t="s">
        <v>330</v>
      </c>
      <c r="D1609" s="443" t="s">
        <v>611</v>
      </c>
      <c r="E1609" s="444">
        <v>201609</v>
      </c>
      <c r="F1609" s="445">
        <v>0.15</v>
      </c>
      <c r="G1609" s="443">
        <v>7.5</v>
      </c>
      <c r="H1609" s="446">
        <v>1.3083000000000001E-3</v>
      </c>
      <c r="I1609" s="445">
        <v>0</v>
      </c>
      <c r="J1609" s="448">
        <v>0</v>
      </c>
      <c r="N1609" s="441"/>
      <c r="O1609" s="441"/>
      <c r="R1609" s="440"/>
    </row>
    <row r="1610" spans="1:18" s="439" customFormat="1">
      <c r="A1610" s="443" t="s">
        <v>318</v>
      </c>
      <c r="B1610" s="444" t="s">
        <v>610</v>
      </c>
      <c r="C1610" s="444" t="s">
        <v>330</v>
      </c>
      <c r="D1610" s="443" t="s">
        <v>611</v>
      </c>
      <c r="E1610" s="444">
        <v>201609</v>
      </c>
      <c r="F1610" s="445">
        <v>2.8</v>
      </c>
      <c r="G1610" s="443">
        <v>7.5</v>
      </c>
      <c r="H1610" s="446">
        <v>1.3083000000000001E-3</v>
      </c>
      <c r="I1610" s="445">
        <v>0.03</v>
      </c>
      <c r="J1610" s="448">
        <v>0.04</v>
      </c>
      <c r="N1610" s="441"/>
      <c r="O1610" s="441"/>
      <c r="R1610" s="440"/>
    </row>
    <row r="1611" spans="1:18" s="439" customFormat="1">
      <c r="A1611" s="443" t="s">
        <v>318</v>
      </c>
      <c r="B1611" s="444" t="s">
        <v>567</v>
      </c>
      <c r="C1611" s="444" t="s">
        <v>330</v>
      </c>
      <c r="D1611" s="443" t="s">
        <v>568</v>
      </c>
      <c r="E1611" s="444">
        <v>201609</v>
      </c>
      <c r="F1611" s="445">
        <v>0.01</v>
      </c>
      <c r="G1611" s="443">
        <v>7.5</v>
      </c>
      <c r="H1611" s="446">
        <v>1.3083000000000001E-3</v>
      </c>
      <c r="I1611" s="445">
        <v>0</v>
      </c>
      <c r="J1611" s="448">
        <v>0</v>
      </c>
      <c r="N1611" s="441"/>
      <c r="O1611" s="441"/>
      <c r="R1611" s="440"/>
    </row>
    <row r="1612" spans="1:18" s="439" customFormat="1">
      <c r="A1612" s="443" t="s">
        <v>318</v>
      </c>
      <c r="B1612" s="444" t="s">
        <v>567</v>
      </c>
      <c r="C1612" s="444" t="s">
        <v>330</v>
      </c>
      <c r="D1612" s="443" t="s">
        <v>568</v>
      </c>
      <c r="E1612" s="444">
        <v>201609</v>
      </c>
      <c r="F1612" s="445">
        <v>0.36</v>
      </c>
      <c r="G1612" s="443">
        <v>7.5</v>
      </c>
      <c r="H1612" s="446">
        <v>1.3083000000000001E-3</v>
      </c>
      <c r="I1612" s="445">
        <v>0</v>
      </c>
      <c r="J1612" s="448">
        <v>0.01</v>
      </c>
      <c r="N1612" s="441"/>
      <c r="O1612" s="441"/>
      <c r="R1612" s="440"/>
    </row>
    <row r="1613" spans="1:18" s="439" customFormat="1">
      <c r="A1613" s="443" t="s">
        <v>318</v>
      </c>
      <c r="B1613" s="444" t="s">
        <v>672</v>
      </c>
      <c r="C1613" s="444" t="s">
        <v>330</v>
      </c>
      <c r="D1613" s="443" t="s">
        <v>673</v>
      </c>
      <c r="E1613" s="444">
        <v>201609</v>
      </c>
      <c r="F1613" s="445">
        <v>8.81</v>
      </c>
      <c r="G1613" s="443">
        <v>7.5</v>
      </c>
      <c r="H1613" s="446">
        <v>1.3083000000000001E-3</v>
      </c>
      <c r="I1613" s="445">
        <v>0.09</v>
      </c>
      <c r="J1613" s="448">
        <v>0.14000000000000001</v>
      </c>
      <c r="N1613" s="441"/>
      <c r="O1613" s="441"/>
      <c r="R1613" s="440"/>
    </row>
    <row r="1614" spans="1:18" s="439" customFormat="1">
      <c r="A1614" s="443" t="s">
        <v>318</v>
      </c>
      <c r="B1614" s="444" t="s">
        <v>637</v>
      </c>
      <c r="C1614" s="444" t="s">
        <v>329</v>
      </c>
      <c r="D1614" s="443" t="s">
        <v>638</v>
      </c>
      <c r="E1614" s="444">
        <v>201609</v>
      </c>
      <c r="F1614" s="445">
        <v>0.26</v>
      </c>
      <c r="G1614" s="443">
        <v>7.5</v>
      </c>
      <c r="H1614" s="446">
        <v>1.3083000000000001E-3</v>
      </c>
      <c r="I1614" s="445">
        <v>0</v>
      </c>
      <c r="J1614" s="448">
        <v>0</v>
      </c>
      <c r="N1614" s="441"/>
      <c r="O1614" s="441"/>
      <c r="R1614" s="440"/>
    </row>
    <row r="1615" spans="1:18" s="439" customFormat="1">
      <c r="A1615" s="443" t="s">
        <v>318</v>
      </c>
      <c r="B1615" s="444" t="s">
        <v>637</v>
      </c>
      <c r="C1615" s="444" t="s">
        <v>329</v>
      </c>
      <c r="D1615" s="443" t="s">
        <v>638</v>
      </c>
      <c r="E1615" s="444">
        <v>201609</v>
      </c>
      <c r="F1615" s="445">
        <v>3.26</v>
      </c>
      <c r="G1615" s="443">
        <v>7.5</v>
      </c>
      <c r="H1615" s="446">
        <v>1.3083000000000001E-3</v>
      </c>
      <c r="I1615" s="445">
        <v>0.03</v>
      </c>
      <c r="J1615" s="448">
        <v>0.05</v>
      </c>
      <c r="N1615" s="441"/>
      <c r="O1615" s="441"/>
      <c r="R1615" s="440"/>
    </row>
    <row r="1616" spans="1:18" s="439" customFormat="1">
      <c r="A1616" s="443" t="s">
        <v>318</v>
      </c>
      <c r="B1616" s="444" t="s">
        <v>814</v>
      </c>
      <c r="C1616" s="444" t="s">
        <v>330</v>
      </c>
      <c r="D1616" s="443" t="s">
        <v>815</v>
      </c>
      <c r="E1616" s="444">
        <v>201609</v>
      </c>
      <c r="F1616" s="445">
        <v>264.99</v>
      </c>
      <c r="G1616" s="443">
        <v>7.5</v>
      </c>
      <c r="H1616" s="446">
        <v>1.3083000000000001E-3</v>
      </c>
      <c r="I1616" s="445">
        <v>2.6</v>
      </c>
      <c r="J1616" s="448">
        <v>4.16</v>
      </c>
      <c r="N1616" s="441"/>
      <c r="O1616" s="441"/>
      <c r="R1616" s="440"/>
    </row>
    <row r="1617" spans="1:18" s="439" customFormat="1">
      <c r="A1617" s="443" t="s">
        <v>318</v>
      </c>
      <c r="B1617" s="444" t="s">
        <v>814</v>
      </c>
      <c r="C1617" s="444" t="s">
        <v>330</v>
      </c>
      <c r="D1617" s="443" t="s">
        <v>815</v>
      </c>
      <c r="E1617" s="444">
        <v>201609</v>
      </c>
      <c r="F1617" s="445">
        <v>6175.46</v>
      </c>
      <c r="G1617" s="443">
        <v>7.5</v>
      </c>
      <c r="H1617" s="446">
        <v>1.3083000000000001E-3</v>
      </c>
      <c r="I1617" s="445">
        <v>60.6</v>
      </c>
      <c r="J1617" s="448">
        <v>96.95</v>
      </c>
      <c r="N1617" s="441"/>
      <c r="O1617" s="441"/>
      <c r="R1617" s="440"/>
    </row>
    <row r="1618" spans="1:18" s="439" customFormat="1">
      <c r="A1618" s="443" t="s">
        <v>318</v>
      </c>
      <c r="B1618" s="444" t="s">
        <v>674</v>
      </c>
      <c r="C1618" s="444" t="s">
        <v>330</v>
      </c>
      <c r="D1618" s="443" t="s">
        <v>675</v>
      </c>
      <c r="E1618" s="444">
        <v>201609</v>
      </c>
      <c r="F1618" s="445">
        <v>-5.46</v>
      </c>
      <c r="G1618" s="443">
        <v>7.5</v>
      </c>
      <c r="H1618" s="446">
        <v>1.3083000000000001E-3</v>
      </c>
      <c r="I1618" s="445">
        <v>-0.05</v>
      </c>
      <c r="J1618" s="448">
        <v>-0.09</v>
      </c>
      <c r="N1618" s="441"/>
      <c r="O1618" s="441"/>
      <c r="R1618" s="440"/>
    </row>
    <row r="1619" spans="1:18" s="439" customFormat="1">
      <c r="A1619" s="443" t="s">
        <v>318</v>
      </c>
      <c r="B1619" s="444" t="s">
        <v>674</v>
      </c>
      <c r="C1619" s="444" t="s">
        <v>330</v>
      </c>
      <c r="D1619" s="443" t="s">
        <v>675</v>
      </c>
      <c r="E1619" s="444">
        <v>201609</v>
      </c>
      <c r="F1619" s="445">
        <v>244.93</v>
      </c>
      <c r="G1619" s="443">
        <v>7.5</v>
      </c>
      <c r="H1619" s="446">
        <v>1.3083000000000001E-3</v>
      </c>
      <c r="I1619" s="445">
        <v>2.4</v>
      </c>
      <c r="J1619" s="448">
        <v>3.85</v>
      </c>
      <c r="N1619" s="441"/>
      <c r="O1619" s="441"/>
      <c r="R1619" s="440"/>
    </row>
    <row r="1620" spans="1:18" s="439" customFormat="1">
      <c r="A1620" s="443" t="s">
        <v>318</v>
      </c>
      <c r="B1620" s="444" t="s">
        <v>790</v>
      </c>
      <c r="C1620" s="444" t="s">
        <v>330</v>
      </c>
      <c r="D1620" s="443" t="s">
        <v>791</v>
      </c>
      <c r="E1620" s="444">
        <v>201609</v>
      </c>
      <c r="F1620" s="445">
        <v>17.75</v>
      </c>
      <c r="G1620" s="443">
        <v>7.5</v>
      </c>
      <c r="H1620" s="446">
        <v>1.3083000000000001E-3</v>
      </c>
      <c r="I1620" s="445">
        <v>0.17</v>
      </c>
      <c r="J1620" s="448">
        <v>0.28000000000000003</v>
      </c>
      <c r="N1620" s="441"/>
      <c r="O1620" s="441"/>
      <c r="R1620" s="440"/>
    </row>
    <row r="1621" spans="1:18" s="439" customFormat="1">
      <c r="A1621" s="443" t="s">
        <v>318</v>
      </c>
      <c r="B1621" s="444" t="s">
        <v>790</v>
      </c>
      <c r="C1621" s="444" t="s">
        <v>330</v>
      </c>
      <c r="D1621" s="443" t="s">
        <v>791</v>
      </c>
      <c r="E1621" s="444">
        <v>201609</v>
      </c>
      <c r="F1621" s="445">
        <v>2098.56</v>
      </c>
      <c r="G1621" s="443">
        <v>7.5</v>
      </c>
      <c r="H1621" s="446">
        <v>1.3083000000000001E-3</v>
      </c>
      <c r="I1621" s="445">
        <v>20.59</v>
      </c>
      <c r="J1621" s="448">
        <v>32.950000000000003</v>
      </c>
      <c r="N1621" s="441"/>
      <c r="O1621" s="441"/>
      <c r="R1621" s="440"/>
    </row>
    <row r="1622" spans="1:18" s="439" customFormat="1">
      <c r="A1622" s="443" t="s">
        <v>318</v>
      </c>
      <c r="B1622" s="444" t="s">
        <v>840</v>
      </c>
      <c r="C1622" s="444" t="s">
        <v>330</v>
      </c>
      <c r="D1622" s="443" t="s">
        <v>841</v>
      </c>
      <c r="E1622" s="444">
        <v>201609</v>
      </c>
      <c r="F1622" s="445">
        <v>941.01</v>
      </c>
      <c r="G1622" s="443">
        <v>7.5</v>
      </c>
      <c r="H1622" s="446">
        <v>1.3083000000000001E-3</v>
      </c>
      <c r="I1622" s="445">
        <v>9.23</v>
      </c>
      <c r="J1622" s="448">
        <v>14.77</v>
      </c>
      <c r="N1622" s="441"/>
      <c r="O1622" s="441"/>
      <c r="R1622" s="440"/>
    </row>
    <row r="1623" spans="1:18" s="439" customFormat="1">
      <c r="A1623" s="443" t="s">
        <v>318</v>
      </c>
      <c r="B1623" s="444" t="s">
        <v>840</v>
      </c>
      <c r="C1623" s="444" t="s">
        <v>330</v>
      </c>
      <c r="D1623" s="443" t="s">
        <v>841</v>
      </c>
      <c r="E1623" s="444">
        <v>201609</v>
      </c>
      <c r="F1623" s="445">
        <v>9991</v>
      </c>
      <c r="G1623" s="443">
        <v>7.5</v>
      </c>
      <c r="H1623" s="446">
        <v>1.3083000000000001E-3</v>
      </c>
      <c r="I1623" s="445">
        <v>98.03</v>
      </c>
      <c r="J1623" s="448">
        <v>156.85</v>
      </c>
      <c r="N1623" s="441"/>
      <c r="O1623" s="441"/>
      <c r="R1623" s="440"/>
    </row>
    <row r="1624" spans="1:18" s="439" customFormat="1">
      <c r="A1624" s="443" t="s">
        <v>318</v>
      </c>
      <c r="B1624" s="444" t="s">
        <v>961</v>
      </c>
      <c r="C1624" s="444" t="s">
        <v>330</v>
      </c>
      <c r="D1624" s="443" t="s">
        <v>962</v>
      </c>
      <c r="E1624" s="444">
        <v>201609</v>
      </c>
      <c r="F1624" s="445">
        <v>424.79</v>
      </c>
      <c r="G1624" s="443">
        <v>7.5</v>
      </c>
      <c r="H1624" s="446">
        <v>1.3083000000000001E-3</v>
      </c>
      <c r="I1624" s="445">
        <v>4.17</v>
      </c>
      <c r="J1624" s="448">
        <v>6.67</v>
      </c>
      <c r="N1624" s="441"/>
      <c r="O1624" s="441"/>
      <c r="R1624" s="440"/>
    </row>
    <row r="1625" spans="1:18" s="439" customFormat="1">
      <c r="A1625" s="443" t="s">
        <v>318</v>
      </c>
      <c r="B1625" s="444" t="s">
        <v>961</v>
      </c>
      <c r="C1625" s="444" t="s">
        <v>330</v>
      </c>
      <c r="D1625" s="443" t="s">
        <v>962</v>
      </c>
      <c r="E1625" s="444">
        <v>201609</v>
      </c>
      <c r="F1625" s="445">
        <v>6831.98</v>
      </c>
      <c r="G1625" s="443">
        <v>7.5</v>
      </c>
      <c r="H1625" s="446">
        <v>1.3083000000000001E-3</v>
      </c>
      <c r="I1625" s="445">
        <v>67.040000000000006</v>
      </c>
      <c r="J1625" s="448">
        <v>107.26</v>
      </c>
      <c r="N1625" s="441"/>
      <c r="O1625" s="441"/>
      <c r="R1625" s="440"/>
    </row>
    <row r="1626" spans="1:18" s="439" customFormat="1">
      <c r="A1626" s="443" t="s">
        <v>318</v>
      </c>
      <c r="B1626" s="444" t="s">
        <v>963</v>
      </c>
      <c r="C1626" s="444" t="s">
        <v>330</v>
      </c>
      <c r="D1626" s="443" t="s">
        <v>964</v>
      </c>
      <c r="E1626" s="444">
        <v>201609</v>
      </c>
      <c r="F1626" s="445">
        <v>194.11</v>
      </c>
      <c r="G1626" s="443">
        <v>7.5</v>
      </c>
      <c r="H1626" s="446">
        <v>1.3083000000000001E-3</v>
      </c>
      <c r="I1626" s="445">
        <v>1.9</v>
      </c>
      <c r="J1626" s="448">
        <v>3.05</v>
      </c>
      <c r="N1626" s="441"/>
      <c r="O1626" s="441"/>
      <c r="R1626" s="440"/>
    </row>
    <row r="1627" spans="1:18" s="439" customFormat="1">
      <c r="A1627" s="443" t="s">
        <v>318</v>
      </c>
      <c r="B1627" s="444" t="s">
        <v>963</v>
      </c>
      <c r="C1627" s="444" t="s">
        <v>330</v>
      </c>
      <c r="D1627" s="443" t="s">
        <v>964</v>
      </c>
      <c r="E1627" s="444">
        <v>201609</v>
      </c>
      <c r="F1627" s="445">
        <v>2493.87</v>
      </c>
      <c r="G1627" s="443">
        <v>7.5</v>
      </c>
      <c r="H1627" s="446">
        <v>1.3083000000000001E-3</v>
      </c>
      <c r="I1627" s="445">
        <v>24.47</v>
      </c>
      <c r="J1627" s="448">
        <v>39.15</v>
      </c>
      <c r="N1627" s="441"/>
      <c r="O1627" s="441"/>
      <c r="R1627" s="440"/>
    </row>
    <row r="1628" spans="1:18" s="439" customFormat="1">
      <c r="A1628" s="443" t="s">
        <v>318</v>
      </c>
      <c r="B1628" s="444" t="s">
        <v>965</v>
      </c>
      <c r="C1628" s="444" t="s">
        <v>330</v>
      </c>
      <c r="D1628" s="443" t="s">
        <v>966</v>
      </c>
      <c r="E1628" s="444">
        <v>201609</v>
      </c>
      <c r="F1628" s="445">
        <v>-1700.52</v>
      </c>
      <c r="G1628" s="443">
        <v>7.5</v>
      </c>
      <c r="H1628" s="446">
        <v>1.3083000000000001E-3</v>
      </c>
      <c r="I1628" s="445">
        <v>-16.690000000000001</v>
      </c>
      <c r="J1628" s="448">
        <v>-26.7</v>
      </c>
      <c r="N1628" s="441"/>
      <c r="O1628" s="441"/>
      <c r="R1628" s="440"/>
    </row>
    <row r="1629" spans="1:18" s="439" customFormat="1">
      <c r="A1629" s="443" t="s">
        <v>318</v>
      </c>
      <c r="B1629" s="444" t="s">
        <v>965</v>
      </c>
      <c r="C1629" s="444" t="s">
        <v>330</v>
      </c>
      <c r="D1629" s="443" t="s">
        <v>966</v>
      </c>
      <c r="E1629" s="444">
        <v>201609</v>
      </c>
      <c r="F1629" s="445">
        <v>-125.57</v>
      </c>
      <c r="G1629" s="443">
        <v>7.5</v>
      </c>
      <c r="H1629" s="446">
        <v>1.3083000000000001E-3</v>
      </c>
      <c r="I1629" s="445">
        <v>-1.23</v>
      </c>
      <c r="J1629" s="448">
        <v>-1.97</v>
      </c>
      <c r="N1629" s="441"/>
      <c r="O1629" s="441"/>
      <c r="R1629" s="440"/>
    </row>
    <row r="1630" spans="1:18" s="439" customFormat="1">
      <c r="A1630" s="443" t="s">
        <v>318</v>
      </c>
      <c r="B1630" s="444" t="s">
        <v>842</v>
      </c>
      <c r="C1630" s="444" t="s">
        <v>330</v>
      </c>
      <c r="D1630" s="443" t="s">
        <v>843</v>
      </c>
      <c r="E1630" s="444">
        <v>201609</v>
      </c>
      <c r="F1630" s="445">
        <v>1152.3</v>
      </c>
      <c r="G1630" s="443">
        <v>7.5</v>
      </c>
      <c r="H1630" s="446">
        <v>1.3083000000000001E-3</v>
      </c>
      <c r="I1630" s="445">
        <v>11.31</v>
      </c>
      <c r="J1630" s="448">
        <v>18.09</v>
      </c>
      <c r="N1630" s="441"/>
      <c r="O1630" s="441"/>
      <c r="R1630" s="440"/>
    </row>
    <row r="1631" spans="1:18" s="439" customFormat="1">
      <c r="A1631" s="443" t="s">
        <v>318</v>
      </c>
      <c r="B1631" s="444" t="s">
        <v>842</v>
      </c>
      <c r="C1631" s="444" t="s">
        <v>330</v>
      </c>
      <c r="D1631" s="443" t="s">
        <v>843</v>
      </c>
      <c r="E1631" s="444">
        <v>201609</v>
      </c>
      <c r="F1631" s="445">
        <v>16658.05</v>
      </c>
      <c r="G1631" s="443">
        <v>7.5</v>
      </c>
      <c r="H1631" s="446">
        <v>1.3083000000000001E-3</v>
      </c>
      <c r="I1631" s="445">
        <v>163.44999999999999</v>
      </c>
      <c r="J1631" s="448">
        <v>261.52</v>
      </c>
      <c r="N1631" s="441"/>
      <c r="O1631" s="441"/>
      <c r="R1631" s="440"/>
    </row>
    <row r="1632" spans="1:18" s="439" customFormat="1">
      <c r="A1632" s="443" t="s">
        <v>318</v>
      </c>
      <c r="B1632" s="444" t="s">
        <v>860</v>
      </c>
      <c r="C1632" s="444" t="s">
        <v>330</v>
      </c>
      <c r="D1632" s="443" t="s">
        <v>861</v>
      </c>
      <c r="E1632" s="444">
        <v>201609</v>
      </c>
      <c r="F1632" s="445">
        <v>568.64</v>
      </c>
      <c r="G1632" s="443">
        <v>7.5</v>
      </c>
      <c r="H1632" s="446">
        <v>1.3083000000000001E-3</v>
      </c>
      <c r="I1632" s="445">
        <v>5.58</v>
      </c>
      <c r="J1632" s="448">
        <v>8.93</v>
      </c>
      <c r="N1632" s="441"/>
      <c r="O1632" s="441"/>
      <c r="R1632" s="440"/>
    </row>
    <row r="1633" spans="1:18" s="439" customFormat="1">
      <c r="A1633" s="443" t="s">
        <v>318</v>
      </c>
      <c r="B1633" s="444" t="s">
        <v>860</v>
      </c>
      <c r="C1633" s="444" t="s">
        <v>330</v>
      </c>
      <c r="D1633" s="443" t="s">
        <v>861</v>
      </c>
      <c r="E1633" s="444">
        <v>201609</v>
      </c>
      <c r="F1633" s="445">
        <v>9092.09</v>
      </c>
      <c r="G1633" s="443">
        <v>7.5</v>
      </c>
      <c r="H1633" s="446">
        <v>1.3083000000000001E-3</v>
      </c>
      <c r="I1633" s="445">
        <v>89.21</v>
      </c>
      <c r="J1633" s="448">
        <v>142.74</v>
      </c>
      <c r="N1633" s="441"/>
      <c r="O1633" s="441"/>
      <c r="R1633" s="440"/>
    </row>
    <row r="1634" spans="1:18" s="439" customFormat="1">
      <c r="A1634" s="443" t="s">
        <v>318</v>
      </c>
      <c r="B1634" s="444" t="s">
        <v>639</v>
      </c>
      <c r="C1634" s="444" t="s">
        <v>329</v>
      </c>
      <c r="D1634" s="443" t="s">
        <v>640</v>
      </c>
      <c r="E1634" s="444">
        <v>201609</v>
      </c>
      <c r="F1634" s="445">
        <v>0.83</v>
      </c>
      <c r="G1634" s="443">
        <v>7.5</v>
      </c>
      <c r="H1634" s="446">
        <v>1.3083000000000001E-3</v>
      </c>
      <c r="I1634" s="445">
        <v>0.01</v>
      </c>
      <c r="J1634" s="448">
        <v>0.01</v>
      </c>
      <c r="N1634" s="441"/>
      <c r="O1634" s="441"/>
      <c r="R1634" s="440"/>
    </row>
    <row r="1635" spans="1:18" s="439" customFormat="1">
      <c r="A1635" s="443" t="s">
        <v>318</v>
      </c>
      <c r="B1635" s="444" t="s">
        <v>639</v>
      </c>
      <c r="C1635" s="444" t="s">
        <v>329</v>
      </c>
      <c r="D1635" s="443" t="s">
        <v>640</v>
      </c>
      <c r="E1635" s="444">
        <v>201609</v>
      </c>
      <c r="F1635" s="445">
        <v>3.37</v>
      </c>
      <c r="G1635" s="443">
        <v>7.5</v>
      </c>
      <c r="H1635" s="446">
        <v>1.3083000000000001E-3</v>
      </c>
      <c r="I1635" s="445">
        <v>0.03</v>
      </c>
      <c r="J1635" s="448">
        <v>0.05</v>
      </c>
      <c r="N1635" s="441"/>
      <c r="O1635" s="441"/>
      <c r="R1635" s="440"/>
    </row>
    <row r="1636" spans="1:18" s="439" customFormat="1">
      <c r="A1636" s="443" t="s">
        <v>318</v>
      </c>
      <c r="B1636" s="444" t="s">
        <v>676</v>
      </c>
      <c r="C1636" s="444" t="s">
        <v>329</v>
      </c>
      <c r="D1636" s="443" t="s">
        <v>677</v>
      </c>
      <c r="E1636" s="444">
        <v>201609</v>
      </c>
      <c r="F1636" s="445">
        <v>-211.41</v>
      </c>
      <c r="G1636" s="443">
        <v>7.5</v>
      </c>
      <c r="H1636" s="446">
        <v>1.3083000000000001E-3</v>
      </c>
      <c r="I1636" s="445">
        <v>-2.0699999999999998</v>
      </c>
      <c r="J1636" s="448">
        <v>-3.32</v>
      </c>
      <c r="N1636" s="441"/>
      <c r="O1636" s="441"/>
      <c r="R1636" s="440"/>
    </row>
    <row r="1637" spans="1:18" s="439" customFormat="1">
      <c r="A1637" s="443" t="s">
        <v>318</v>
      </c>
      <c r="B1637" s="444" t="s">
        <v>676</v>
      </c>
      <c r="C1637" s="444" t="s">
        <v>329</v>
      </c>
      <c r="D1637" s="443" t="s">
        <v>677</v>
      </c>
      <c r="E1637" s="444">
        <v>201609</v>
      </c>
      <c r="F1637" s="445">
        <v>-34.14</v>
      </c>
      <c r="G1637" s="443">
        <v>7.5</v>
      </c>
      <c r="H1637" s="446">
        <v>1.3083000000000001E-3</v>
      </c>
      <c r="I1637" s="445">
        <v>-0.33</v>
      </c>
      <c r="J1637" s="448">
        <v>-0.54</v>
      </c>
      <c r="N1637" s="441"/>
      <c r="O1637" s="441"/>
      <c r="R1637" s="440"/>
    </row>
    <row r="1638" spans="1:18" s="439" customFormat="1">
      <c r="A1638" s="443" t="s">
        <v>318</v>
      </c>
      <c r="B1638" s="444" t="s">
        <v>844</v>
      </c>
      <c r="C1638" s="444" t="s">
        <v>329</v>
      </c>
      <c r="D1638" s="443" t="s">
        <v>845</v>
      </c>
      <c r="E1638" s="444">
        <v>201609</v>
      </c>
      <c r="F1638" s="445">
        <v>942.16</v>
      </c>
      <c r="G1638" s="443">
        <v>7.5</v>
      </c>
      <c r="H1638" s="446">
        <v>1.3083000000000001E-3</v>
      </c>
      <c r="I1638" s="445">
        <v>9.24</v>
      </c>
      <c r="J1638" s="448">
        <v>14.79</v>
      </c>
      <c r="N1638" s="441"/>
      <c r="O1638" s="441"/>
      <c r="R1638" s="440"/>
    </row>
    <row r="1639" spans="1:18" s="439" customFormat="1">
      <c r="A1639" s="443" t="s">
        <v>318</v>
      </c>
      <c r="B1639" s="444" t="s">
        <v>844</v>
      </c>
      <c r="C1639" s="444" t="s">
        <v>329</v>
      </c>
      <c r="D1639" s="443" t="s">
        <v>845</v>
      </c>
      <c r="E1639" s="444">
        <v>201609</v>
      </c>
      <c r="F1639" s="445">
        <v>18126.82</v>
      </c>
      <c r="G1639" s="443">
        <v>7.5</v>
      </c>
      <c r="H1639" s="446">
        <v>1.3083000000000001E-3</v>
      </c>
      <c r="I1639" s="445">
        <v>177.86</v>
      </c>
      <c r="J1639" s="448">
        <v>284.58</v>
      </c>
      <c r="N1639" s="441"/>
      <c r="O1639" s="441"/>
      <c r="R1639" s="440"/>
    </row>
    <row r="1640" spans="1:18" s="439" customFormat="1">
      <c r="A1640" s="443" t="s">
        <v>318</v>
      </c>
      <c r="B1640" s="444" t="s">
        <v>1035</v>
      </c>
      <c r="C1640" s="444" t="s">
        <v>329</v>
      </c>
      <c r="D1640" s="443" t="s">
        <v>1036</v>
      </c>
      <c r="E1640" s="444">
        <v>201609</v>
      </c>
      <c r="F1640" s="445">
        <v>6232.11</v>
      </c>
      <c r="G1640" s="443">
        <v>7.5</v>
      </c>
      <c r="H1640" s="446">
        <v>1.3083000000000001E-3</v>
      </c>
      <c r="I1640" s="445">
        <v>61.15</v>
      </c>
      <c r="J1640" s="448">
        <v>97.84</v>
      </c>
      <c r="N1640" s="441"/>
      <c r="O1640" s="441"/>
      <c r="R1640" s="440"/>
    </row>
    <row r="1641" spans="1:18" s="439" customFormat="1">
      <c r="A1641" s="443" t="s">
        <v>318</v>
      </c>
      <c r="B1641" s="444" t="s">
        <v>1035</v>
      </c>
      <c r="C1641" s="444" t="s">
        <v>329</v>
      </c>
      <c r="D1641" s="443" t="s">
        <v>1036</v>
      </c>
      <c r="E1641" s="444">
        <v>201609</v>
      </c>
      <c r="F1641" s="445">
        <v>220437.47</v>
      </c>
      <c r="G1641" s="443">
        <v>7.5</v>
      </c>
      <c r="H1641" s="446">
        <v>1.3083000000000001E-3</v>
      </c>
      <c r="I1641" s="445">
        <v>2162.9899999999998</v>
      </c>
      <c r="J1641" s="448">
        <v>3460.78</v>
      </c>
      <c r="N1641" s="441"/>
      <c r="O1641" s="441"/>
      <c r="R1641" s="440"/>
    </row>
    <row r="1642" spans="1:18" s="439" customFormat="1">
      <c r="A1642" s="443" t="s">
        <v>318</v>
      </c>
      <c r="B1642" s="444" t="s">
        <v>678</v>
      </c>
      <c r="C1642" s="444" t="s">
        <v>330</v>
      </c>
      <c r="D1642" s="443" t="s">
        <v>679</v>
      </c>
      <c r="E1642" s="444">
        <v>201609</v>
      </c>
      <c r="F1642" s="445">
        <v>65.03</v>
      </c>
      <c r="G1642" s="443">
        <v>7.5</v>
      </c>
      <c r="H1642" s="446">
        <v>1.3083000000000001E-3</v>
      </c>
      <c r="I1642" s="445">
        <v>0.64</v>
      </c>
      <c r="J1642" s="448">
        <v>1.02</v>
      </c>
      <c r="N1642" s="441"/>
      <c r="O1642" s="441"/>
      <c r="R1642" s="440"/>
    </row>
    <row r="1643" spans="1:18" s="439" customFormat="1">
      <c r="A1643" s="443" t="s">
        <v>318</v>
      </c>
      <c r="B1643" s="444" t="s">
        <v>678</v>
      </c>
      <c r="C1643" s="444" t="s">
        <v>330</v>
      </c>
      <c r="D1643" s="443" t="s">
        <v>679</v>
      </c>
      <c r="E1643" s="444">
        <v>201609</v>
      </c>
      <c r="F1643" s="445">
        <v>1110.9100000000001</v>
      </c>
      <c r="G1643" s="443">
        <v>7.5</v>
      </c>
      <c r="H1643" s="446">
        <v>1.3083000000000001E-3</v>
      </c>
      <c r="I1643" s="445">
        <v>10.9</v>
      </c>
      <c r="J1643" s="448">
        <v>17.440000000000001</v>
      </c>
      <c r="N1643" s="441"/>
      <c r="O1643" s="441"/>
      <c r="R1643" s="440"/>
    </row>
    <row r="1644" spans="1:18" s="439" customFormat="1">
      <c r="A1644" s="443" t="s">
        <v>318</v>
      </c>
      <c r="B1644" s="444" t="s">
        <v>862</v>
      </c>
      <c r="C1644" s="444" t="s">
        <v>330</v>
      </c>
      <c r="D1644" s="443" t="s">
        <v>863</v>
      </c>
      <c r="E1644" s="444">
        <v>201609</v>
      </c>
      <c r="F1644" s="445">
        <v>579.70000000000005</v>
      </c>
      <c r="G1644" s="443">
        <v>7.5</v>
      </c>
      <c r="H1644" s="446">
        <v>1.3083000000000001E-3</v>
      </c>
      <c r="I1644" s="445">
        <v>5.69</v>
      </c>
      <c r="J1644" s="448">
        <v>9.1</v>
      </c>
      <c r="N1644" s="441"/>
      <c r="O1644" s="441"/>
      <c r="R1644" s="440"/>
    </row>
    <row r="1645" spans="1:18" s="439" customFormat="1">
      <c r="A1645" s="443" t="s">
        <v>318</v>
      </c>
      <c r="B1645" s="444" t="s">
        <v>862</v>
      </c>
      <c r="C1645" s="444" t="s">
        <v>330</v>
      </c>
      <c r="D1645" s="443" t="s">
        <v>863</v>
      </c>
      <c r="E1645" s="444">
        <v>201609</v>
      </c>
      <c r="F1645" s="445">
        <v>9121.1</v>
      </c>
      <c r="G1645" s="443">
        <v>7.5</v>
      </c>
      <c r="H1645" s="446">
        <v>1.3083000000000001E-3</v>
      </c>
      <c r="I1645" s="445">
        <v>89.5</v>
      </c>
      <c r="J1645" s="448">
        <v>143.19999999999999</v>
      </c>
      <c r="N1645" s="441"/>
      <c r="O1645" s="441"/>
      <c r="R1645" s="440"/>
    </row>
    <row r="1646" spans="1:18" s="439" customFormat="1">
      <c r="A1646" s="443" t="s">
        <v>318</v>
      </c>
      <c r="B1646" s="444" t="s">
        <v>680</v>
      </c>
      <c r="C1646" s="444" t="s">
        <v>330</v>
      </c>
      <c r="D1646" s="443" t="s">
        <v>681</v>
      </c>
      <c r="E1646" s="444">
        <v>201609</v>
      </c>
      <c r="F1646" s="445">
        <v>18996.05</v>
      </c>
      <c r="G1646" s="443">
        <v>7.5</v>
      </c>
      <c r="H1646" s="446">
        <v>1.3083000000000001E-3</v>
      </c>
      <c r="I1646" s="445">
        <v>186.39</v>
      </c>
      <c r="J1646" s="448">
        <v>298.23</v>
      </c>
      <c r="N1646" s="441"/>
      <c r="O1646" s="441"/>
      <c r="R1646" s="440"/>
    </row>
    <row r="1647" spans="1:18" s="439" customFormat="1">
      <c r="A1647" s="443" t="s">
        <v>318</v>
      </c>
      <c r="B1647" s="444" t="s">
        <v>680</v>
      </c>
      <c r="C1647" s="444" t="s">
        <v>330</v>
      </c>
      <c r="D1647" s="443" t="s">
        <v>681</v>
      </c>
      <c r="E1647" s="444">
        <v>201609</v>
      </c>
      <c r="F1647" s="445">
        <v>34583.550000000003</v>
      </c>
      <c r="G1647" s="443">
        <v>7.5</v>
      </c>
      <c r="H1647" s="446">
        <v>1.3083000000000001E-3</v>
      </c>
      <c r="I1647" s="445">
        <v>339.34</v>
      </c>
      <c r="J1647" s="448">
        <v>542.95000000000005</v>
      </c>
      <c r="N1647" s="441"/>
      <c r="O1647" s="441"/>
      <c r="R1647" s="440"/>
    </row>
    <row r="1648" spans="1:18" s="439" customFormat="1">
      <c r="A1648" s="443" t="s">
        <v>318</v>
      </c>
      <c r="B1648" s="444" t="s">
        <v>967</v>
      </c>
      <c r="C1648" s="444" t="s">
        <v>330</v>
      </c>
      <c r="D1648" s="443" t="s">
        <v>968</v>
      </c>
      <c r="E1648" s="444">
        <v>201609</v>
      </c>
      <c r="F1648" s="445">
        <v>372.03</v>
      </c>
      <c r="G1648" s="443">
        <v>7.5</v>
      </c>
      <c r="H1648" s="446">
        <v>1.3083000000000001E-3</v>
      </c>
      <c r="I1648" s="445">
        <v>3.65</v>
      </c>
      <c r="J1648" s="448">
        <v>5.84</v>
      </c>
      <c r="N1648" s="441"/>
      <c r="O1648" s="441"/>
      <c r="R1648" s="440"/>
    </row>
    <row r="1649" spans="1:18" s="439" customFormat="1">
      <c r="A1649" s="443" t="s">
        <v>318</v>
      </c>
      <c r="B1649" s="444" t="s">
        <v>967</v>
      </c>
      <c r="C1649" s="444" t="s">
        <v>330</v>
      </c>
      <c r="D1649" s="443" t="s">
        <v>968</v>
      </c>
      <c r="E1649" s="444">
        <v>201609</v>
      </c>
      <c r="F1649" s="445">
        <v>9835.17</v>
      </c>
      <c r="G1649" s="443">
        <v>7.5</v>
      </c>
      <c r="H1649" s="446">
        <v>1.3083000000000001E-3</v>
      </c>
      <c r="I1649" s="445">
        <v>96.51</v>
      </c>
      <c r="J1649" s="448">
        <v>154.41</v>
      </c>
      <c r="N1649" s="441"/>
      <c r="O1649" s="441"/>
      <c r="R1649" s="440"/>
    </row>
    <row r="1650" spans="1:18" s="439" customFormat="1">
      <c r="A1650" s="443" t="s">
        <v>318</v>
      </c>
      <c r="B1650" s="444" t="s">
        <v>682</v>
      </c>
      <c r="C1650" s="444" t="s">
        <v>330</v>
      </c>
      <c r="D1650" s="443" t="s">
        <v>683</v>
      </c>
      <c r="E1650" s="444">
        <v>201609</v>
      </c>
      <c r="F1650" s="445">
        <v>2228.9899999999998</v>
      </c>
      <c r="G1650" s="443">
        <v>7.5</v>
      </c>
      <c r="H1650" s="446">
        <v>1.3083000000000001E-3</v>
      </c>
      <c r="I1650" s="445">
        <v>21.87</v>
      </c>
      <c r="J1650" s="448">
        <v>34.99</v>
      </c>
      <c r="N1650" s="441"/>
      <c r="O1650" s="441"/>
      <c r="R1650" s="440"/>
    </row>
    <row r="1651" spans="1:18" s="439" customFormat="1">
      <c r="A1651" s="443" t="s">
        <v>318</v>
      </c>
      <c r="B1651" s="444" t="s">
        <v>682</v>
      </c>
      <c r="C1651" s="444" t="s">
        <v>330</v>
      </c>
      <c r="D1651" s="443" t="s">
        <v>683</v>
      </c>
      <c r="E1651" s="444">
        <v>201609</v>
      </c>
      <c r="F1651" s="445">
        <v>53432.97</v>
      </c>
      <c r="G1651" s="443">
        <v>7.5</v>
      </c>
      <c r="H1651" s="446">
        <v>1.3083000000000001E-3</v>
      </c>
      <c r="I1651" s="445">
        <v>524.29999999999995</v>
      </c>
      <c r="J1651" s="448">
        <v>838.88</v>
      </c>
      <c r="N1651" s="441"/>
      <c r="O1651" s="441"/>
      <c r="R1651" s="440"/>
    </row>
    <row r="1652" spans="1:18" s="439" customFormat="1">
      <c r="A1652" s="443" t="s">
        <v>318</v>
      </c>
      <c r="B1652" s="444" t="s">
        <v>641</v>
      </c>
      <c r="C1652" s="444" t="s">
        <v>330</v>
      </c>
      <c r="D1652" s="443" t="s">
        <v>642</v>
      </c>
      <c r="E1652" s="444">
        <v>201609</v>
      </c>
      <c r="F1652" s="445">
        <v>0.04</v>
      </c>
      <c r="G1652" s="443">
        <v>7.5</v>
      </c>
      <c r="H1652" s="446">
        <v>1.3083000000000001E-3</v>
      </c>
      <c r="I1652" s="445">
        <v>0</v>
      </c>
      <c r="J1652" s="448">
        <v>0</v>
      </c>
      <c r="N1652" s="441"/>
      <c r="O1652" s="441"/>
      <c r="R1652" s="440"/>
    </row>
    <row r="1653" spans="1:18" s="439" customFormat="1">
      <c r="A1653" s="443" t="s">
        <v>318</v>
      </c>
      <c r="B1653" s="444" t="s">
        <v>641</v>
      </c>
      <c r="C1653" s="444" t="s">
        <v>330</v>
      </c>
      <c r="D1653" s="443" t="s">
        <v>642</v>
      </c>
      <c r="E1653" s="444">
        <v>201609</v>
      </c>
      <c r="F1653" s="445">
        <v>0.39</v>
      </c>
      <c r="G1653" s="443">
        <v>7.5</v>
      </c>
      <c r="H1653" s="446">
        <v>1.3083000000000001E-3</v>
      </c>
      <c r="I1653" s="445">
        <v>0</v>
      </c>
      <c r="J1653" s="448">
        <v>0.01</v>
      </c>
      <c r="N1653" s="441"/>
      <c r="O1653" s="441"/>
      <c r="R1653" s="440"/>
    </row>
    <row r="1654" spans="1:18" s="439" customFormat="1">
      <c r="A1654" s="443" t="s">
        <v>318</v>
      </c>
      <c r="B1654" s="444" t="s">
        <v>816</v>
      </c>
      <c r="C1654" s="444" t="s">
        <v>329</v>
      </c>
      <c r="D1654" s="443" t="s">
        <v>817</v>
      </c>
      <c r="E1654" s="444">
        <v>201609</v>
      </c>
      <c r="F1654" s="445">
        <v>436.19</v>
      </c>
      <c r="G1654" s="443">
        <v>7.5</v>
      </c>
      <c r="H1654" s="446">
        <v>1.3083000000000001E-3</v>
      </c>
      <c r="I1654" s="445">
        <v>4.28</v>
      </c>
      <c r="J1654" s="448">
        <v>6.85</v>
      </c>
      <c r="N1654" s="441"/>
      <c r="O1654" s="441"/>
      <c r="R1654" s="440"/>
    </row>
    <row r="1655" spans="1:18" s="439" customFormat="1">
      <c r="A1655" s="443" t="s">
        <v>318</v>
      </c>
      <c r="B1655" s="444" t="s">
        <v>816</v>
      </c>
      <c r="C1655" s="444" t="s">
        <v>329</v>
      </c>
      <c r="D1655" s="443" t="s">
        <v>817</v>
      </c>
      <c r="E1655" s="444">
        <v>201609</v>
      </c>
      <c r="F1655" s="445">
        <v>10987.35</v>
      </c>
      <c r="G1655" s="443">
        <v>7.5</v>
      </c>
      <c r="H1655" s="446">
        <v>1.3083000000000001E-3</v>
      </c>
      <c r="I1655" s="445">
        <v>107.81</v>
      </c>
      <c r="J1655" s="448">
        <v>172.5</v>
      </c>
      <c r="N1655" s="441"/>
      <c r="O1655" s="441"/>
      <c r="R1655" s="440"/>
    </row>
    <row r="1656" spans="1:18" s="439" customFormat="1">
      <c r="A1656" s="443" t="s">
        <v>318</v>
      </c>
      <c r="B1656" s="447" t="s">
        <v>846</v>
      </c>
      <c r="C1656" s="444" t="s">
        <v>330</v>
      </c>
      <c r="D1656" s="449" t="s">
        <v>847</v>
      </c>
      <c r="E1656" s="447">
        <v>201609</v>
      </c>
      <c r="F1656" s="450">
        <v>195.37</v>
      </c>
      <c r="G1656" s="443">
        <v>7.5</v>
      </c>
      <c r="H1656" s="446">
        <v>1.3083000000000001E-3</v>
      </c>
      <c r="I1656" s="445">
        <v>1.92</v>
      </c>
      <c r="J1656" s="448">
        <v>3.07</v>
      </c>
      <c r="N1656" s="441"/>
      <c r="O1656" s="441"/>
      <c r="R1656" s="440"/>
    </row>
    <row r="1657" spans="1:18" s="439" customFormat="1">
      <c r="A1657" s="443" t="s">
        <v>318</v>
      </c>
      <c r="B1657" s="444" t="s">
        <v>846</v>
      </c>
      <c r="C1657" s="444" t="s">
        <v>330</v>
      </c>
      <c r="D1657" s="443" t="s">
        <v>847</v>
      </c>
      <c r="E1657" s="444">
        <v>201609</v>
      </c>
      <c r="F1657" s="445">
        <v>5156.03</v>
      </c>
      <c r="G1657" s="443">
        <v>7.5</v>
      </c>
      <c r="H1657" s="446">
        <v>1.3083000000000001E-3</v>
      </c>
      <c r="I1657" s="445">
        <v>50.59</v>
      </c>
      <c r="J1657" s="448">
        <v>80.95</v>
      </c>
      <c r="N1657" s="441"/>
      <c r="O1657" s="441"/>
      <c r="R1657" s="440"/>
    </row>
    <row r="1658" spans="1:18" s="439" customFormat="1">
      <c r="A1658" s="443" t="s">
        <v>318</v>
      </c>
      <c r="B1658" s="444" t="s">
        <v>864</v>
      </c>
      <c r="C1658" s="444" t="s">
        <v>329</v>
      </c>
      <c r="D1658" s="443" t="s">
        <v>865</v>
      </c>
      <c r="E1658" s="444">
        <v>201609</v>
      </c>
      <c r="F1658" s="445">
        <v>147.52000000000001</v>
      </c>
      <c r="G1658" s="443">
        <v>7.5</v>
      </c>
      <c r="H1658" s="446">
        <v>1.3083000000000001E-3</v>
      </c>
      <c r="I1658" s="445">
        <v>1.45</v>
      </c>
      <c r="J1658" s="448">
        <v>2.3199999999999998</v>
      </c>
      <c r="N1658" s="441"/>
      <c r="O1658" s="441"/>
      <c r="R1658" s="440"/>
    </row>
    <row r="1659" spans="1:18" s="439" customFormat="1">
      <c r="A1659" s="443" t="s">
        <v>318</v>
      </c>
      <c r="B1659" s="444" t="s">
        <v>864</v>
      </c>
      <c r="C1659" s="444" t="s">
        <v>329</v>
      </c>
      <c r="D1659" s="443" t="s">
        <v>865</v>
      </c>
      <c r="E1659" s="444">
        <v>201609</v>
      </c>
      <c r="F1659" s="445">
        <v>2292.12</v>
      </c>
      <c r="G1659" s="443">
        <v>7.5</v>
      </c>
      <c r="H1659" s="446">
        <v>1.3083000000000001E-3</v>
      </c>
      <c r="I1659" s="445">
        <v>22.49</v>
      </c>
      <c r="J1659" s="448">
        <v>35.99</v>
      </c>
      <c r="N1659" s="441"/>
      <c r="O1659" s="441"/>
      <c r="R1659" s="440"/>
    </row>
    <row r="1660" spans="1:18" s="439" customFormat="1">
      <c r="A1660" s="443" t="s">
        <v>318</v>
      </c>
      <c r="B1660" s="444" t="s">
        <v>848</v>
      </c>
      <c r="C1660" s="444" t="s">
        <v>329</v>
      </c>
      <c r="D1660" s="443" t="s">
        <v>849</v>
      </c>
      <c r="E1660" s="444">
        <v>201609</v>
      </c>
      <c r="F1660" s="445">
        <v>932.36</v>
      </c>
      <c r="G1660" s="443">
        <v>7.5</v>
      </c>
      <c r="H1660" s="446">
        <v>1.3083000000000001E-3</v>
      </c>
      <c r="I1660" s="445">
        <v>9.15</v>
      </c>
      <c r="J1660" s="448">
        <v>14.64</v>
      </c>
      <c r="N1660" s="441"/>
      <c r="O1660" s="441"/>
      <c r="R1660" s="440"/>
    </row>
    <row r="1661" spans="1:18" s="439" customFormat="1">
      <c r="A1661" s="443" t="s">
        <v>318</v>
      </c>
      <c r="B1661" s="444" t="s">
        <v>848</v>
      </c>
      <c r="C1661" s="444" t="s">
        <v>329</v>
      </c>
      <c r="D1661" s="443" t="s">
        <v>849</v>
      </c>
      <c r="E1661" s="444">
        <v>201609</v>
      </c>
      <c r="F1661" s="445">
        <v>19507.05</v>
      </c>
      <c r="G1661" s="443">
        <v>7.5</v>
      </c>
      <c r="H1661" s="446">
        <v>1.3083000000000001E-3</v>
      </c>
      <c r="I1661" s="445">
        <v>191.41</v>
      </c>
      <c r="J1661" s="448">
        <v>306.25</v>
      </c>
      <c r="N1661" s="441"/>
      <c r="O1661" s="441"/>
      <c r="R1661" s="440"/>
    </row>
    <row r="1662" spans="1:18" s="439" customFormat="1">
      <c r="A1662" s="443" t="s">
        <v>318</v>
      </c>
      <c r="B1662" s="444" t="s">
        <v>684</v>
      </c>
      <c r="C1662" s="444" t="s">
        <v>330</v>
      </c>
      <c r="D1662" s="443" t="s">
        <v>685</v>
      </c>
      <c r="E1662" s="444">
        <v>201609</v>
      </c>
      <c r="F1662" s="445">
        <v>-5.45</v>
      </c>
      <c r="G1662" s="443">
        <v>7.5</v>
      </c>
      <c r="H1662" s="446">
        <v>1.3083000000000001E-3</v>
      </c>
      <c r="I1662" s="445">
        <v>-0.05</v>
      </c>
      <c r="J1662" s="448">
        <v>-0.09</v>
      </c>
      <c r="N1662" s="441"/>
      <c r="O1662" s="441"/>
      <c r="R1662" s="440"/>
    </row>
    <row r="1663" spans="1:18" s="439" customFormat="1">
      <c r="A1663" s="443" t="s">
        <v>318</v>
      </c>
      <c r="B1663" s="444" t="s">
        <v>684</v>
      </c>
      <c r="C1663" s="444" t="s">
        <v>330</v>
      </c>
      <c r="D1663" s="443" t="s">
        <v>685</v>
      </c>
      <c r="E1663" s="444">
        <v>201609</v>
      </c>
      <c r="F1663" s="445">
        <v>-0.1</v>
      </c>
      <c r="G1663" s="443">
        <v>7.5</v>
      </c>
      <c r="H1663" s="446">
        <v>1.3083000000000001E-3</v>
      </c>
      <c r="I1663" s="445">
        <v>0</v>
      </c>
      <c r="J1663" s="448">
        <v>0</v>
      </c>
      <c r="N1663" s="441"/>
      <c r="O1663" s="441"/>
      <c r="R1663" s="440"/>
    </row>
    <row r="1664" spans="1:18" s="439" customFormat="1">
      <c r="A1664" s="443" t="s">
        <v>318</v>
      </c>
      <c r="B1664" s="444" t="s">
        <v>866</v>
      </c>
      <c r="C1664" s="444" t="s">
        <v>329</v>
      </c>
      <c r="D1664" s="443" t="s">
        <v>867</v>
      </c>
      <c r="E1664" s="444">
        <v>201609</v>
      </c>
      <c r="F1664" s="445">
        <v>141.36000000000001</v>
      </c>
      <c r="G1664" s="443">
        <v>7.5</v>
      </c>
      <c r="H1664" s="446">
        <v>1.3083000000000001E-3</v>
      </c>
      <c r="I1664" s="445">
        <v>1.39</v>
      </c>
      <c r="J1664" s="448">
        <v>2.2200000000000002</v>
      </c>
      <c r="N1664" s="441"/>
      <c r="O1664" s="441"/>
      <c r="R1664" s="440"/>
    </row>
    <row r="1665" spans="1:18" s="439" customFormat="1">
      <c r="A1665" s="443" t="s">
        <v>318</v>
      </c>
      <c r="B1665" s="444" t="s">
        <v>866</v>
      </c>
      <c r="C1665" s="444" t="s">
        <v>329</v>
      </c>
      <c r="D1665" s="443" t="s">
        <v>867</v>
      </c>
      <c r="E1665" s="444">
        <v>201609</v>
      </c>
      <c r="F1665" s="445">
        <v>1506.85</v>
      </c>
      <c r="G1665" s="443">
        <v>7.5</v>
      </c>
      <c r="H1665" s="446">
        <v>1.3083000000000001E-3</v>
      </c>
      <c r="I1665" s="445">
        <v>14.79</v>
      </c>
      <c r="J1665" s="448">
        <v>23.66</v>
      </c>
      <c r="N1665" s="441"/>
      <c r="O1665" s="441"/>
      <c r="R1665" s="440"/>
    </row>
    <row r="1666" spans="1:18" s="439" customFormat="1">
      <c r="A1666" s="443" t="s">
        <v>318</v>
      </c>
      <c r="B1666" s="444" t="s">
        <v>792</v>
      </c>
      <c r="C1666" s="444" t="s">
        <v>329</v>
      </c>
      <c r="D1666" s="443" t="s">
        <v>793</v>
      </c>
      <c r="E1666" s="444">
        <v>201609</v>
      </c>
      <c r="F1666" s="445">
        <v>3297.53</v>
      </c>
      <c r="G1666" s="443">
        <v>7.5</v>
      </c>
      <c r="H1666" s="446">
        <v>1.3083000000000001E-3</v>
      </c>
      <c r="I1666" s="445">
        <v>32.36</v>
      </c>
      <c r="J1666" s="448">
        <v>51.77</v>
      </c>
      <c r="N1666" s="441"/>
      <c r="O1666" s="441"/>
      <c r="R1666" s="440"/>
    </row>
    <row r="1667" spans="1:18" s="439" customFormat="1">
      <c r="A1667" s="443" t="s">
        <v>318</v>
      </c>
      <c r="B1667" s="444" t="s">
        <v>792</v>
      </c>
      <c r="C1667" s="444" t="s">
        <v>329</v>
      </c>
      <c r="D1667" s="443" t="s">
        <v>793</v>
      </c>
      <c r="E1667" s="444">
        <v>201609</v>
      </c>
      <c r="F1667" s="445">
        <v>15058.61</v>
      </c>
      <c r="G1667" s="443">
        <v>7.5</v>
      </c>
      <c r="H1667" s="446">
        <v>1.3083000000000001E-3</v>
      </c>
      <c r="I1667" s="445">
        <v>147.76</v>
      </c>
      <c r="J1667" s="448">
        <v>236.41</v>
      </c>
      <c r="N1667" s="441"/>
      <c r="O1667" s="441"/>
      <c r="R1667" s="440"/>
    </row>
    <row r="1668" spans="1:18" s="439" customFormat="1">
      <c r="A1668" s="443" t="s">
        <v>318</v>
      </c>
      <c r="B1668" s="444" t="s">
        <v>686</v>
      </c>
      <c r="C1668" s="444" t="s">
        <v>329</v>
      </c>
      <c r="D1668" s="443" t="s">
        <v>687</v>
      </c>
      <c r="E1668" s="444">
        <v>201609</v>
      </c>
      <c r="F1668" s="445">
        <v>420.38</v>
      </c>
      <c r="G1668" s="443">
        <v>7.5</v>
      </c>
      <c r="H1668" s="446">
        <v>1.3083000000000001E-3</v>
      </c>
      <c r="I1668" s="445">
        <v>4.12</v>
      </c>
      <c r="J1668" s="448">
        <v>6.6</v>
      </c>
      <c r="N1668" s="441"/>
      <c r="O1668" s="441"/>
      <c r="R1668" s="440"/>
    </row>
    <row r="1669" spans="1:18" s="439" customFormat="1">
      <c r="A1669" s="443" t="s">
        <v>318</v>
      </c>
      <c r="B1669" s="444" t="s">
        <v>686</v>
      </c>
      <c r="C1669" s="444" t="s">
        <v>329</v>
      </c>
      <c r="D1669" s="443" t="s">
        <v>687</v>
      </c>
      <c r="E1669" s="444">
        <v>201609</v>
      </c>
      <c r="F1669" s="445">
        <v>5799.29</v>
      </c>
      <c r="G1669" s="443">
        <v>7.5</v>
      </c>
      <c r="H1669" s="446">
        <v>1.3083000000000001E-3</v>
      </c>
      <c r="I1669" s="445">
        <v>56.9</v>
      </c>
      <c r="J1669" s="448">
        <v>91.05</v>
      </c>
      <c r="N1669" s="441"/>
      <c r="O1669" s="441"/>
      <c r="R1669" s="440"/>
    </row>
    <row r="1670" spans="1:18" s="439" customFormat="1">
      <c r="A1670" s="443" t="s">
        <v>318</v>
      </c>
      <c r="B1670" s="444" t="s">
        <v>818</v>
      </c>
      <c r="C1670" s="444" t="s">
        <v>329</v>
      </c>
      <c r="D1670" s="443" t="s">
        <v>819</v>
      </c>
      <c r="E1670" s="444">
        <v>201609</v>
      </c>
      <c r="F1670" s="445">
        <v>2012.74</v>
      </c>
      <c r="G1670" s="443">
        <v>7.5</v>
      </c>
      <c r="H1670" s="446">
        <v>1.3083000000000001E-3</v>
      </c>
      <c r="I1670" s="445">
        <v>19.75</v>
      </c>
      <c r="J1670" s="448">
        <v>31.6</v>
      </c>
      <c r="N1670" s="441"/>
      <c r="O1670" s="441"/>
      <c r="R1670" s="440"/>
    </row>
    <row r="1671" spans="1:18" s="439" customFormat="1">
      <c r="A1671" s="443" t="s">
        <v>318</v>
      </c>
      <c r="B1671" s="444" t="s">
        <v>818</v>
      </c>
      <c r="C1671" s="444" t="s">
        <v>329</v>
      </c>
      <c r="D1671" s="443" t="s">
        <v>819</v>
      </c>
      <c r="E1671" s="444">
        <v>201609</v>
      </c>
      <c r="F1671" s="445">
        <v>12086.22</v>
      </c>
      <c r="G1671" s="443">
        <v>7.5</v>
      </c>
      <c r="H1671" s="446">
        <v>1.3083000000000001E-3</v>
      </c>
      <c r="I1671" s="445">
        <v>118.59</v>
      </c>
      <c r="J1671" s="448">
        <v>189.75</v>
      </c>
      <c r="N1671" s="441"/>
      <c r="O1671" s="441"/>
      <c r="R1671" s="440"/>
    </row>
    <row r="1672" spans="1:18" s="439" customFormat="1">
      <c r="A1672" s="443" t="s">
        <v>318</v>
      </c>
      <c r="B1672" s="444" t="s">
        <v>971</v>
      </c>
      <c r="C1672" s="444" t="s">
        <v>329</v>
      </c>
      <c r="D1672" s="443" t="s">
        <v>972</v>
      </c>
      <c r="E1672" s="444">
        <v>201609</v>
      </c>
      <c r="F1672" s="445">
        <v>-12063.33</v>
      </c>
      <c r="G1672" s="443">
        <v>7.5</v>
      </c>
      <c r="H1672" s="446">
        <v>1.3083000000000001E-3</v>
      </c>
      <c r="I1672" s="445">
        <v>-118.37</v>
      </c>
      <c r="J1672" s="448">
        <v>-189.39</v>
      </c>
      <c r="N1672" s="441"/>
      <c r="O1672" s="441"/>
      <c r="R1672" s="440"/>
    </row>
    <row r="1673" spans="1:18" s="439" customFormat="1">
      <c r="A1673" s="443" t="s">
        <v>318</v>
      </c>
      <c r="B1673" s="444" t="s">
        <v>971</v>
      </c>
      <c r="C1673" s="444" t="s">
        <v>329</v>
      </c>
      <c r="D1673" s="443" t="s">
        <v>972</v>
      </c>
      <c r="E1673" s="444">
        <v>201609</v>
      </c>
      <c r="F1673" s="445">
        <v>-1100.94</v>
      </c>
      <c r="G1673" s="443">
        <v>7.5</v>
      </c>
      <c r="H1673" s="446">
        <v>1.3083000000000001E-3</v>
      </c>
      <c r="I1673" s="445">
        <v>-10.8</v>
      </c>
      <c r="J1673" s="448">
        <v>-17.28</v>
      </c>
      <c r="N1673" s="441"/>
      <c r="O1673" s="441"/>
      <c r="R1673" s="440"/>
    </row>
    <row r="1674" spans="1:18" s="439" customFormat="1">
      <c r="A1674" s="443" t="s">
        <v>318</v>
      </c>
      <c r="B1674" s="444" t="s">
        <v>820</v>
      </c>
      <c r="C1674" s="444" t="s">
        <v>329</v>
      </c>
      <c r="D1674" s="443" t="s">
        <v>821</v>
      </c>
      <c r="E1674" s="444">
        <v>201609</v>
      </c>
      <c r="F1674" s="445">
        <v>366.73</v>
      </c>
      <c r="G1674" s="443">
        <v>7.5</v>
      </c>
      <c r="H1674" s="446">
        <v>1.3083000000000001E-3</v>
      </c>
      <c r="I1674" s="445">
        <v>3.6</v>
      </c>
      <c r="J1674" s="448">
        <v>5.76</v>
      </c>
      <c r="N1674" s="441"/>
      <c r="O1674" s="441"/>
      <c r="R1674" s="440"/>
    </row>
    <row r="1675" spans="1:18" s="439" customFormat="1">
      <c r="A1675" s="443" t="s">
        <v>318</v>
      </c>
      <c r="B1675" s="444" t="s">
        <v>820</v>
      </c>
      <c r="C1675" s="444" t="s">
        <v>329</v>
      </c>
      <c r="D1675" s="443" t="s">
        <v>821</v>
      </c>
      <c r="E1675" s="444">
        <v>201609</v>
      </c>
      <c r="F1675" s="445">
        <v>6400.26</v>
      </c>
      <c r="G1675" s="443">
        <v>7.5</v>
      </c>
      <c r="H1675" s="446">
        <v>1.3083000000000001E-3</v>
      </c>
      <c r="I1675" s="445">
        <v>62.8</v>
      </c>
      <c r="J1675" s="448">
        <v>100.48</v>
      </c>
      <c r="N1675" s="441"/>
      <c r="O1675" s="441"/>
      <c r="R1675" s="440"/>
    </row>
    <row r="1676" spans="1:18" s="439" customFormat="1">
      <c r="A1676" s="443" t="s">
        <v>318</v>
      </c>
      <c r="B1676" s="444" t="s">
        <v>688</v>
      </c>
      <c r="C1676" s="444" t="s">
        <v>329</v>
      </c>
      <c r="D1676" s="443" t="s">
        <v>689</v>
      </c>
      <c r="E1676" s="444">
        <v>201609</v>
      </c>
      <c r="F1676" s="445">
        <v>-198.59</v>
      </c>
      <c r="G1676" s="443">
        <v>7.5</v>
      </c>
      <c r="H1676" s="446">
        <v>1.3083000000000001E-3</v>
      </c>
      <c r="I1676" s="445">
        <v>-1.95</v>
      </c>
      <c r="J1676" s="448">
        <v>-3.12</v>
      </c>
      <c r="N1676" s="441"/>
      <c r="O1676" s="441"/>
      <c r="R1676" s="440"/>
    </row>
    <row r="1677" spans="1:18" s="439" customFormat="1">
      <c r="A1677" s="443" t="s">
        <v>318</v>
      </c>
      <c r="B1677" s="444" t="s">
        <v>688</v>
      </c>
      <c r="C1677" s="444" t="s">
        <v>329</v>
      </c>
      <c r="D1677" s="443" t="s">
        <v>689</v>
      </c>
      <c r="E1677" s="444">
        <v>201609</v>
      </c>
      <c r="F1677" s="445">
        <v>-36.950000000000003</v>
      </c>
      <c r="G1677" s="443">
        <v>7.5</v>
      </c>
      <c r="H1677" s="446">
        <v>1.3083000000000001E-3</v>
      </c>
      <c r="I1677" s="445">
        <v>-0.36</v>
      </c>
      <c r="J1677" s="448">
        <v>-0.57999999999999996</v>
      </c>
      <c r="N1677" s="441"/>
      <c r="O1677" s="441"/>
      <c r="R1677" s="440"/>
    </row>
    <row r="1678" spans="1:18" s="439" customFormat="1">
      <c r="A1678" s="443" t="s">
        <v>322</v>
      </c>
      <c r="B1678" s="444" t="s">
        <v>688</v>
      </c>
      <c r="C1678" s="444" t="s">
        <v>329</v>
      </c>
      <c r="D1678" s="443" t="s">
        <v>689</v>
      </c>
      <c r="E1678" s="444">
        <v>201609</v>
      </c>
      <c r="F1678" s="445">
        <v>-3.51</v>
      </c>
      <c r="G1678" s="443">
        <v>7.5</v>
      </c>
      <c r="H1678" s="446">
        <v>1.1999999999999999E-3</v>
      </c>
      <c r="I1678" s="445">
        <v>-0.03</v>
      </c>
      <c r="J1678" s="448">
        <v>-0.05</v>
      </c>
      <c r="N1678" s="441"/>
      <c r="O1678" s="441"/>
      <c r="R1678" s="440"/>
    </row>
    <row r="1679" spans="1:18" s="439" customFormat="1">
      <c r="A1679" s="443" t="s">
        <v>318</v>
      </c>
      <c r="B1679" s="444" t="s">
        <v>822</v>
      </c>
      <c r="C1679" s="444" t="s">
        <v>330</v>
      </c>
      <c r="D1679" s="443" t="s">
        <v>823</v>
      </c>
      <c r="E1679" s="444">
        <v>201609</v>
      </c>
      <c r="F1679" s="445">
        <v>-414808.77</v>
      </c>
      <c r="G1679" s="443">
        <v>7.5</v>
      </c>
      <c r="H1679" s="446">
        <v>1.3083000000000001E-3</v>
      </c>
      <c r="I1679" s="445">
        <v>-4070.21</v>
      </c>
      <c r="J1679" s="448">
        <v>-6512.33</v>
      </c>
      <c r="N1679" s="441"/>
      <c r="O1679" s="441"/>
      <c r="R1679" s="440"/>
    </row>
    <row r="1680" spans="1:18" s="439" customFormat="1">
      <c r="A1680" s="443" t="s">
        <v>322</v>
      </c>
      <c r="B1680" s="444" t="s">
        <v>822</v>
      </c>
      <c r="C1680" s="444" t="s">
        <v>330</v>
      </c>
      <c r="D1680" s="443" t="s">
        <v>823</v>
      </c>
      <c r="E1680" s="444">
        <v>201609</v>
      </c>
      <c r="F1680" s="445">
        <v>68.849999999999994</v>
      </c>
      <c r="G1680" s="443">
        <v>7.5</v>
      </c>
      <c r="H1680" s="446">
        <v>1.1999999999999999E-3</v>
      </c>
      <c r="I1680" s="445">
        <v>0.62</v>
      </c>
      <c r="J1680" s="448">
        <v>0.99</v>
      </c>
      <c r="N1680" s="441"/>
      <c r="O1680" s="441"/>
      <c r="R1680" s="440"/>
    </row>
    <row r="1681" spans="1:18" s="439" customFormat="1">
      <c r="A1681" s="443" t="s">
        <v>318</v>
      </c>
      <c r="B1681" s="444" t="s">
        <v>822</v>
      </c>
      <c r="C1681" s="444" t="s">
        <v>330</v>
      </c>
      <c r="D1681" s="443" t="s">
        <v>823</v>
      </c>
      <c r="E1681" s="444">
        <v>201609</v>
      </c>
      <c r="F1681" s="445">
        <v>7421.7</v>
      </c>
      <c r="G1681" s="443">
        <v>7.5</v>
      </c>
      <c r="H1681" s="446">
        <v>1.3083000000000001E-3</v>
      </c>
      <c r="I1681" s="445">
        <v>72.819999999999993</v>
      </c>
      <c r="J1681" s="448">
        <v>116.52</v>
      </c>
      <c r="N1681" s="441"/>
      <c r="O1681" s="441"/>
      <c r="R1681" s="440"/>
    </row>
    <row r="1682" spans="1:18" s="439" customFormat="1">
      <c r="A1682" s="443" t="s">
        <v>322</v>
      </c>
      <c r="B1682" s="444" t="s">
        <v>822</v>
      </c>
      <c r="C1682" s="444" t="s">
        <v>330</v>
      </c>
      <c r="D1682" s="443" t="s">
        <v>823</v>
      </c>
      <c r="E1682" s="444">
        <v>201609</v>
      </c>
      <c r="F1682" s="445">
        <v>8531.18</v>
      </c>
      <c r="G1682" s="443">
        <v>7.5</v>
      </c>
      <c r="H1682" s="446">
        <v>1.1999999999999999E-3</v>
      </c>
      <c r="I1682" s="445">
        <v>76.78</v>
      </c>
      <c r="J1682" s="448">
        <v>122.85</v>
      </c>
      <c r="N1682" s="441"/>
      <c r="O1682" s="441"/>
      <c r="R1682" s="440"/>
    </row>
    <row r="1683" spans="1:18" s="439" customFormat="1">
      <c r="A1683" s="443" t="s">
        <v>318</v>
      </c>
      <c r="B1683" s="444" t="s">
        <v>822</v>
      </c>
      <c r="C1683" s="444" t="s">
        <v>330</v>
      </c>
      <c r="D1683" s="443" t="s">
        <v>823</v>
      </c>
      <c r="E1683" s="444">
        <v>201609</v>
      </c>
      <c r="F1683" s="445">
        <v>12758.14</v>
      </c>
      <c r="G1683" s="443">
        <v>7.5</v>
      </c>
      <c r="H1683" s="446">
        <v>1.3083000000000001E-3</v>
      </c>
      <c r="I1683" s="445">
        <v>125.19</v>
      </c>
      <c r="J1683" s="448">
        <v>200.3</v>
      </c>
      <c r="N1683" s="441"/>
      <c r="O1683" s="441"/>
      <c r="R1683" s="440"/>
    </row>
    <row r="1684" spans="1:18" s="439" customFormat="1">
      <c r="A1684" s="443" t="s">
        <v>318</v>
      </c>
      <c r="B1684" s="444" t="s">
        <v>822</v>
      </c>
      <c r="C1684" s="444" t="s">
        <v>330</v>
      </c>
      <c r="D1684" s="443" t="s">
        <v>823</v>
      </c>
      <c r="E1684" s="444">
        <v>201609</v>
      </c>
      <c r="F1684" s="445">
        <v>474722.7</v>
      </c>
      <c r="G1684" s="443">
        <v>7.5</v>
      </c>
      <c r="H1684" s="446">
        <v>1.3083000000000001E-3</v>
      </c>
      <c r="I1684" s="445">
        <v>4658.1000000000004</v>
      </c>
      <c r="J1684" s="448">
        <v>7452.96</v>
      </c>
      <c r="N1684" s="441"/>
      <c r="O1684" s="441"/>
      <c r="R1684" s="440"/>
    </row>
    <row r="1685" spans="1:18" s="439" customFormat="1">
      <c r="A1685" s="443" t="s">
        <v>318</v>
      </c>
      <c r="B1685" s="444" t="s">
        <v>690</v>
      </c>
      <c r="C1685" s="444" t="s">
        <v>330</v>
      </c>
      <c r="D1685" s="443" t="s">
        <v>691</v>
      </c>
      <c r="E1685" s="444">
        <v>201609</v>
      </c>
      <c r="F1685" s="445">
        <v>2549.2600000000002</v>
      </c>
      <c r="G1685" s="443">
        <v>7.5</v>
      </c>
      <c r="H1685" s="446">
        <v>1.3083000000000001E-3</v>
      </c>
      <c r="I1685" s="445">
        <v>25.01</v>
      </c>
      <c r="J1685" s="448">
        <v>40.020000000000003</v>
      </c>
      <c r="N1685" s="441"/>
      <c r="O1685" s="441"/>
      <c r="R1685" s="440"/>
    </row>
    <row r="1686" spans="1:18" s="439" customFormat="1">
      <c r="A1686" s="443" t="s">
        <v>318</v>
      </c>
      <c r="B1686" s="444" t="s">
        <v>973</v>
      </c>
      <c r="C1686" s="444" t="s">
        <v>330</v>
      </c>
      <c r="D1686" s="443" t="s">
        <v>974</v>
      </c>
      <c r="E1686" s="444">
        <v>201609</v>
      </c>
      <c r="F1686" s="445">
        <v>241.05</v>
      </c>
      <c r="G1686" s="443">
        <v>7.5</v>
      </c>
      <c r="H1686" s="446">
        <v>1.3083000000000001E-3</v>
      </c>
      <c r="I1686" s="445">
        <v>2.37</v>
      </c>
      <c r="J1686" s="448">
        <v>3.78</v>
      </c>
      <c r="N1686" s="441"/>
      <c r="O1686" s="441"/>
      <c r="R1686" s="440"/>
    </row>
    <row r="1687" spans="1:18" s="439" customFormat="1">
      <c r="A1687" s="443" t="s">
        <v>318</v>
      </c>
      <c r="B1687" s="444" t="s">
        <v>973</v>
      </c>
      <c r="C1687" s="444" t="s">
        <v>330</v>
      </c>
      <c r="D1687" s="443" t="s">
        <v>974</v>
      </c>
      <c r="E1687" s="444">
        <v>201609</v>
      </c>
      <c r="F1687" s="445">
        <v>6190.42</v>
      </c>
      <c r="G1687" s="443">
        <v>7.5</v>
      </c>
      <c r="H1687" s="446">
        <v>1.3083000000000001E-3</v>
      </c>
      <c r="I1687" s="445">
        <v>60.74</v>
      </c>
      <c r="J1687" s="448">
        <v>97.19</v>
      </c>
      <c r="N1687" s="441"/>
      <c r="O1687" s="441"/>
      <c r="R1687" s="440"/>
    </row>
    <row r="1688" spans="1:18" s="439" customFormat="1">
      <c r="A1688" s="443" t="s">
        <v>318</v>
      </c>
      <c r="B1688" s="444" t="s">
        <v>868</v>
      </c>
      <c r="C1688" s="444" t="s">
        <v>330</v>
      </c>
      <c r="D1688" s="443" t="s">
        <v>869</v>
      </c>
      <c r="E1688" s="444">
        <v>201609</v>
      </c>
      <c r="F1688" s="445">
        <v>264.43</v>
      </c>
      <c r="G1688" s="443">
        <v>7.5</v>
      </c>
      <c r="H1688" s="446">
        <v>1.3083000000000001E-3</v>
      </c>
      <c r="I1688" s="445">
        <v>2.59</v>
      </c>
      <c r="J1688" s="448">
        <v>4.1500000000000004</v>
      </c>
      <c r="N1688" s="441"/>
      <c r="O1688" s="441"/>
      <c r="R1688" s="440"/>
    </row>
    <row r="1689" spans="1:18" s="439" customFormat="1">
      <c r="A1689" s="443" t="s">
        <v>318</v>
      </c>
      <c r="B1689" s="444" t="s">
        <v>868</v>
      </c>
      <c r="C1689" s="444" t="s">
        <v>330</v>
      </c>
      <c r="D1689" s="443" t="s">
        <v>869</v>
      </c>
      <c r="E1689" s="444">
        <v>201609</v>
      </c>
      <c r="F1689" s="445">
        <v>6323.53</v>
      </c>
      <c r="G1689" s="443">
        <v>7.5</v>
      </c>
      <c r="H1689" s="446">
        <v>1.3083000000000001E-3</v>
      </c>
      <c r="I1689" s="445">
        <v>62.05</v>
      </c>
      <c r="J1689" s="448">
        <v>99.28</v>
      </c>
      <c r="N1689" s="441"/>
      <c r="O1689" s="441"/>
      <c r="R1689" s="440"/>
    </row>
    <row r="1690" spans="1:18" s="439" customFormat="1">
      <c r="A1690" s="443" t="s">
        <v>318</v>
      </c>
      <c r="B1690" s="444" t="s">
        <v>824</v>
      </c>
      <c r="C1690" s="444" t="s">
        <v>329</v>
      </c>
      <c r="D1690" s="443" t="s">
        <v>825</v>
      </c>
      <c r="E1690" s="444">
        <v>201609</v>
      </c>
      <c r="F1690" s="445">
        <v>1500.96</v>
      </c>
      <c r="G1690" s="443">
        <v>7.5</v>
      </c>
      <c r="H1690" s="446">
        <v>1.3083000000000001E-3</v>
      </c>
      <c r="I1690" s="445">
        <v>14.73</v>
      </c>
      <c r="J1690" s="448">
        <v>23.56</v>
      </c>
      <c r="N1690" s="441"/>
      <c r="O1690" s="441"/>
      <c r="R1690" s="440"/>
    </row>
    <row r="1691" spans="1:18" s="439" customFormat="1">
      <c r="A1691" s="443" t="s">
        <v>318</v>
      </c>
      <c r="B1691" s="444" t="s">
        <v>824</v>
      </c>
      <c r="C1691" s="444" t="s">
        <v>329</v>
      </c>
      <c r="D1691" s="443" t="s">
        <v>825</v>
      </c>
      <c r="E1691" s="444">
        <v>201609</v>
      </c>
      <c r="F1691" s="445">
        <v>6338.35</v>
      </c>
      <c r="G1691" s="443">
        <v>7.5</v>
      </c>
      <c r="H1691" s="446">
        <v>1.3083000000000001E-3</v>
      </c>
      <c r="I1691" s="445">
        <v>62.19</v>
      </c>
      <c r="J1691" s="448">
        <v>99.51</v>
      </c>
      <c r="N1691" s="441"/>
      <c r="O1691" s="441"/>
      <c r="R1691" s="440"/>
    </row>
    <row r="1692" spans="1:18" s="439" customFormat="1">
      <c r="A1692" s="443" t="s">
        <v>318</v>
      </c>
      <c r="B1692" s="444" t="s">
        <v>1037</v>
      </c>
      <c r="C1692" s="444" t="s">
        <v>329</v>
      </c>
      <c r="D1692" s="443" t="s">
        <v>1038</v>
      </c>
      <c r="E1692" s="444">
        <v>201609</v>
      </c>
      <c r="F1692" s="445">
        <v>55826.7</v>
      </c>
      <c r="G1692" s="443">
        <v>7.5</v>
      </c>
      <c r="H1692" s="446">
        <v>1.3083000000000001E-3</v>
      </c>
      <c r="I1692" s="445">
        <v>547.79</v>
      </c>
      <c r="J1692" s="448">
        <v>876.46</v>
      </c>
      <c r="N1692" s="441"/>
      <c r="O1692" s="441"/>
      <c r="R1692" s="440"/>
    </row>
    <row r="1693" spans="1:18" s="439" customFormat="1">
      <c r="A1693" s="443" t="s">
        <v>318</v>
      </c>
      <c r="B1693" s="444" t="s">
        <v>1037</v>
      </c>
      <c r="C1693" s="444" t="s">
        <v>329</v>
      </c>
      <c r="D1693" s="443" t="s">
        <v>1038</v>
      </c>
      <c r="E1693" s="444">
        <v>201609</v>
      </c>
      <c r="F1693" s="445">
        <v>739224.64</v>
      </c>
      <c r="G1693" s="443">
        <v>7.5</v>
      </c>
      <c r="H1693" s="446">
        <v>1.3083000000000001E-3</v>
      </c>
      <c r="I1693" s="445">
        <v>7253.46</v>
      </c>
      <c r="J1693" s="448">
        <v>11605.53</v>
      </c>
      <c r="N1693" s="441"/>
      <c r="O1693" s="441"/>
      <c r="R1693" s="440"/>
    </row>
    <row r="1694" spans="1:18" s="439" customFormat="1">
      <c r="A1694" s="443" t="s">
        <v>318</v>
      </c>
      <c r="B1694" s="444" t="s">
        <v>850</v>
      </c>
      <c r="C1694" s="444" t="s">
        <v>329</v>
      </c>
      <c r="D1694" s="443" t="s">
        <v>851</v>
      </c>
      <c r="E1694" s="444">
        <v>201609</v>
      </c>
      <c r="F1694" s="445">
        <v>2393.54</v>
      </c>
      <c r="G1694" s="443">
        <v>7.5</v>
      </c>
      <c r="H1694" s="446">
        <v>1.3083000000000001E-3</v>
      </c>
      <c r="I1694" s="445">
        <v>23.49</v>
      </c>
      <c r="J1694" s="448">
        <v>37.58</v>
      </c>
      <c r="N1694" s="441"/>
      <c r="O1694" s="441"/>
      <c r="R1694" s="440"/>
    </row>
    <row r="1695" spans="1:18" s="439" customFormat="1">
      <c r="A1695" s="443" t="s">
        <v>318</v>
      </c>
      <c r="B1695" s="444" t="s">
        <v>850</v>
      </c>
      <c r="C1695" s="444" t="s">
        <v>329</v>
      </c>
      <c r="D1695" s="443" t="s">
        <v>851</v>
      </c>
      <c r="E1695" s="444">
        <v>201609</v>
      </c>
      <c r="F1695" s="445">
        <v>29089.54</v>
      </c>
      <c r="G1695" s="443">
        <v>7.5</v>
      </c>
      <c r="H1695" s="446">
        <v>1.3083000000000001E-3</v>
      </c>
      <c r="I1695" s="445">
        <v>285.43</v>
      </c>
      <c r="J1695" s="448">
        <v>456.69</v>
      </c>
      <c r="N1695" s="441"/>
      <c r="O1695" s="441"/>
      <c r="R1695" s="440"/>
    </row>
    <row r="1696" spans="1:18" s="439" customFormat="1">
      <c r="A1696" s="443" t="s">
        <v>318</v>
      </c>
      <c r="B1696" s="444" t="s">
        <v>692</v>
      </c>
      <c r="C1696" s="444" t="s">
        <v>330</v>
      </c>
      <c r="D1696" s="443" t="s">
        <v>693</v>
      </c>
      <c r="E1696" s="444">
        <v>201609</v>
      </c>
      <c r="F1696" s="445">
        <v>1.28</v>
      </c>
      <c r="G1696" s="443">
        <v>7.5</v>
      </c>
      <c r="H1696" s="446">
        <v>1.3083000000000001E-3</v>
      </c>
      <c r="I1696" s="445">
        <v>0.01</v>
      </c>
      <c r="J1696" s="448">
        <v>0.02</v>
      </c>
      <c r="N1696" s="441"/>
      <c r="O1696" s="441"/>
      <c r="R1696" s="440"/>
    </row>
    <row r="1697" spans="1:18" s="439" customFormat="1">
      <c r="A1697" s="443" t="s">
        <v>318</v>
      </c>
      <c r="B1697" s="444" t="s">
        <v>692</v>
      </c>
      <c r="C1697" s="444" t="s">
        <v>330</v>
      </c>
      <c r="D1697" s="443" t="s">
        <v>693</v>
      </c>
      <c r="E1697" s="444">
        <v>201609</v>
      </c>
      <c r="F1697" s="445">
        <v>47.99</v>
      </c>
      <c r="G1697" s="443">
        <v>7.5</v>
      </c>
      <c r="H1697" s="446">
        <v>1.3083000000000001E-3</v>
      </c>
      <c r="I1697" s="445">
        <v>0.47</v>
      </c>
      <c r="J1697" s="448">
        <v>0.75</v>
      </c>
      <c r="N1697" s="441"/>
      <c r="O1697" s="441"/>
      <c r="R1697" s="440"/>
    </row>
    <row r="1698" spans="1:18" s="439" customFormat="1">
      <c r="A1698" s="443" t="s">
        <v>318</v>
      </c>
      <c r="B1698" s="444" t="s">
        <v>694</v>
      </c>
      <c r="C1698" s="444" t="s">
        <v>330</v>
      </c>
      <c r="D1698" s="443" t="s">
        <v>695</v>
      </c>
      <c r="E1698" s="444">
        <v>201609</v>
      </c>
      <c r="F1698" s="445">
        <v>0.16</v>
      </c>
      <c r="G1698" s="443">
        <v>7.5</v>
      </c>
      <c r="H1698" s="446">
        <v>1.3083000000000001E-3</v>
      </c>
      <c r="I1698" s="445">
        <v>0</v>
      </c>
      <c r="J1698" s="448">
        <v>0</v>
      </c>
      <c r="N1698" s="441"/>
      <c r="O1698" s="441"/>
      <c r="R1698" s="440"/>
    </row>
    <row r="1699" spans="1:18" s="439" customFormat="1">
      <c r="A1699" s="443" t="s">
        <v>318</v>
      </c>
      <c r="B1699" s="444" t="s">
        <v>694</v>
      </c>
      <c r="C1699" s="444" t="s">
        <v>330</v>
      </c>
      <c r="D1699" s="443" t="s">
        <v>695</v>
      </c>
      <c r="E1699" s="444">
        <v>201609</v>
      </c>
      <c r="F1699" s="445">
        <v>4.16</v>
      </c>
      <c r="G1699" s="443">
        <v>7.5</v>
      </c>
      <c r="H1699" s="446">
        <v>1.3083000000000001E-3</v>
      </c>
      <c r="I1699" s="445">
        <v>0.04</v>
      </c>
      <c r="J1699" s="448">
        <v>7.0000000000000007E-2</v>
      </c>
      <c r="N1699" s="441"/>
      <c r="O1699" s="441"/>
      <c r="R1699" s="440"/>
    </row>
    <row r="1700" spans="1:18" s="439" customFormat="1">
      <c r="A1700" s="443" t="s">
        <v>318</v>
      </c>
      <c r="B1700" s="444" t="s">
        <v>696</v>
      </c>
      <c r="C1700" s="444" t="s">
        <v>330</v>
      </c>
      <c r="D1700" s="443" t="s">
        <v>697</v>
      </c>
      <c r="E1700" s="444">
        <v>201609</v>
      </c>
      <c r="F1700" s="445">
        <v>-2.1800000000000002</v>
      </c>
      <c r="G1700" s="443">
        <v>7.5</v>
      </c>
      <c r="H1700" s="446">
        <v>1.3083000000000001E-3</v>
      </c>
      <c r="I1700" s="445">
        <v>-0.02</v>
      </c>
      <c r="J1700" s="448">
        <v>-0.03</v>
      </c>
      <c r="N1700" s="441"/>
      <c r="O1700" s="441"/>
      <c r="R1700" s="440"/>
    </row>
    <row r="1701" spans="1:18" s="439" customFormat="1">
      <c r="A1701" s="443" t="s">
        <v>318</v>
      </c>
      <c r="B1701" s="444" t="s">
        <v>696</v>
      </c>
      <c r="C1701" s="444" t="s">
        <v>330</v>
      </c>
      <c r="D1701" s="443" t="s">
        <v>697</v>
      </c>
      <c r="E1701" s="444">
        <v>201609</v>
      </c>
      <c r="F1701" s="445">
        <v>-0.2</v>
      </c>
      <c r="G1701" s="443">
        <v>7.5</v>
      </c>
      <c r="H1701" s="446">
        <v>1.3083000000000001E-3</v>
      </c>
      <c r="I1701" s="445">
        <v>0</v>
      </c>
      <c r="J1701" s="448">
        <v>0</v>
      </c>
      <c r="N1701" s="441"/>
      <c r="O1701" s="441"/>
      <c r="R1701" s="440"/>
    </row>
    <row r="1702" spans="1:18" s="439" customFormat="1">
      <c r="A1702" s="443" t="s">
        <v>318</v>
      </c>
      <c r="B1702" s="444" t="s">
        <v>698</v>
      </c>
      <c r="C1702" s="444" t="s">
        <v>330</v>
      </c>
      <c r="D1702" s="443" t="s">
        <v>699</v>
      </c>
      <c r="E1702" s="444">
        <v>201609</v>
      </c>
      <c r="F1702" s="445">
        <v>882.54</v>
      </c>
      <c r="G1702" s="443">
        <v>7.5</v>
      </c>
      <c r="H1702" s="446">
        <v>1.3083000000000001E-3</v>
      </c>
      <c r="I1702" s="445">
        <v>8.66</v>
      </c>
      <c r="J1702" s="448">
        <v>13.86</v>
      </c>
      <c r="N1702" s="441"/>
      <c r="O1702" s="441"/>
      <c r="R1702" s="440"/>
    </row>
    <row r="1703" spans="1:18" s="439" customFormat="1">
      <c r="A1703" s="443" t="s">
        <v>318</v>
      </c>
      <c r="B1703" s="444" t="s">
        <v>700</v>
      </c>
      <c r="C1703" s="444" t="s">
        <v>330</v>
      </c>
      <c r="D1703" s="443" t="s">
        <v>701</v>
      </c>
      <c r="E1703" s="444">
        <v>201609</v>
      </c>
      <c r="F1703" s="445">
        <v>36.29</v>
      </c>
      <c r="G1703" s="443">
        <v>7.5</v>
      </c>
      <c r="H1703" s="446">
        <v>1.3083000000000001E-3</v>
      </c>
      <c r="I1703" s="445">
        <v>0.36</v>
      </c>
      <c r="J1703" s="448">
        <v>0.56999999999999995</v>
      </c>
      <c r="N1703" s="441"/>
      <c r="O1703" s="441"/>
      <c r="R1703" s="440"/>
    </row>
    <row r="1704" spans="1:18" s="439" customFormat="1">
      <c r="A1704" s="443" t="s">
        <v>318</v>
      </c>
      <c r="B1704" s="444" t="s">
        <v>700</v>
      </c>
      <c r="C1704" s="444" t="s">
        <v>330</v>
      </c>
      <c r="D1704" s="443" t="s">
        <v>701</v>
      </c>
      <c r="E1704" s="444">
        <v>201609</v>
      </c>
      <c r="F1704" s="445">
        <v>881.57</v>
      </c>
      <c r="G1704" s="443">
        <v>7.5</v>
      </c>
      <c r="H1704" s="446">
        <v>1.3083000000000001E-3</v>
      </c>
      <c r="I1704" s="445">
        <v>8.65</v>
      </c>
      <c r="J1704" s="448">
        <v>13.84</v>
      </c>
      <c r="N1704" s="441"/>
      <c r="O1704" s="441"/>
      <c r="R1704" s="440"/>
    </row>
    <row r="1705" spans="1:18" s="439" customFormat="1">
      <c r="A1705" s="443" t="s">
        <v>318</v>
      </c>
      <c r="B1705" s="444" t="s">
        <v>794</v>
      </c>
      <c r="C1705" s="444" t="s">
        <v>330</v>
      </c>
      <c r="D1705" s="443" t="s">
        <v>795</v>
      </c>
      <c r="E1705" s="444">
        <v>201609</v>
      </c>
      <c r="F1705" s="445">
        <v>30.61</v>
      </c>
      <c r="G1705" s="443">
        <v>7.5</v>
      </c>
      <c r="H1705" s="446">
        <v>1.3083000000000001E-3</v>
      </c>
      <c r="I1705" s="445">
        <v>0.3</v>
      </c>
      <c r="J1705" s="448">
        <v>0.48</v>
      </c>
      <c r="N1705" s="441"/>
      <c r="O1705" s="441"/>
      <c r="R1705" s="440"/>
    </row>
    <row r="1706" spans="1:18" s="439" customFormat="1">
      <c r="A1706" s="443" t="s">
        <v>318</v>
      </c>
      <c r="B1706" s="444" t="s">
        <v>794</v>
      </c>
      <c r="C1706" s="444" t="s">
        <v>330</v>
      </c>
      <c r="D1706" s="443" t="s">
        <v>795</v>
      </c>
      <c r="E1706" s="444">
        <v>201609</v>
      </c>
      <c r="F1706" s="445">
        <v>1408.63</v>
      </c>
      <c r="G1706" s="443">
        <v>7.5</v>
      </c>
      <c r="H1706" s="446">
        <v>1.3083000000000001E-3</v>
      </c>
      <c r="I1706" s="445">
        <v>13.82</v>
      </c>
      <c r="J1706" s="448">
        <v>22.11</v>
      </c>
      <c r="N1706" s="441"/>
      <c r="O1706" s="441"/>
      <c r="R1706" s="440"/>
    </row>
    <row r="1707" spans="1:18" s="439" customFormat="1">
      <c r="A1707" s="443" t="s">
        <v>318</v>
      </c>
      <c r="B1707" s="444" t="s">
        <v>702</v>
      </c>
      <c r="C1707" s="444" t="s">
        <v>330</v>
      </c>
      <c r="D1707" s="443" t="s">
        <v>703</v>
      </c>
      <c r="E1707" s="444">
        <v>201609</v>
      </c>
      <c r="F1707" s="445">
        <v>5.51</v>
      </c>
      <c r="G1707" s="443">
        <v>7.5</v>
      </c>
      <c r="H1707" s="446">
        <v>1.3083000000000001E-3</v>
      </c>
      <c r="I1707" s="445">
        <v>0.05</v>
      </c>
      <c r="J1707" s="448">
        <v>0.09</v>
      </c>
      <c r="N1707" s="441"/>
      <c r="O1707" s="441"/>
      <c r="R1707" s="440"/>
    </row>
    <row r="1708" spans="1:18" s="439" customFormat="1">
      <c r="A1708" s="443" t="s">
        <v>318</v>
      </c>
      <c r="B1708" s="444" t="s">
        <v>975</v>
      </c>
      <c r="C1708" s="444" t="s">
        <v>330</v>
      </c>
      <c r="D1708" s="443" t="s">
        <v>976</v>
      </c>
      <c r="E1708" s="444">
        <v>201609</v>
      </c>
      <c r="F1708" s="445">
        <v>35.1</v>
      </c>
      <c r="G1708" s="443">
        <v>7.5</v>
      </c>
      <c r="H1708" s="446">
        <v>1.3083000000000001E-3</v>
      </c>
      <c r="I1708" s="445">
        <v>0.34</v>
      </c>
      <c r="J1708" s="448">
        <v>0.55000000000000004</v>
      </c>
      <c r="N1708" s="441"/>
      <c r="O1708" s="441"/>
      <c r="R1708" s="440"/>
    </row>
    <row r="1709" spans="1:18" s="439" customFormat="1">
      <c r="A1709" s="443" t="s">
        <v>318</v>
      </c>
      <c r="B1709" s="444" t="s">
        <v>975</v>
      </c>
      <c r="C1709" s="444" t="s">
        <v>330</v>
      </c>
      <c r="D1709" s="443" t="s">
        <v>976</v>
      </c>
      <c r="E1709" s="444">
        <v>201609</v>
      </c>
      <c r="F1709" s="445">
        <v>2425.2800000000002</v>
      </c>
      <c r="G1709" s="443">
        <v>7.5</v>
      </c>
      <c r="H1709" s="446">
        <v>1.3083000000000001E-3</v>
      </c>
      <c r="I1709" s="445">
        <v>23.8</v>
      </c>
      <c r="J1709" s="448">
        <v>38.08</v>
      </c>
      <c r="N1709" s="441"/>
      <c r="O1709" s="441"/>
      <c r="R1709" s="440"/>
    </row>
    <row r="1710" spans="1:18" s="439" customFormat="1">
      <c r="A1710" s="443" t="s">
        <v>318</v>
      </c>
      <c r="B1710" s="444" t="s">
        <v>852</v>
      </c>
      <c r="C1710" s="444" t="s">
        <v>330</v>
      </c>
      <c r="D1710" s="443" t="s">
        <v>853</v>
      </c>
      <c r="E1710" s="444">
        <v>201609</v>
      </c>
      <c r="F1710" s="445">
        <v>185.26</v>
      </c>
      <c r="G1710" s="443">
        <v>7.5</v>
      </c>
      <c r="H1710" s="446">
        <v>1.3083000000000001E-3</v>
      </c>
      <c r="I1710" s="445">
        <v>1.82</v>
      </c>
      <c r="J1710" s="448">
        <v>2.91</v>
      </c>
      <c r="N1710" s="441"/>
      <c r="O1710" s="441"/>
      <c r="R1710" s="440"/>
    </row>
    <row r="1711" spans="1:18" s="439" customFormat="1">
      <c r="A1711" s="443" t="s">
        <v>318</v>
      </c>
      <c r="B1711" s="444" t="s">
        <v>852</v>
      </c>
      <c r="C1711" s="444" t="s">
        <v>330</v>
      </c>
      <c r="D1711" s="443" t="s">
        <v>853</v>
      </c>
      <c r="E1711" s="444">
        <v>201609</v>
      </c>
      <c r="F1711" s="445">
        <v>2724.12</v>
      </c>
      <c r="G1711" s="443">
        <v>7.5</v>
      </c>
      <c r="H1711" s="446">
        <v>1.3083000000000001E-3</v>
      </c>
      <c r="I1711" s="445">
        <v>26.73</v>
      </c>
      <c r="J1711" s="448">
        <v>42.77</v>
      </c>
      <c r="N1711" s="441"/>
      <c r="O1711" s="441"/>
      <c r="R1711" s="440"/>
    </row>
    <row r="1712" spans="1:18" s="439" customFormat="1">
      <c r="A1712" s="443" t="s">
        <v>318</v>
      </c>
      <c r="B1712" s="444" t="s">
        <v>870</v>
      </c>
      <c r="C1712" s="444" t="s">
        <v>330</v>
      </c>
      <c r="D1712" s="443" t="s">
        <v>871</v>
      </c>
      <c r="E1712" s="444">
        <v>201609</v>
      </c>
      <c r="F1712" s="445">
        <v>43.53</v>
      </c>
      <c r="G1712" s="443">
        <v>7.5</v>
      </c>
      <c r="H1712" s="446">
        <v>1.3083000000000001E-3</v>
      </c>
      <c r="I1712" s="445">
        <v>0.43</v>
      </c>
      <c r="J1712" s="448">
        <v>0.68</v>
      </c>
      <c r="N1712" s="441"/>
      <c r="O1712" s="441"/>
      <c r="R1712" s="440"/>
    </row>
    <row r="1713" spans="1:18" s="439" customFormat="1">
      <c r="A1713" s="443" t="s">
        <v>318</v>
      </c>
      <c r="B1713" s="444" t="s">
        <v>870</v>
      </c>
      <c r="C1713" s="444" t="s">
        <v>330</v>
      </c>
      <c r="D1713" s="443" t="s">
        <v>871</v>
      </c>
      <c r="E1713" s="444">
        <v>201609</v>
      </c>
      <c r="F1713" s="445">
        <v>651.04</v>
      </c>
      <c r="G1713" s="443">
        <v>7.5</v>
      </c>
      <c r="H1713" s="446">
        <v>1.3083000000000001E-3</v>
      </c>
      <c r="I1713" s="445">
        <v>6.39</v>
      </c>
      <c r="J1713" s="448">
        <v>10.220000000000001</v>
      </c>
      <c r="N1713" s="441"/>
      <c r="O1713" s="441"/>
      <c r="R1713" s="440"/>
    </row>
    <row r="1714" spans="1:18" s="439" customFormat="1">
      <c r="A1714" s="443" t="s">
        <v>318</v>
      </c>
      <c r="B1714" s="444" t="s">
        <v>1039</v>
      </c>
      <c r="C1714" s="444" t="s">
        <v>330</v>
      </c>
      <c r="D1714" s="443" t="s">
        <v>1040</v>
      </c>
      <c r="E1714" s="444">
        <v>201609</v>
      </c>
      <c r="F1714" s="445">
        <v>10445.86</v>
      </c>
      <c r="G1714" s="443">
        <v>7.5</v>
      </c>
      <c r="H1714" s="446">
        <v>1.3083000000000001E-3</v>
      </c>
      <c r="I1714" s="445">
        <v>102.5</v>
      </c>
      <c r="J1714" s="448">
        <v>164</v>
      </c>
      <c r="N1714" s="441"/>
      <c r="O1714" s="441"/>
      <c r="R1714" s="440"/>
    </row>
    <row r="1715" spans="1:18" s="439" customFormat="1">
      <c r="A1715" s="443" t="s">
        <v>318</v>
      </c>
      <c r="B1715" s="444" t="s">
        <v>1039</v>
      </c>
      <c r="C1715" s="444" t="s">
        <v>330</v>
      </c>
      <c r="D1715" s="443" t="s">
        <v>1040</v>
      </c>
      <c r="E1715" s="444">
        <v>201609</v>
      </c>
      <c r="F1715" s="445">
        <v>212008.6</v>
      </c>
      <c r="G1715" s="443">
        <v>7.5</v>
      </c>
      <c r="H1715" s="446">
        <v>1.3083000000000001E-3</v>
      </c>
      <c r="I1715" s="445">
        <v>2080.2800000000002</v>
      </c>
      <c r="J1715" s="448">
        <v>3328.45</v>
      </c>
      <c r="N1715" s="441"/>
      <c r="O1715" s="441"/>
      <c r="R1715" s="440"/>
    </row>
    <row r="1716" spans="1:18" s="439" customFormat="1">
      <c r="A1716" s="443" t="s">
        <v>318</v>
      </c>
      <c r="B1716" s="444" t="s">
        <v>872</v>
      </c>
      <c r="C1716" s="444" t="s">
        <v>330</v>
      </c>
      <c r="D1716" s="443" t="s">
        <v>873</v>
      </c>
      <c r="E1716" s="444">
        <v>201609</v>
      </c>
      <c r="F1716" s="445">
        <v>74.48</v>
      </c>
      <c r="G1716" s="443">
        <v>7.5</v>
      </c>
      <c r="H1716" s="446">
        <v>1.3083000000000001E-3</v>
      </c>
      <c r="I1716" s="445">
        <v>0.73</v>
      </c>
      <c r="J1716" s="448">
        <v>1.17</v>
      </c>
      <c r="N1716" s="441"/>
      <c r="O1716" s="441"/>
      <c r="R1716" s="440"/>
    </row>
    <row r="1717" spans="1:18" s="439" customFormat="1">
      <c r="A1717" s="443" t="s">
        <v>318</v>
      </c>
      <c r="B1717" s="444" t="s">
        <v>872</v>
      </c>
      <c r="C1717" s="444" t="s">
        <v>330</v>
      </c>
      <c r="D1717" s="443" t="s">
        <v>873</v>
      </c>
      <c r="E1717" s="444">
        <v>201609</v>
      </c>
      <c r="F1717" s="445">
        <v>1489.8</v>
      </c>
      <c r="G1717" s="443">
        <v>7.5</v>
      </c>
      <c r="H1717" s="446">
        <v>1.3083000000000001E-3</v>
      </c>
      <c r="I1717" s="445">
        <v>14.62</v>
      </c>
      <c r="J1717" s="448">
        <v>23.39</v>
      </c>
      <c r="N1717" s="441"/>
      <c r="O1717" s="441"/>
      <c r="R1717" s="440"/>
    </row>
    <row r="1718" spans="1:18" s="439" customFormat="1">
      <c r="A1718" s="443" t="s">
        <v>318</v>
      </c>
      <c r="B1718" s="444" t="s">
        <v>977</v>
      </c>
      <c r="C1718" s="444" t="s">
        <v>330</v>
      </c>
      <c r="D1718" s="443" t="s">
        <v>978</v>
      </c>
      <c r="E1718" s="444">
        <v>201609</v>
      </c>
      <c r="F1718" s="445">
        <v>368.34</v>
      </c>
      <c r="G1718" s="443">
        <v>7.5</v>
      </c>
      <c r="H1718" s="446">
        <v>1.3083000000000001E-3</v>
      </c>
      <c r="I1718" s="445">
        <v>3.61</v>
      </c>
      <c r="J1718" s="448">
        <v>5.78</v>
      </c>
      <c r="N1718" s="441"/>
      <c r="O1718" s="441"/>
      <c r="R1718" s="440"/>
    </row>
    <row r="1719" spans="1:18" s="439" customFormat="1">
      <c r="A1719" s="443" t="s">
        <v>318</v>
      </c>
      <c r="B1719" s="444" t="s">
        <v>977</v>
      </c>
      <c r="C1719" s="444" t="s">
        <v>330</v>
      </c>
      <c r="D1719" s="443" t="s">
        <v>978</v>
      </c>
      <c r="E1719" s="444">
        <v>201609</v>
      </c>
      <c r="F1719" s="445">
        <v>5804.83</v>
      </c>
      <c r="G1719" s="443">
        <v>7.5</v>
      </c>
      <c r="H1719" s="446">
        <v>1.3083000000000001E-3</v>
      </c>
      <c r="I1719" s="445">
        <v>56.96</v>
      </c>
      <c r="J1719" s="448">
        <v>91.13</v>
      </c>
      <c r="N1719" s="441"/>
      <c r="O1719" s="441"/>
      <c r="R1719" s="440"/>
    </row>
    <row r="1720" spans="1:18" s="439" customFormat="1">
      <c r="A1720" s="443" t="s">
        <v>318</v>
      </c>
      <c r="B1720" s="444" t="s">
        <v>826</v>
      </c>
      <c r="C1720" s="444" t="s">
        <v>330</v>
      </c>
      <c r="D1720" s="443" t="s">
        <v>827</v>
      </c>
      <c r="E1720" s="444">
        <v>201609</v>
      </c>
      <c r="F1720" s="445">
        <v>-61573.35</v>
      </c>
      <c r="G1720" s="443">
        <v>7.5</v>
      </c>
      <c r="H1720" s="446">
        <v>1.3083000000000001E-3</v>
      </c>
      <c r="I1720" s="445">
        <v>-604.16999999999996</v>
      </c>
      <c r="J1720" s="448">
        <v>-966.68</v>
      </c>
      <c r="N1720" s="441"/>
      <c r="O1720" s="441"/>
      <c r="R1720" s="440"/>
    </row>
    <row r="1721" spans="1:18" s="439" customFormat="1">
      <c r="A1721" s="443" t="s">
        <v>318</v>
      </c>
      <c r="B1721" s="444" t="s">
        <v>826</v>
      </c>
      <c r="C1721" s="444" t="s">
        <v>330</v>
      </c>
      <c r="D1721" s="443" t="s">
        <v>827</v>
      </c>
      <c r="E1721" s="444">
        <v>201609</v>
      </c>
      <c r="F1721" s="445">
        <v>-5588.05</v>
      </c>
      <c r="G1721" s="443">
        <v>7.5</v>
      </c>
      <c r="H1721" s="446">
        <v>1.3083000000000001E-3</v>
      </c>
      <c r="I1721" s="445">
        <v>-54.83</v>
      </c>
      <c r="J1721" s="448">
        <v>-87.73</v>
      </c>
      <c r="N1721" s="441"/>
      <c r="O1721" s="441"/>
      <c r="R1721" s="440"/>
    </row>
    <row r="1722" spans="1:18" s="439" customFormat="1">
      <c r="A1722" s="443" t="s">
        <v>318</v>
      </c>
      <c r="B1722" s="444" t="s">
        <v>1041</v>
      </c>
      <c r="C1722" s="444" t="s">
        <v>330</v>
      </c>
      <c r="D1722" s="443" t="s">
        <v>1042</v>
      </c>
      <c r="E1722" s="444">
        <v>201609</v>
      </c>
      <c r="F1722" s="445">
        <v>4889.57</v>
      </c>
      <c r="G1722" s="443">
        <v>7.5</v>
      </c>
      <c r="H1722" s="446">
        <v>1.3083000000000001E-3</v>
      </c>
      <c r="I1722" s="445">
        <v>47.98</v>
      </c>
      <c r="J1722" s="448">
        <v>76.760000000000005</v>
      </c>
      <c r="N1722" s="441"/>
      <c r="O1722" s="441"/>
      <c r="R1722" s="440"/>
    </row>
    <row r="1723" spans="1:18" s="439" customFormat="1">
      <c r="A1723" s="443" t="s">
        <v>318</v>
      </c>
      <c r="B1723" s="444" t="s">
        <v>1041</v>
      </c>
      <c r="C1723" s="444" t="s">
        <v>330</v>
      </c>
      <c r="D1723" s="443" t="s">
        <v>1042</v>
      </c>
      <c r="E1723" s="444">
        <v>201609</v>
      </c>
      <c r="F1723" s="445">
        <v>65424.55</v>
      </c>
      <c r="G1723" s="443">
        <v>7.5</v>
      </c>
      <c r="H1723" s="446">
        <v>1.3083000000000001E-3</v>
      </c>
      <c r="I1723" s="445">
        <v>641.96</v>
      </c>
      <c r="J1723" s="448">
        <v>1027.1400000000001</v>
      </c>
      <c r="N1723" s="441"/>
      <c r="O1723" s="441"/>
      <c r="R1723" s="440"/>
    </row>
    <row r="1724" spans="1:18" s="439" customFormat="1">
      <c r="A1724" s="443" t="s">
        <v>318</v>
      </c>
      <c r="B1724" s="444" t="s">
        <v>979</v>
      </c>
      <c r="C1724" s="444" t="s">
        <v>330</v>
      </c>
      <c r="D1724" s="443" t="s">
        <v>980</v>
      </c>
      <c r="E1724" s="444">
        <v>201609</v>
      </c>
      <c r="F1724" s="445">
        <v>134.34</v>
      </c>
      <c r="G1724" s="443">
        <v>7.5</v>
      </c>
      <c r="H1724" s="446">
        <v>1.3083000000000001E-3</v>
      </c>
      <c r="I1724" s="445">
        <v>1.32</v>
      </c>
      <c r="J1724" s="448">
        <v>2.11</v>
      </c>
      <c r="N1724" s="441"/>
      <c r="O1724" s="441"/>
      <c r="R1724" s="440"/>
    </row>
    <row r="1725" spans="1:18" s="439" customFormat="1">
      <c r="A1725" s="443" t="s">
        <v>318</v>
      </c>
      <c r="B1725" s="444" t="s">
        <v>979</v>
      </c>
      <c r="C1725" s="444" t="s">
        <v>330</v>
      </c>
      <c r="D1725" s="443" t="s">
        <v>980</v>
      </c>
      <c r="E1725" s="444">
        <v>201609</v>
      </c>
      <c r="F1725" s="445">
        <v>2734.37</v>
      </c>
      <c r="G1725" s="443">
        <v>7.5</v>
      </c>
      <c r="H1725" s="446">
        <v>1.3083000000000001E-3</v>
      </c>
      <c r="I1725" s="445">
        <v>26.83</v>
      </c>
      <c r="J1725" s="448">
        <v>42.93</v>
      </c>
      <c r="N1725" s="441"/>
      <c r="O1725" s="441"/>
      <c r="R1725" s="440"/>
    </row>
    <row r="1726" spans="1:18" s="439" customFormat="1">
      <c r="A1726" s="443" t="s">
        <v>318</v>
      </c>
      <c r="B1726" s="444" t="s">
        <v>981</v>
      </c>
      <c r="C1726" s="444" t="s">
        <v>330</v>
      </c>
      <c r="D1726" s="443" t="s">
        <v>1014</v>
      </c>
      <c r="E1726" s="444">
        <v>201609</v>
      </c>
      <c r="F1726" s="445">
        <v>64.930000000000007</v>
      </c>
      <c r="G1726" s="443">
        <v>7.5</v>
      </c>
      <c r="H1726" s="446">
        <v>1.3083000000000001E-3</v>
      </c>
      <c r="I1726" s="445">
        <v>0.64</v>
      </c>
      <c r="J1726" s="448">
        <v>1.02</v>
      </c>
      <c r="N1726" s="441"/>
      <c r="O1726" s="441"/>
      <c r="R1726" s="440"/>
    </row>
    <row r="1727" spans="1:18" s="439" customFormat="1">
      <c r="A1727" s="443" t="s">
        <v>318</v>
      </c>
      <c r="B1727" s="444" t="s">
        <v>981</v>
      </c>
      <c r="C1727" s="444" t="s">
        <v>330</v>
      </c>
      <c r="D1727" s="443" t="s">
        <v>1014</v>
      </c>
      <c r="E1727" s="444">
        <v>201609</v>
      </c>
      <c r="F1727" s="445">
        <v>356.49</v>
      </c>
      <c r="G1727" s="443">
        <v>7.5</v>
      </c>
      <c r="H1727" s="446">
        <v>1.3083000000000001E-3</v>
      </c>
      <c r="I1727" s="445">
        <v>3.5</v>
      </c>
      <c r="J1727" s="448">
        <v>5.6</v>
      </c>
      <c r="N1727" s="441"/>
      <c r="O1727" s="441"/>
      <c r="R1727" s="440"/>
    </row>
    <row r="1728" spans="1:18" s="439" customFormat="1">
      <c r="A1728" s="443" t="s">
        <v>318</v>
      </c>
      <c r="B1728" s="444" t="s">
        <v>981</v>
      </c>
      <c r="C1728" s="444" t="s">
        <v>330</v>
      </c>
      <c r="D1728" s="443" t="s">
        <v>1014</v>
      </c>
      <c r="E1728" s="444">
        <v>201609</v>
      </c>
      <c r="F1728" s="445">
        <v>7038.36</v>
      </c>
      <c r="G1728" s="443">
        <v>7.5</v>
      </c>
      <c r="H1728" s="446">
        <v>1.3083000000000001E-3</v>
      </c>
      <c r="I1728" s="445">
        <v>69.06</v>
      </c>
      <c r="J1728" s="448">
        <v>110.5</v>
      </c>
      <c r="N1728" s="441"/>
      <c r="O1728" s="441"/>
      <c r="R1728" s="440"/>
    </row>
    <row r="1729" spans="1:18" s="439" customFormat="1">
      <c r="A1729" s="443" t="s">
        <v>318</v>
      </c>
      <c r="B1729" s="444" t="s">
        <v>874</v>
      </c>
      <c r="C1729" s="444" t="s">
        <v>330</v>
      </c>
      <c r="D1729" s="443" t="s">
        <v>875</v>
      </c>
      <c r="E1729" s="444">
        <v>201609</v>
      </c>
      <c r="F1729" s="445">
        <v>73.62</v>
      </c>
      <c r="G1729" s="443">
        <v>7.5</v>
      </c>
      <c r="H1729" s="446">
        <v>1.3083000000000001E-3</v>
      </c>
      <c r="I1729" s="445">
        <v>0.72</v>
      </c>
      <c r="J1729" s="448">
        <v>1.1599999999999999</v>
      </c>
      <c r="N1729" s="441"/>
      <c r="O1729" s="441"/>
      <c r="R1729" s="440"/>
    </row>
    <row r="1730" spans="1:18" s="439" customFormat="1">
      <c r="A1730" s="443" t="s">
        <v>318</v>
      </c>
      <c r="B1730" s="444" t="s">
        <v>874</v>
      </c>
      <c r="C1730" s="444" t="s">
        <v>330</v>
      </c>
      <c r="D1730" s="443" t="s">
        <v>875</v>
      </c>
      <c r="E1730" s="444">
        <v>201609</v>
      </c>
      <c r="F1730" s="445">
        <v>1609.2</v>
      </c>
      <c r="G1730" s="443">
        <v>7.5</v>
      </c>
      <c r="H1730" s="446">
        <v>1.3083000000000001E-3</v>
      </c>
      <c r="I1730" s="445">
        <v>15.79</v>
      </c>
      <c r="J1730" s="448">
        <v>25.26</v>
      </c>
      <c r="N1730" s="441"/>
      <c r="O1730" s="441"/>
      <c r="R1730" s="440"/>
    </row>
    <row r="1731" spans="1:18" s="439" customFormat="1">
      <c r="A1731" s="443" t="s">
        <v>318</v>
      </c>
      <c r="B1731" s="444" t="s">
        <v>983</v>
      </c>
      <c r="C1731" s="444" t="s">
        <v>330</v>
      </c>
      <c r="D1731" s="443" t="s">
        <v>984</v>
      </c>
      <c r="E1731" s="444">
        <v>201609</v>
      </c>
      <c r="F1731" s="445">
        <v>124.12</v>
      </c>
      <c r="G1731" s="443">
        <v>7.5</v>
      </c>
      <c r="H1731" s="446">
        <v>1.3083000000000001E-3</v>
      </c>
      <c r="I1731" s="445">
        <v>1.22</v>
      </c>
      <c r="J1731" s="448">
        <v>1.95</v>
      </c>
      <c r="N1731" s="441"/>
      <c r="O1731" s="441"/>
      <c r="R1731" s="440"/>
    </row>
    <row r="1732" spans="1:18" s="439" customFormat="1">
      <c r="A1732" s="449" t="s">
        <v>318</v>
      </c>
      <c r="B1732" s="444" t="s">
        <v>983</v>
      </c>
      <c r="C1732" s="444" t="s">
        <v>330</v>
      </c>
      <c r="D1732" s="443" t="s">
        <v>984</v>
      </c>
      <c r="E1732" s="444">
        <v>201609</v>
      </c>
      <c r="F1732" s="445">
        <v>3468.04</v>
      </c>
      <c r="G1732" s="443">
        <v>7.5</v>
      </c>
      <c r="H1732" s="446">
        <v>1.3083000000000001E-3</v>
      </c>
      <c r="I1732" s="445">
        <v>34.03</v>
      </c>
      <c r="J1732" s="448">
        <v>54.45</v>
      </c>
      <c r="N1732" s="441"/>
      <c r="O1732" s="441"/>
      <c r="R1732" s="440"/>
    </row>
    <row r="1733" spans="1:18" s="439" customFormat="1">
      <c r="A1733" s="443" t="s">
        <v>318</v>
      </c>
      <c r="B1733" s="444" t="s">
        <v>1043</v>
      </c>
      <c r="C1733" s="444" t="s">
        <v>330</v>
      </c>
      <c r="D1733" s="443" t="s">
        <v>1044</v>
      </c>
      <c r="E1733" s="444">
        <v>201609</v>
      </c>
      <c r="F1733" s="445">
        <v>4040.71</v>
      </c>
      <c r="G1733" s="443">
        <v>7.5</v>
      </c>
      <c r="H1733" s="446">
        <v>1.3083000000000001E-3</v>
      </c>
      <c r="I1733" s="445">
        <v>39.65</v>
      </c>
      <c r="J1733" s="448">
        <v>63.44</v>
      </c>
      <c r="N1733" s="441"/>
      <c r="O1733" s="441"/>
      <c r="R1733" s="440"/>
    </row>
    <row r="1734" spans="1:18" s="439" customFormat="1">
      <c r="A1734" s="443" t="s">
        <v>318</v>
      </c>
      <c r="B1734" s="444" t="s">
        <v>1043</v>
      </c>
      <c r="C1734" s="444" t="s">
        <v>330</v>
      </c>
      <c r="D1734" s="443" t="s">
        <v>1044</v>
      </c>
      <c r="E1734" s="444">
        <v>201609</v>
      </c>
      <c r="F1734" s="445">
        <v>74200.399999999994</v>
      </c>
      <c r="G1734" s="443">
        <v>7.5</v>
      </c>
      <c r="H1734" s="446">
        <v>1.3083000000000001E-3</v>
      </c>
      <c r="I1734" s="445">
        <v>728.07</v>
      </c>
      <c r="J1734" s="448">
        <v>1164.92</v>
      </c>
      <c r="N1734" s="441"/>
      <c r="O1734" s="441"/>
      <c r="R1734" s="440"/>
    </row>
    <row r="1735" spans="1:18" s="439" customFormat="1">
      <c r="A1735" s="443" t="s">
        <v>318</v>
      </c>
      <c r="B1735" s="444" t="s">
        <v>876</v>
      </c>
      <c r="C1735" s="444" t="s">
        <v>330</v>
      </c>
      <c r="D1735" s="443" t="s">
        <v>877</v>
      </c>
      <c r="E1735" s="444">
        <v>201609</v>
      </c>
      <c r="F1735" s="445">
        <v>299.62</v>
      </c>
      <c r="G1735" s="443">
        <v>7.5</v>
      </c>
      <c r="H1735" s="446">
        <v>1.3083000000000001E-3</v>
      </c>
      <c r="I1735" s="445">
        <v>2.94</v>
      </c>
      <c r="J1735" s="448">
        <v>4.7</v>
      </c>
      <c r="N1735" s="441"/>
      <c r="O1735" s="441"/>
      <c r="R1735" s="440"/>
    </row>
    <row r="1736" spans="1:18" s="439" customFormat="1">
      <c r="A1736" s="443" t="s">
        <v>318</v>
      </c>
      <c r="B1736" s="444" t="s">
        <v>876</v>
      </c>
      <c r="C1736" s="444" t="s">
        <v>330</v>
      </c>
      <c r="D1736" s="443" t="s">
        <v>877</v>
      </c>
      <c r="E1736" s="444">
        <v>201609</v>
      </c>
      <c r="F1736" s="445">
        <v>5307.54</v>
      </c>
      <c r="G1736" s="443">
        <v>7.5</v>
      </c>
      <c r="H1736" s="446">
        <v>1.3083000000000001E-3</v>
      </c>
      <c r="I1736" s="445">
        <v>52.08</v>
      </c>
      <c r="J1736" s="448">
        <v>83.33</v>
      </c>
      <c r="N1736" s="441"/>
      <c r="O1736" s="441"/>
      <c r="R1736" s="440"/>
    </row>
    <row r="1737" spans="1:18" s="439" customFormat="1">
      <c r="A1737" s="443" t="s">
        <v>318</v>
      </c>
      <c r="B1737" s="444" t="s">
        <v>1045</v>
      </c>
      <c r="C1737" s="444" t="s">
        <v>330</v>
      </c>
      <c r="D1737" s="443" t="s">
        <v>1046</v>
      </c>
      <c r="E1737" s="444">
        <v>201609</v>
      </c>
      <c r="F1737" s="445">
        <v>7542.16</v>
      </c>
      <c r="G1737" s="443">
        <v>7.5</v>
      </c>
      <c r="H1737" s="446">
        <v>1.3083000000000001E-3</v>
      </c>
      <c r="I1737" s="445">
        <v>74.010000000000005</v>
      </c>
      <c r="J1737" s="448">
        <v>118.41</v>
      </c>
      <c r="N1737" s="441"/>
      <c r="O1737" s="441"/>
      <c r="R1737" s="440"/>
    </row>
    <row r="1738" spans="1:18" s="439" customFormat="1">
      <c r="A1738" s="443" t="s">
        <v>318</v>
      </c>
      <c r="B1738" s="444" t="s">
        <v>1045</v>
      </c>
      <c r="C1738" s="444" t="s">
        <v>330</v>
      </c>
      <c r="D1738" s="443" t="s">
        <v>1046</v>
      </c>
      <c r="E1738" s="444">
        <v>201609</v>
      </c>
      <c r="F1738" s="445">
        <v>134764.04999999999</v>
      </c>
      <c r="G1738" s="443">
        <v>7.5</v>
      </c>
      <c r="H1738" s="446">
        <v>1.3083000000000001E-3</v>
      </c>
      <c r="I1738" s="445">
        <v>1322.34</v>
      </c>
      <c r="J1738" s="448">
        <v>2115.7399999999998</v>
      </c>
      <c r="N1738" s="441"/>
      <c r="O1738" s="441"/>
      <c r="R1738" s="440"/>
    </row>
    <row r="1739" spans="1:18" s="439" customFormat="1">
      <c r="A1739" s="443" t="s">
        <v>318</v>
      </c>
      <c r="B1739" s="444" t="s">
        <v>985</v>
      </c>
      <c r="C1739" s="444" t="s">
        <v>330</v>
      </c>
      <c r="D1739" s="443" t="s">
        <v>986</v>
      </c>
      <c r="E1739" s="444">
        <v>201609</v>
      </c>
      <c r="F1739" s="445">
        <v>8.0299999999999994</v>
      </c>
      <c r="G1739" s="443">
        <v>7.5</v>
      </c>
      <c r="H1739" s="446">
        <v>1.3083000000000001E-3</v>
      </c>
      <c r="I1739" s="445">
        <v>0.08</v>
      </c>
      <c r="J1739" s="448">
        <v>0.13</v>
      </c>
      <c r="N1739" s="441"/>
      <c r="O1739" s="441"/>
      <c r="R1739" s="440"/>
    </row>
    <row r="1740" spans="1:18" s="439" customFormat="1">
      <c r="A1740" s="443" t="s">
        <v>318</v>
      </c>
      <c r="B1740" s="444" t="s">
        <v>985</v>
      </c>
      <c r="C1740" s="444" t="s">
        <v>330</v>
      </c>
      <c r="D1740" s="443" t="s">
        <v>986</v>
      </c>
      <c r="E1740" s="444">
        <v>201609</v>
      </c>
      <c r="F1740" s="445">
        <v>250.99</v>
      </c>
      <c r="G1740" s="443">
        <v>7.5</v>
      </c>
      <c r="H1740" s="446">
        <v>1.3083000000000001E-3</v>
      </c>
      <c r="I1740" s="445">
        <v>2.46</v>
      </c>
      <c r="J1740" s="448">
        <v>3.94</v>
      </c>
      <c r="N1740" s="441"/>
      <c r="O1740" s="441"/>
      <c r="R1740" s="440"/>
    </row>
    <row r="1741" spans="1:18" s="439" customFormat="1">
      <c r="A1741" s="443" t="s">
        <v>318</v>
      </c>
      <c r="B1741" s="444" t="s">
        <v>878</v>
      </c>
      <c r="C1741" s="444" t="s">
        <v>330</v>
      </c>
      <c r="D1741" s="443" t="s">
        <v>879</v>
      </c>
      <c r="E1741" s="444">
        <v>201609</v>
      </c>
      <c r="F1741" s="445">
        <v>138.12</v>
      </c>
      <c r="G1741" s="443">
        <v>7.5</v>
      </c>
      <c r="H1741" s="446">
        <v>1.3083000000000001E-3</v>
      </c>
      <c r="I1741" s="445">
        <v>1.36</v>
      </c>
      <c r="J1741" s="448">
        <v>2.17</v>
      </c>
      <c r="N1741" s="441"/>
      <c r="O1741" s="441"/>
      <c r="R1741" s="440"/>
    </row>
    <row r="1742" spans="1:18" s="439" customFormat="1">
      <c r="A1742" s="443" t="s">
        <v>318</v>
      </c>
      <c r="B1742" s="444" t="s">
        <v>878</v>
      </c>
      <c r="C1742" s="444" t="s">
        <v>330</v>
      </c>
      <c r="D1742" s="443" t="s">
        <v>879</v>
      </c>
      <c r="E1742" s="444">
        <v>201609</v>
      </c>
      <c r="F1742" s="445">
        <v>2795.82</v>
      </c>
      <c r="G1742" s="443">
        <v>7.5</v>
      </c>
      <c r="H1742" s="446">
        <v>1.3083000000000001E-3</v>
      </c>
      <c r="I1742" s="445">
        <v>27.43</v>
      </c>
      <c r="J1742" s="448">
        <v>43.89</v>
      </c>
      <c r="N1742" s="441"/>
      <c r="O1742" s="441"/>
      <c r="R1742" s="440"/>
    </row>
    <row r="1743" spans="1:18" s="439" customFormat="1">
      <c r="A1743" s="443" t="s">
        <v>318</v>
      </c>
      <c r="B1743" s="444" t="s">
        <v>987</v>
      </c>
      <c r="C1743" s="444" t="s">
        <v>330</v>
      </c>
      <c r="D1743" s="443" t="s">
        <v>988</v>
      </c>
      <c r="E1743" s="444">
        <v>201609</v>
      </c>
      <c r="F1743" s="445">
        <v>-3069.82</v>
      </c>
      <c r="G1743" s="443">
        <v>7.5</v>
      </c>
      <c r="H1743" s="446">
        <v>1.3083000000000001E-3</v>
      </c>
      <c r="I1743" s="445">
        <v>-30.12</v>
      </c>
      <c r="J1743" s="448">
        <v>-48.19</v>
      </c>
      <c r="N1743" s="441"/>
      <c r="O1743" s="441"/>
      <c r="R1743" s="440"/>
    </row>
    <row r="1744" spans="1:18" s="439" customFormat="1">
      <c r="A1744" s="443" t="s">
        <v>318</v>
      </c>
      <c r="B1744" s="444" t="s">
        <v>987</v>
      </c>
      <c r="C1744" s="444" t="s">
        <v>330</v>
      </c>
      <c r="D1744" s="443" t="s">
        <v>988</v>
      </c>
      <c r="E1744" s="444">
        <v>201609</v>
      </c>
      <c r="F1744" s="445">
        <v>-129.02000000000001</v>
      </c>
      <c r="G1744" s="443">
        <v>7.5</v>
      </c>
      <c r="H1744" s="446">
        <v>1.3083000000000001E-3</v>
      </c>
      <c r="I1744" s="445">
        <v>-1.27</v>
      </c>
      <c r="J1744" s="448">
        <v>-2.0299999999999998</v>
      </c>
      <c r="N1744" s="441"/>
      <c r="O1744" s="441"/>
      <c r="R1744" s="440"/>
    </row>
    <row r="1745" spans="1:18" s="439" customFormat="1">
      <c r="A1745" s="443" t="s">
        <v>318</v>
      </c>
      <c r="B1745" s="444" t="s">
        <v>989</v>
      </c>
      <c r="C1745" s="442" t="s">
        <v>330</v>
      </c>
      <c r="D1745" s="443" t="s">
        <v>990</v>
      </c>
      <c r="E1745" s="444">
        <v>201609</v>
      </c>
      <c r="F1745" s="445">
        <v>192.98</v>
      </c>
      <c r="G1745" s="443">
        <v>7.5</v>
      </c>
      <c r="H1745" s="446">
        <v>1.3083000000000001E-3</v>
      </c>
      <c r="I1745" s="445">
        <v>1.89</v>
      </c>
      <c r="J1745" s="448">
        <v>3.03</v>
      </c>
      <c r="N1745" s="441"/>
      <c r="O1745" s="441"/>
      <c r="R1745" s="440"/>
    </row>
    <row r="1746" spans="1:18" s="439" customFormat="1">
      <c r="A1746" s="443" t="s">
        <v>318</v>
      </c>
      <c r="B1746" s="444" t="s">
        <v>989</v>
      </c>
      <c r="C1746" s="442" t="s">
        <v>330</v>
      </c>
      <c r="D1746" s="443" t="s">
        <v>990</v>
      </c>
      <c r="E1746" s="444">
        <v>201609</v>
      </c>
      <c r="F1746" s="445">
        <v>4707.76</v>
      </c>
      <c r="G1746" s="443">
        <v>7.5</v>
      </c>
      <c r="H1746" s="446">
        <v>1.3083000000000001E-3</v>
      </c>
      <c r="I1746" s="445">
        <v>46.19</v>
      </c>
      <c r="J1746" s="448">
        <v>73.91</v>
      </c>
      <c r="N1746" s="441"/>
      <c r="O1746" s="441"/>
      <c r="R1746" s="440"/>
    </row>
    <row r="1747" spans="1:18" s="439" customFormat="1">
      <c r="A1747" s="443" t="s">
        <v>318</v>
      </c>
      <c r="B1747" s="444" t="s">
        <v>991</v>
      </c>
      <c r="C1747" s="442" t="s">
        <v>330</v>
      </c>
      <c r="D1747" s="443" t="s">
        <v>992</v>
      </c>
      <c r="E1747" s="444">
        <v>201609</v>
      </c>
      <c r="F1747" s="445">
        <v>567.71</v>
      </c>
      <c r="G1747" s="443">
        <v>7.5</v>
      </c>
      <c r="H1747" s="446">
        <v>1.3083000000000001E-3</v>
      </c>
      <c r="I1747" s="445">
        <v>5.57</v>
      </c>
      <c r="J1747" s="448">
        <v>8.91</v>
      </c>
      <c r="N1747" s="441"/>
      <c r="O1747" s="441"/>
      <c r="R1747" s="440"/>
    </row>
    <row r="1748" spans="1:18" s="439" customFormat="1">
      <c r="A1748" s="443" t="s">
        <v>318</v>
      </c>
      <c r="B1748" s="444" t="s">
        <v>991</v>
      </c>
      <c r="C1748" s="444" t="s">
        <v>330</v>
      </c>
      <c r="D1748" s="443" t="s">
        <v>992</v>
      </c>
      <c r="E1748" s="444">
        <v>201609</v>
      </c>
      <c r="F1748" s="445">
        <v>1717.1</v>
      </c>
      <c r="G1748" s="443">
        <v>7.5</v>
      </c>
      <c r="H1748" s="446">
        <v>1.3083000000000001E-3</v>
      </c>
      <c r="I1748" s="445">
        <v>16.850000000000001</v>
      </c>
      <c r="J1748" s="448">
        <v>26.96</v>
      </c>
      <c r="N1748" s="441"/>
      <c r="O1748" s="441"/>
      <c r="R1748" s="440"/>
    </row>
    <row r="1749" spans="1:18" s="439" customFormat="1">
      <c r="A1749" s="443" t="s">
        <v>318</v>
      </c>
      <c r="B1749" s="444" t="s">
        <v>880</v>
      </c>
      <c r="C1749" s="444" t="s">
        <v>330</v>
      </c>
      <c r="D1749" s="443" t="s">
        <v>881</v>
      </c>
      <c r="E1749" s="444">
        <v>201609</v>
      </c>
      <c r="F1749" s="445">
        <v>74.36</v>
      </c>
      <c r="G1749" s="443">
        <v>7.5</v>
      </c>
      <c r="H1749" s="446">
        <v>1.3083000000000001E-3</v>
      </c>
      <c r="I1749" s="445">
        <v>0.73</v>
      </c>
      <c r="J1749" s="448">
        <v>1.17</v>
      </c>
      <c r="N1749" s="441"/>
      <c r="O1749" s="441"/>
      <c r="R1749" s="440"/>
    </row>
    <row r="1750" spans="1:18" s="439" customFormat="1">
      <c r="A1750" s="443" t="s">
        <v>318</v>
      </c>
      <c r="B1750" s="444" t="s">
        <v>880</v>
      </c>
      <c r="C1750" s="444" t="s">
        <v>330</v>
      </c>
      <c r="D1750" s="443" t="s">
        <v>881</v>
      </c>
      <c r="E1750" s="444">
        <v>201609</v>
      </c>
      <c r="F1750" s="445">
        <v>1457.53</v>
      </c>
      <c r="G1750" s="443">
        <v>7.5</v>
      </c>
      <c r="H1750" s="446">
        <v>1.3083000000000001E-3</v>
      </c>
      <c r="I1750" s="445">
        <v>14.3</v>
      </c>
      <c r="J1750" s="448">
        <v>22.88</v>
      </c>
      <c r="N1750" s="441"/>
      <c r="O1750" s="441"/>
      <c r="R1750" s="440"/>
    </row>
    <row r="1751" spans="1:18" s="439" customFormat="1">
      <c r="A1751" s="443" t="s">
        <v>318</v>
      </c>
      <c r="B1751" s="444" t="s">
        <v>993</v>
      </c>
      <c r="C1751" s="444" t="s">
        <v>330</v>
      </c>
      <c r="D1751" s="443" t="s">
        <v>994</v>
      </c>
      <c r="E1751" s="444">
        <v>201609</v>
      </c>
      <c r="F1751" s="445">
        <v>199.94</v>
      </c>
      <c r="G1751" s="443">
        <v>7.5</v>
      </c>
      <c r="H1751" s="446">
        <v>1.3083000000000001E-3</v>
      </c>
      <c r="I1751" s="445">
        <v>1.96</v>
      </c>
      <c r="J1751" s="448">
        <v>3.14</v>
      </c>
      <c r="N1751" s="441"/>
      <c r="O1751" s="441"/>
      <c r="R1751" s="440"/>
    </row>
    <row r="1752" spans="1:18" s="439" customFormat="1">
      <c r="A1752" s="443" t="s">
        <v>318</v>
      </c>
      <c r="B1752" s="444" t="s">
        <v>993</v>
      </c>
      <c r="C1752" s="444" t="s">
        <v>330</v>
      </c>
      <c r="D1752" s="443" t="s">
        <v>994</v>
      </c>
      <c r="E1752" s="444">
        <v>201609</v>
      </c>
      <c r="F1752" s="445">
        <v>3971.88</v>
      </c>
      <c r="G1752" s="443">
        <v>7.5</v>
      </c>
      <c r="H1752" s="446">
        <v>1.3083000000000001E-3</v>
      </c>
      <c r="I1752" s="445">
        <v>38.97</v>
      </c>
      <c r="J1752" s="448">
        <v>62.36</v>
      </c>
      <c r="N1752" s="441"/>
      <c r="O1752" s="441"/>
      <c r="R1752" s="440"/>
    </row>
    <row r="1753" spans="1:18" s="439" customFormat="1">
      <c r="A1753" s="443" t="s">
        <v>318</v>
      </c>
      <c r="B1753" s="444" t="s">
        <v>882</v>
      </c>
      <c r="C1753" s="444" t="s">
        <v>330</v>
      </c>
      <c r="D1753" s="443" t="s">
        <v>995</v>
      </c>
      <c r="E1753" s="444">
        <v>201609</v>
      </c>
      <c r="F1753" s="445">
        <v>212.82</v>
      </c>
      <c r="G1753" s="443">
        <v>7.5</v>
      </c>
      <c r="H1753" s="446">
        <v>1.3083000000000001E-3</v>
      </c>
      <c r="I1753" s="445">
        <v>2.09</v>
      </c>
      <c r="J1753" s="448">
        <v>3.34</v>
      </c>
      <c r="N1753" s="441"/>
      <c r="O1753" s="441"/>
      <c r="R1753" s="440"/>
    </row>
    <row r="1754" spans="1:18" s="439" customFormat="1">
      <c r="A1754" s="443" t="s">
        <v>318</v>
      </c>
      <c r="B1754" s="444" t="s">
        <v>882</v>
      </c>
      <c r="C1754" s="444" t="s">
        <v>330</v>
      </c>
      <c r="D1754" s="443" t="s">
        <v>995</v>
      </c>
      <c r="E1754" s="444">
        <v>201609</v>
      </c>
      <c r="F1754" s="445">
        <v>5550.29</v>
      </c>
      <c r="G1754" s="443">
        <v>7.5</v>
      </c>
      <c r="H1754" s="446">
        <v>1.3083000000000001E-3</v>
      </c>
      <c r="I1754" s="445">
        <v>54.46</v>
      </c>
      <c r="J1754" s="448">
        <v>87.14</v>
      </c>
      <c r="N1754" s="441"/>
      <c r="O1754" s="441"/>
      <c r="R1754" s="440"/>
    </row>
    <row r="1755" spans="1:18" s="439" customFormat="1">
      <c r="A1755" s="443" t="s">
        <v>318</v>
      </c>
      <c r="B1755" s="444" t="s">
        <v>704</v>
      </c>
      <c r="C1755" s="444" t="s">
        <v>330</v>
      </c>
      <c r="D1755" s="443" t="s">
        <v>884</v>
      </c>
      <c r="E1755" s="444">
        <v>201609</v>
      </c>
      <c r="F1755" s="445">
        <v>0.24</v>
      </c>
      <c r="G1755" s="443">
        <v>7.5</v>
      </c>
      <c r="H1755" s="446">
        <v>1.3083000000000001E-3</v>
      </c>
      <c r="I1755" s="445">
        <v>0</v>
      </c>
      <c r="J1755" s="448">
        <v>0</v>
      </c>
      <c r="N1755" s="441"/>
      <c r="O1755" s="441"/>
      <c r="R1755" s="440"/>
    </row>
    <row r="1756" spans="1:18" s="439" customFormat="1">
      <c r="A1756" s="443" t="s">
        <v>318</v>
      </c>
      <c r="B1756" s="444" t="s">
        <v>704</v>
      </c>
      <c r="C1756" s="444" t="s">
        <v>330</v>
      </c>
      <c r="D1756" s="443" t="s">
        <v>884</v>
      </c>
      <c r="E1756" s="444">
        <v>201609</v>
      </c>
      <c r="F1756" s="445">
        <v>5.47</v>
      </c>
      <c r="G1756" s="443">
        <v>7.5</v>
      </c>
      <c r="H1756" s="446">
        <v>1.3083000000000001E-3</v>
      </c>
      <c r="I1756" s="445">
        <v>0.05</v>
      </c>
      <c r="J1756" s="448">
        <v>0.09</v>
      </c>
      <c r="N1756" s="441"/>
      <c r="O1756" s="441"/>
      <c r="R1756" s="440"/>
    </row>
    <row r="1757" spans="1:18" s="439" customFormat="1">
      <c r="A1757" s="443" t="s">
        <v>318</v>
      </c>
      <c r="B1757" s="444" t="s">
        <v>996</v>
      </c>
      <c r="C1757" s="444" t="s">
        <v>330</v>
      </c>
      <c r="D1757" s="443" t="s">
        <v>997</v>
      </c>
      <c r="E1757" s="444">
        <v>201609</v>
      </c>
      <c r="F1757" s="445">
        <v>421.45</v>
      </c>
      <c r="G1757" s="443">
        <v>7.5</v>
      </c>
      <c r="H1757" s="446">
        <v>1.3083000000000001E-3</v>
      </c>
      <c r="I1757" s="445">
        <v>4.1399999999999997</v>
      </c>
      <c r="J1757" s="448">
        <v>6.62</v>
      </c>
      <c r="N1757" s="441"/>
      <c r="O1757" s="441"/>
      <c r="R1757" s="440"/>
    </row>
    <row r="1758" spans="1:18" s="439" customFormat="1">
      <c r="A1758" s="443" t="s">
        <v>318</v>
      </c>
      <c r="B1758" s="444" t="s">
        <v>996</v>
      </c>
      <c r="C1758" s="444" t="s">
        <v>330</v>
      </c>
      <c r="D1758" s="443" t="s">
        <v>997</v>
      </c>
      <c r="E1758" s="444">
        <v>201609</v>
      </c>
      <c r="F1758" s="445">
        <v>11680.07</v>
      </c>
      <c r="G1758" s="443">
        <v>7.5</v>
      </c>
      <c r="H1758" s="446">
        <v>1.3083000000000001E-3</v>
      </c>
      <c r="I1758" s="445">
        <v>114.61</v>
      </c>
      <c r="J1758" s="448">
        <v>183.37</v>
      </c>
      <c r="N1758" s="441"/>
      <c r="O1758" s="441"/>
      <c r="R1758" s="440"/>
    </row>
    <row r="1759" spans="1:18" s="439" customFormat="1">
      <c r="A1759" s="443" t="s">
        <v>318</v>
      </c>
      <c r="B1759" s="444" t="s">
        <v>854</v>
      </c>
      <c r="C1759" s="444" t="s">
        <v>330</v>
      </c>
      <c r="D1759" s="443" t="s">
        <v>855</v>
      </c>
      <c r="E1759" s="444">
        <v>201609</v>
      </c>
      <c r="F1759" s="445">
        <v>248.81</v>
      </c>
      <c r="G1759" s="443">
        <v>7.5</v>
      </c>
      <c r="H1759" s="446">
        <v>1.3083000000000001E-3</v>
      </c>
      <c r="I1759" s="445">
        <v>2.44</v>
      </c>
      <c r="J1759" s="448">
        <v>3.91</v>
      </c>
      <c r="N1759" s="441"/>
      <c r="O1759" s="441"/>
      <c r="R1759" s="440"/>
    </row>
    <row r="1760" spans="1:18" s="439" customFormat="1">
      <c r="A1760" s="443" t="s">
        <v>318</v>
      </c>
      <c r="B1760" s="444" t="s">
        <v>854</v>
      </c>
      <c r="C1760" s="444" t="s">
        <v>330</v>
      </c>
      <c r="D1760" s="443" t="s">
        <v>855</v>
      </c>
      <c r="E1760" s="444">
        <v>201609</v>
      </c>
      <c r="F1760" s="445">
        <v>7255.54</v>
      </c>
      <c r="G1760" s="443">
        <v>7.5</v>
      </c>
      <c r="H1760" s="446">
        <v>1.3083000000000001E-3</v>
      </c>
      <c r="I1760" s="445">
        <v>71.19</v>
      </c>
      <c r="J1760" s="448">
        <v>113.91</v>
      </c>
      <c r="N1760" s="441"/>
      <c r="O1760" s="441"/>
      <c r="R1760" s="440"/>
    </row>
    <row r="1761" spans="1:18" s="439" customFormat="1">
      <c r="A1761" s="443" t="s">
        <v>318</v>
      </c>
      <c r="B1761" s="444" t="s">
        <v>1047</v>
      </c>
      <c r="C1761" s="444" t="s">
        <v>329</v>
      </c>
      <c r="D1761" s="443" t="s">
        <v>1048</v>
      </c>
      <c r="E1761" s="444">
        <v>201609</v>
      </c>
      <c r="F1761" s="445">
        <v>123687.77</v>
      </c>
      <c r="G1761" s="443">
        <v>7.5</v>
      </c>
      <c r="H1761" s="446">
        <v>1.3083000000000001E-3</v>
      </c>
      <c r="I1761" s="445">
        <v>1213.6600000000001</v>
      </c>
      <c r="J1761" s="448">
        <v>1941.85</v>
      </c>
      <c r="N1761" s="441"/>
      <c r="O1761" s="441"/>
      <c r="R1761" s="440"/>
    </row>
    <row r="1762" spans="1:18" s="439" customFormat="1">
      <c r="A1762" s="443" t="s">
        <v>318</v>
      </c>
      <c r="B1762" s="444" t="s">
        <v>1047</v>
      </c>
      <c r="C1762" s="444" t="s">
        <v>329</v>
      </c>
      <c r="D1762" s="443" t="s">
        <v>1048</v>
      </c>
      <c r="E1762" s="444">
        <v>201609</v>
      </c>
      <c r="F1762" s="445">
        <v>391523.29</v>
      </c>
      <c r="G1762" s="443">
        <v>7.5</v>
      </c>
      <c r="H1762" s="446">
        <v>1.3083000000000001E-3</v>
      </c>
      <c r="I1762" s="445">
        <v>3841.72</v>
      </c>
      <c r="J1762" s="448">
        <v>6146.76</v>
      </c>
      <c r="N1762" s="441"/>
      <c r="O1762" s="441"/>
      <c r="R1762" s="440"/>
    </row>
    <row r="1763" spans="1:18" s="439" customFormat="1">
      <c r="A1763" s="443" t="s">
        <v>322</v>
      </c>
      <c r="B1763" s="444" t="s">
        <v>998</v>
      </c>
      <c r="C1763" s="444" t="s">
        <v>329</v>
      </c>
      <c r="D1763" s="443" t="s">
        <v>999</v>
      </c>
      <c r="E1763" s="444">
        <v>201609</v>
      </c>
      <c r="F1763" s="445">
        <v>136.04</v>
      </c>
      <c r="G1763" s="443">
        <v>7.5</v>
      </c>
      <c r="H1763" s="446">
        <v>1.1999999999999999E-3</v>
      </c>
      <c r="I1763" s="445">
        <v>1.22</v>
      </c>
      <c r="J1763" s="448">
        <v>1.96</v>
      </c>
      <c r="N1763" s="441"/>
      <c r="O1763" s="441"/>
      <c r="R1763" s="440"/>
    </row>
    <row r="1764" spans="1:18" s="439" customFormat="1">
      <c r="A1764" s="443" t="s">
        <v>318</v>
      </c>
      <c r="B1764" s="444" t="s">
        <v>998</v>
      </c>
      <c r="C1764" s="444" t="s">
        <v>329</v>
      </c>
      <c r="D1764" s="443" t="s">
        <v>999</v>
      </c>
      <c r="E1764" s="444">
        <v>201609</v>
      </c>
      <c r="F1764" s="445">
        <v>3275.74</v>
      </c>
      <c r="G1764" s="443">
        <v>7.5</v>
      </c>
      <c r="H1764" s="446">
        <v>1.3083000000000001E-3</v>
      </c>
      <c r="I1764" s="445">
        <v>32.14</v>
      </c>
      <c r="J1764" s="448">
        <v>51.43</v>
      </c>
      <c r="N1764" s="441"/>
      <c r="O1764" s="441"/>
      <c r="R1764" s="440"/>
    </row>
    <row r="1765" spans="1:18" s="439" customFormat="1">
      <c r="A1765" s="443" t="s">
        <v>318</v>
      </c>
      <c r="B1765" s="444" t="s">
        <v>998</v>
      </c>
      <c r="C1765" s="444" t="s">
        <v>329</v>
      </c>
      <c r="D1765" s="443" t="s">
        <v>999</v>
      </c>
      <c r="E1765" s="444">
        <v>201609</v>
      </c>
      <c r="F1765" s="445">
        <v>9758.1200000000008</v>
      </c>
      <c r="G1765" s="443">
        <v>7.5</v>
      </c>
      <c r="H1765" s="446">
        <v>1.3083000000000001E-3</v>
      </c>
      <c r="I1765" s="445">
        <v>95.75</v>
      </c>
      <c r="J1765" s="448">
        <v>153.19999999999999</v>
      </c>
      <c r="N1765" s="441"/>
      <c r="O1765" s="441"/>
      <c r="R1765" s="440"/>
    </row>
    <row r="1766" spans="1:18" s="439" customFormat="1">
      <c r="A1766" s="443" t="s">
        <v>318</v>
      </c>
      <c r="B1766" s="444" t="s">
        <v>885</v>
      </c>
      <c r="C1766" s="444" t="s">
        <v>414</v>
      </c>
      <c r="D1766" s="443" t="s">
        <v>886</v>
      </c>
      <c r="E1766" s="444">
        <v>201609</v>
      </c>
      <c r="F1766" s="445">
        <v>320.16000000000003</v>
      </c>
      <c r="G1766" s="443">
        <v>7.5</v>
      </c>
      <c r="H1766" s="446">
        <v>1.3083000000000001E-3</v>
      </c>
      <c r="I1766" s="445">
        <v>3.14</v>
      </c>
      <c r="J1766" s="448">
        <v>5.03</v>
      </c>
      <c r="N1766" s="441"/>
      <c r="O1766" s="441"/>
      <c r="R1766" s="440"/>
    </row>
    <row r="1767" spans="1:18" s="439" customFormat="1">
      <c r="A1767" s="443" t="s">
        <v>318</v>
      </c>
      <c r="B1767" s="444" t="s">
        <v>885</v>
      </c>
      <c r="C1767" s="444" t="s">
        <v>414</v>
      </c>
      <c r="D1767" s="443" t="s">
        <v>886</v>
      </c>
      <c r="E1767" s="444">
        <v>201609</v>
      </c>
      <c r="F1767" s="445">
        <v>1109.48</v>
      </c>
      <c r="G1767" s="443">
        <v>7.5</v>
      </c>
      <c r="H1767" s="446">
        <v>1.3083000000000001E-3</v>
      </c>
      <c r="I1767" s="445">
        <v>10.89</v>
      </c>
      <c r="J1767" s="448">
        <v>17.420000000000002</v>
      </c>
      <c r="N1767" s="441"/>
      <c r="O1767" s="441"/>
      <c r="R1767" s="440"/>
    </row>
    <row r="1768" spans="1:18" s="439" customFormat="1">
      <c r="A1768" s="443" t="s">
        <v>318</v>
      </c>
      <c r="B1768" s="444" t="s">
        <v>887</v>
      </c>
      <c r="C1768" s="444" t="s">
        <v>330</v>
      </c>
      <c r="D1768" s="443" t="s">
        <v>888</v>
      </c>
      <c r="E1768" s="444">
        <v>201609</v>
      </c>
      <c r="F1768" s="445">
        <v>19.18</v>
      </c>
      <c r="G1768" s="443">
        <v>7.5</v>
      </c>
      <c r="H1768" s="446">
        <v>1.3083000000000001E-3</v>
      </c>
      <c r="I1768" s="445">
        <v>0.19</v>
      </c>
      <c r="J1768" s="448">
        <v>0.3</v>
      </c>
      <c r="N1768" s="441"/>
      <c r="O1768" s="441"/>
      <c r="R1768" s="440"/>
    </row>
    <row r="1769" spans="1:18" s="439" customFormat="1">
      <c r="A1769" s="443" t="s">
        <v>318</v>
      </c>
      <c r="B1769" s="444" t="s">
        <v>887</v>
      </c>
      <c r="C1769" s="444" t="s">
        <v>330</v>
      </c>
      <c r="D1769" s="443" t="s">
        <v>888</v>
      </c>
      <c r="E1769" s="444">
        <v>201609</v>
      </c>
      <c r="F1769" s="445">
        <v>419.54</v>
      </c>
      <c r="G1769" s="443">
        <v>7.5</v>
      </c>
      <c r="H1769" s="446">
        <v>1.3083000000000001E-3</v>
      </c>
      <c r="I1769" s="445">
        <v>4.12</v>
      </c>
      <c r="J1769" s="448">
        <v>6.59</v>
      </c>
      <c r="N1769" s="441"/>
      <c r="O1769" s="441"/>
      <c r="R1769" s="440"/>
    </row>
    <row r="1770" spans="1:18" s="439" customFormat="1">
      <c r="A1770" s="443" t="s">
        <v>318</v>
      </c>
      <c r="B1770" s="444" t="s">
        <v>1004</v>
      </c>
      <c r="C1770" s="444" t="s">
        <v>330</v>
      </c>
      <c r="D1770" s="443" t="s">
        <v>1005</v>
      </c>
      <c r="E1770" s="444">
        <v>201609</v>
      </c>
      <c r="F1770" s="445">
        <v>12.54</v>
      </c>
      <c r="G1770" s="443">
        <v>7.5</v>
      </c>
      <c r="H1770" s="446">
        <v>1.3083000000000001E-3</v>
      </c>
      <c r="I1770" s="445">
        <v>0.12</v>
      </c>
      <c r="J1770" s="448">
        <v>0.2</v>
      </c>
      <c r="N1770" s="441"/>
      <c r="O1770" s="441"/>
      <c r="R1770" s="440"/>
    </row>
    <row r="1771" spans="1:18" s="439" customFormat="1">
      <c r="A1771" s="443" t="s">
        <v>318</v>
      </c>
      <c r="B1771" s="444" t="s">
        <v>1004</v>
      </c>
      <c r="C1771" s="444" t="s">
        <v>330</v>
      </c>
      <c r="D1771" s="443" t="s">
        <v>1005</v>
      </c>
      <c r="E1771" s="444">
        <v>201609</v>
      </c>
      <c r="F1771" s="445">
        <v>86.28</v>
      </c>
      <c r="G1771" s="443">
        <v>7.5</v>
      </c>
      <c r="H1771" s="446">
        <v>1.3083000000000001E-3</v>
      </c>
      <c r="I1771" s="445">
        <v>0.85</v>
      </c>
      <c r="J1771" s="448">
        <v>1.35</v>
      </c>
      <c r="N1771" s="441"/>
      <c r="O1771" s="441"/>
      <c r="R1771" s="440"/>
    </row>
    <row r="1772" spans="1:18" s="439" customFormat="1">
      <c r="A1772" s="443" t="s">
        <v>322</v>
      </c>
      <c r="B1772" s="444" t="s">
        <v>836</v>
      </c>
      <c r="C1772" s="444" t="s">
        <v>330</v>
      </c>
      <c r="D1772" s="443" t="s">
        <v>837</v>
      </c>
      <c r="E1772" s="444">
        <v>201609</v>
      </c>
      <c r="F1772" s="445">
        <v>-137575.35</v>
      </c>
      <c r="G1772" s="443">
        <v>7.5</v>
      </c>
      <c r="H1772" s="446">
        <v>1.1999999999999999E-3</v>
      </c>
      <c r="I1772" s="445">
        <v>-1238.18</v>
      </c>
      <c r="J1772" s="448">
        <v>-1981.09</v>
      </c>
      <c r="N1772" s="441"/>
      <c r="O1772" s="441"/>
      <c r="R1772" s="440"/>
    </row>
    <row r="1773" spans="1:18" s="439" customFormat="1">
      <c r="A1773" s="443" t="s">
        <v>322</v>
      </c>
      <c r="B1773" s="444" t="s">
        <v>836</v>
      </c>
      <c r="C1773" s="444" t="s">
        <v>330</v>
      </c>
      <c r="D1773" s="443" t="s">
        <v>837</v>
      </c>
      <c r="E1773" s="444">
        <v>201609</v>
      </c>
      <c r="F1773" s="445">
        <v>2013.94</v>
      </c>
      <c r="G1773" s="443">
        <v>7.5</v>
      </c>
      <c r="H1773" s="446">
        <v>1.1999999999999999E-3</v>
      </c>
      <c r="I1773" s="445">
        <v>18.13</v>
      </c>
      <c r="J1773" s="448">
        <v>29</v>
      </c>
      <c r="N1773" s="441"/>
      <c r="O1773" s="441"/>
      <c r="R1773" s="440"/>
    </row>
    <row r="1774" spans="1:18" s="439" customFormat="1">
      <c r="A1774" s="443" t="s">
        <v>322</v>
      </c>
      <c r="B1774" s="444" t="s">
        <v>836</v>
      </c>
      <c r="C1774" s="444" t="s">
        <v>330</v>
      </c>
      <c r="D1774" s="443" t="s">
        <v>837</v>
      </c>
      <c r="E1774" s="444">
        <v>201609</v>
      </c>
      <c r="F1774" s="445">
        <v>137598.44</v>
      </c>
      <c r="G1774" s="443">
        <v>7.5</v>
      </c>
      <c r="H1774" s="446">
        <v>1.1999999999999999E-3</v>
      </c>
      <c r="I1774" s="445">
        <v>1238.3900000000001</v>
      </c>
      <c r="J1774" s="448">
        <v>1981.42</v>
      </c>
      <c r="N1774" s="441"/>
      <c r="O1774" s="441"/>
      <c r="R1774" s="440"/>
    </row>
    <row r="1775" spans="1:18" s="439" customFormat="1">
      <c r="A1775" s="443" t="s">
        <v>318</v>
      </c>
      <c r="B1775" s="444" t="s">
        <v>889</v>
      </c>
      <c r="C1775" s="444" t="s">
        <v>414</v>
      </c>
      <c r="D1775" s="443" t="s">
        <v>890</v>
      </c>
      <c r="E1775" s="444">
        <v>201609</v>
      </c>
      <c r="F1775" s="445">
        <v>42.76</v>
      </c>
      <c r="G1775" s="443">
        <v>7.5</v>
      </c>
      <c r="H1775" s="446">
        <v>1.3083000000000001E-3</v>
      </c>
      <c r="I1775" s="445">
        <v>0.42</v>
      </c>
      <c r="J1775" s="448">
        <v>0.67</v>
      </c>
      <c r="N1775" s="441"/>
      <c r="O1775" s="441"/>
      <c r="R1775" s="440"/>
    </row>
    <row r="1776" spans="1:18" s="439" customFormat="1">
      <c r="A1776" s="443" t="s">
        <v>318</v>
      </c>
      <c r="B1776" s="444" t="s">
        <v>889</v>
      </c>
      <c r="C1776" s="444" t="s">
        <v>414</v>
      </c>
      <c r="D1776" s="443" t="s">
        <v>890</v>
      </c>
      <c r="E1776" s="444">
        <v>201609</v>
      </c>
      <c r="F1776" s="445">
        <v>1133.69</v>
      </c>
      <c r="G1776" s="443">
        <v>7.5</v>
      </c>
      <c r="H1776" s="446">
        <v>1.3083000000000001E-3</v>
      </c>
      <c r="I1776" s="445">
        <v>11.12</v>
      </c>
      <c r="J1776" s="448">
        <v>17.8</v>
      </c>
      <c r="N1776" s="441"/>
      <c r="O1776" s="441"/>
      <c r="R1776" s="440"/>
    </row>
    <row r="1777" spans="1:18" s="439" customFormat="1">
      <c r="A1777" s="443" t="s">
        <v>318</v>
      </c>
      <c r="B1777" s="444" t="s">
        <v>1006</v>
      </c>
      <c r="C1777" s="444" t="s">
        <v>414</v>
      </c>
      <c r="D1777" s="443" t="s">
        <v>1007</v>
      </c>
      <c r="E1777" s="444">
        <v>201609</v>
      </c>
      <c r="F1777" s="445">
        <v>-859.67</v>
      </c>
      <c r="G1777" s="443">
        <v>7.5</v>
      </c>
      <c r="H1777" s="446">
        <v>1.3083000000000001E-3</v>
      </c>
      <c r="I1777" s="445">
        <v>-8.44</v>
      </c>
      <c r="J1777" s="448">
        <v>-13.5</v>
      </c>
      <c r="N1777" s="441"/>
      <c r="O1777" s="441"/>
      <c r="R1777" s="440"/>
    </row>
    <row r="1778" spans="1:18" s="439" customFormat="1">
      <c r="A1778" s="443" t="s">
        <v>318</v>
      </c>
      <c r="B1778" s="444" t="s">
        <v>1006</v>
      </c>
      <c r="C1778" s="444" t="s">
        <v>414</v>
      </c>
      <c r="D1778" s="443" t="s">
        <v>1007</v>
      </c>
      <c r="E1778" s="444">
        <v>201609</v>
      </c>
      <c r="F1778" s="445">
        <v>-12.21</v>
      </c>
      <c r="G1778" s="443">
        <v>7.5</v>
      </c>
      <c r="H1778" s="446">
        <v>1.3083000000000001E-3</v>
      </c>
      <c r="I1778" s="445">
        <v>-0.12</v>
      </c>
      <c r="J1778" s="448">
        <v>-0.19</v>
      </c>
      <c r="N1778" s="441"/>
      <c r="O1778" s="441"/>
      <c r="R1778" s="440"/>
    </row>
    <row r="1779" spans="1:18" s="439" customFormat="1">
      <c r="A1779" s="443" t="s">
        <v>318</v>
      </c>
      <c r="B1779" s="444" t="s">
        <v>1049</v>
      </c>
      <c r="C1779" s="444" t="s">
        <v>330</v>
      </c>
      <c r="D1779" s="443" t="s">
        <v>1050</v>
      </c>
      <c r="E1779" s="444">
        <v>201609</v>
      </c>
      <c r="F1779" s="445">
        <v>7175.27</v>
      </c>
      <c r="G1779" s="443">
        <v>7.5</v>
      </c>
      <c r="H1779" s="446">
        <v>1.3083000000000001E-3</v>
      </c>
      <c r="I1779" s="445">
        <v>70.41</v>
      </c>
      <c r="J1779" s="448">
        <v>112.65</v>
      </c>
      <c r="N1779" s="441"/>
      <c r="O1779" s="441"/>
      <c r="R1779" s="440"/>
    </row>
    <row r="1780" spans="1:18" s="439" customFormat="1">
      <c r="A1780" s="443" t="s">
        <v>318</v>
      </c>
      <c r="B1780" s="444" t="s">
        <v>1049</v>
      </c>
      <c r="C1780" s="444" t="s">
        <v>330</v>
      </c>
      <c r="D1780" s="443" t="s">
        <v>1050</v>
      </c>
      <c r="E1780" s="444">
        <v>201609</v>
      </c>
      <c r="F1780" s="445">
        <v>190098.79</v>
      </c>
      <c r="G1780" s="443">
        <v>7.5</v>
      </c>
      <c r="H1780" s="446">
        <v>1.3083000000000001E-3</v>
      </c>
      <c r="I1780" s="445">
        <v>1865.3</v>
      </c>
      <c r="J1780" s="448">
        <v>2984.47</v>
      </c>
      <c r="N1780" s="441"/>
      <c r="O1780" s="441"/>
      <c r="R1780" s="440"/>
    </row>
    <row r="1781" spans="1:18" s="439" customFormat="1">
      <c r="A1781" s="443" t="s">
        <v>318</v>
      </c>
      <c r="B1781" s="444" t="s">
        <v>320</v>
      </c>
      <c r="C1781" s="444" t="s">
        <v>319</v>
      </c>
      <c r="D1781" s="443" t="s">
        <v>321</v>
      </c>
      <c r="E1781" s="444">
        <v>201610</v>
      </c>
      <c r="F1781" s="445">
        <v>4105.6899999999996</v>
      </c>
      <c r="G1781" s="443">
        <v>6.5</v>
      </c>
      <c r="H1781" s="446">
        <v>1.3083000000000001E-3</v>
      </c>
      <c r="I1781" s="445">
        <v>34.909999999999997</v>
      </c>
      <c r="J1781" s="448">
        <v>64.459999999999994</v>
      </c>
      <c r="N1781" s="441"/>
      <c r="O1781" s="441"/>
      <c r="R1781" s="440"/>
    </row>
    <row r="1782" spans="1:18" s="439" customFormat="1">
      <c r="A1782" s="443" t="s">
        <v>318</v>
      </c>
      <c r="B1782" s="444" t="s">
        <v>323</v>
      </c>
      <c r="C1782" s="444" t="s">
        <v>319</v>
      </c>
      <c r="D1782" s="443" t="s">
        <v>324</v>
      </c>
      <c r="E1782" s="444">
        <v>201610</v>
      </c>
      <c r="F1782" s="445">
        <v>1957.29</v>
      </c>
      <c r="G1782" s="443">
        <v>6.5</v>
      </c>
      <c r="H1782" s="446">
        <v>1.3083000000000001E-3</v>
      </c>
      <c r="I1782" s="445">
        <v>16.64</v>
      </c>
      <c r="J1782" s="448">
        <v>30.73</v>
      </c>
      <c r="N1782" s="441"/>
      <c r="O1782" s="441"/>
      <c r="R1782" s="440"/>
    </row>
    <row r="1783" spans="1:18" s="439" customFormat="1">
      <c r="A1783" s="443" t="s">
        <v>322</v>
      </c>
      <c r="B1783" s="444" t="s">
        <v>325</v>
      </c>
      <c r="C1783" s="444" t="s">
        <v>319</v>
      </c>
      <c r="D1783" s="443" t="s">
        <v>326</v>
      </c>
      <c r="E1783" s="444">
        <v>201610</v>
      </c>
      <c r="F1783" s="445">
        <v>8544.2099999999991</v>
      </c>
      <c r="G1783" s="443">
        <v>6.5</v>
      </c>
      <c r="H1783" s="446">
        <v>1.1999999999999999E-3</v>
      </c>
      <c r="I1783" s="445">
        <v>66.64</v>
      </c>
      <c r="J1783" s="448">
        <v>123.04</v>
      </c>
      <c r="N1783" s="441"/>
      <c r="O1783" s="441"/>
      <c r="R1783" s="440"/>
    </row>
    <row r="1784" spans="1:18" s="439" customFormat="1">
      <c r="A1784" s="443" t="s">
        <v>318</v>
      </c>
      <c r="B1784" s="444" t="s">
        <v>327</v>
      </c>
      <c r="C1784" s="444" t="s">
        <v>319</v>
      </c>
      <c r="D1784" s="443" t="s">
        <v>328</v>
      </c>
      <c r="E1784" s="444">
        <v>201610</v>
      </c>
      <c r="F1784" s="445">
        <v>19587.75</v>
      </c>
      <c r="G1784" s="443">
        <v>6.5</v>
      </c>
      <c r="H1784" s="446">
        <v>1.3083000000000001E-3</v>
      </c>
      <c r="I1784" s="445">
        <v>166.57</v>
      </c>
      <c r="J1784" s="448">
        <v>307.52</v>
      </c>
      <c r="N1784" s="441"/>
      <c r="O1784" s="441"/>
      <c r="R1784" s="440"/>
    </row>
    <row r="1785" spans="1:18" s="439" customFormat="1">
      <c r="A1785" s="443" t="s">
        <v>318</v>
      </c>
      <c r="B1785" s="444" t="s">
        <v>941</v>
      </c>
      <c r="C1785" s="444" t="s">
        <v>330</v>
      </c>
      <c r="D1785" s="443" t="s">
        <v>942</v>
      </c>
      <c r="E1785" s="444">
        <v>201610</v>
      </c>
      <c r="F1785" s="445">
        <v>89.54</v>
      </c>
      <c r="G1785" s="443">
        <v>6.5</v>
      </c>
      <c r="H1785" s="446">
        <v>1.3083000000000001E-3</v>
      </c>
      <c r="I1785" s="445">
        <v>0.76</v>
      </c>
      <c r="J1785" s="448">
        <v>1.41</v>
      </c>
      <c r="N1785" s="441"/>
      <c r="O1785" s="441"/>
      <c r="R1785" s="440"/>
    </row>
    <row r="1786" spans="1:18" s="439" customFormat="1">
      <c r="A1786" s="443" t="s">
        <v>318</v>
      </c>
      <c r="B1786" s="444" t="s">
        <v>941</v>
      </c>
      <c r="C1786" s="444" t="s">
        <v>330</v>
      </c>
      <c r="D1786" s="443" t="s">
        <v>942</v>
      </c>
      <c r="E1786" s="444">
        <v>201610</v>
      </c>
      <c r="F1786" s="445">
        <v>6.26</v>
      </c>
      <c r="G1786" s="443">
        <v>6.5</v>
      </c>
      <c r="H1786" s="446">
        <v>1.3083000000000001E-3</v>
      </c>
      <c r="I1786" s="445">
        <v>0.05</v>
      </c>
      <c r="J1786" s="448">
        <v>0.1</v>
      </c>
      <c r="N1786" s="441"/>
      <c r="O1786" s="441"/>
      <c r="R1786" s="440"/>
    </row>
    <row r="1787" spans="1:18" s="439" customFormat="1">
      <c r="A1787" s="443" t="s">
        <v>322</v>
      </c>
      <c r="B1787" s="444" t="s">
        <v>643</v>
      </c>
      <c r="C1787" s="444" t="s">
        <v>330</v>
      </c>
      <c r="D1787" s="443" t="s">
        <v>644</v>
      </c>
      <c r="E1787" s="444">
        <v>201610</v>
      </c>
      <c r="F1787" s="445">
        <v>-13442.18</v>
      </c>
      <c r="G1787" s="443">
        <v>6.5</v>
      </c>
      <c r="H1787" s="446">
        <v>1.1999999999999999E-3</v>
      </c>
      <c r="I1787" s="445">
        <v>-104.85</v>
      </c>
      <c r="J1787" s="448">
        <v>-193.57</v>
      </c>
      <c r="N1787" s="441"/>
      <c r="O1787" s="441"/>
      <c r="R1787" s="440"/>
    </row>
    <row r="1788" spans="1:18" s="439" customFormat="1">
      <c r="A1788" s="443" t="s">
        <v>318</v>
      </c>
      <c r="B1788" s="444" t="s">
        <v>643</v>
      </c>
      <c r="C1788" s="444" t="s">
        <v>330</v>
      </c>
      <c r="D1788" s="443" t="s">
        <v>644</v>
      </c>
      <c r="E1788" s="444">
        <v>201610</v>
      </c>
      <c r="F1788" s="445">
        <v>12878.94</v>
      </c>
      <c r="G1788" s="443">
        <v>6.5</v>
      </c>
      <c r="H1788" s="446">
        <v>1.3083000000000001E-3</v>
      </c>
      <c r="I1788" s="445">
        <v>109.52</v>
      </c>
      <c r="J1788" s="448">
        <v>202.19</v>
      </c>
      <c r="N1788" s="441"/>
      <c r="O1788" s="441"/>
      <c r="R1788" s="440"/>
    </row>
    <row r="1789" spans="1:18" s="439" customFormat="1">
      <c r="A1789" s="443" t="s">
        <v>318</v>
      </c>
      <c r="B1789" s="444" t="s">
        <v>643</v>
      </c>
      <c r="C1789" s="444" t="s">
        <v>330</v>
      </c>
      <c r="D1789" s="443" t="s">
        <v>644</v>
      </c>
      <c r="E1789" s="444">
        <v>201610</v>
      </c>
      <c r="F1789" s="445">
        <v>-85007.02</v>
      </c>
      <c r="G1789" s="443">
        <v>6.5</v>
      </c>
      <c r="H1789" s="446">
        <v>1.3083000000000001E-3</v>
      </c>
      <c r="I1789" s="445">
        <v>-722.9</v>
      </c>
      <c r="J1789" s="448">
        <v>-1334.58</v>
      </c>
      <c r="N1789" s="441"/>
      <c r="O1789" s="441"/>
      <c r="R1789" s="440"/>
    </row>
    <row r="1790" spans="1:18" s="439" customFormat="1">
      <c r="A1790" s="443" t="s">
        <v>318</v>
      </c>
      <c r="B1790" s="444" t="s">
        <v>856</v>
      </c>
      <c r="C1790" s="442" t="s">
        <v>330</v>
      </c>
      <c r="D1790" s="443" t="s">
        <v>857</v>
      </c>
      <c r="E1790" s="444">
        <v>201610</v>
      </c>
      <c r="F1790" s="445">
        <v>1.0900000000000001</v>
      </c>
      <c r="G1790" s="443">
        <v>6.5</v>
      </c>
      <c r="H1790" s="446">
        <v>1.3083000000000001E-3</v>
      </c>
      <c r="I1790" s="445">
        <v>0.01</v>
      </c>
      <c r="J1790" s="448">
        <v>0.02</v>
      </c>
      <c r="N1790" s="441"/>
      <c r="O1790" s="441"/>
      <c r="R1790" s="440"/>
    </row>
    <row r="1791" spans="1:18" s="439" customFormat="1">
      <c r="A1791" s="443" t="s">
        <v>322</v>
      </c>
      <c r="B1791" s="444" t="s">
        <v>856</v>
      </c>
      <c r="C1791" s="442" t="s">
        <v>330</v>
      </c>
      <c r="D1791" s="443" t="s">
        <v>857</v>
      </c>
      <c r="E1791" s="444">
        <v>201610</v>
      </c>
      <c r="F1791" s="445">
        <v>0.24</v>
      </c>
      <c r="G1791" s="443">
        <v>6.5</v>
      </c>
      <c r="H1791" s="446">
        <v>1.1999999999999999E-3</v>
      </c>
      <c r="I1791" s="445">
        <v>0</v>
      </c>
      <c r="J1791" s="448">
        <v>0</v>
      </c>
      <c r="N1791" s="441"/>
      <c r="O1791" s="441"/>
      <c r="R1791" s="440"/>
    </row>
    <row r="1792" spans="1:18" s="439" customFormat="1">
      <c r="A1792" s="443" t="s">
        <v>318</v>
      </c>
      <c r="B1792" s="444" t="s">
        <v>856</v>
      </c>
      <c r="C1792" s="444" t="s">
        <v>330</v>
      </c>
      <c r="D1792" s="443" t="s">
        <v>857</v>
      </c>
      <c r="E1792" s="444">
        <v>201610</v>
      </c>
      <c r="F1792" s="445">
        <v>25.65</v>
      </c>
      <c r="G1792" s="443">
        <v>6.5</v>
      </c>
      <c r="H1792" s="446">
        <v>1.3083000000000001E-3</v>
      </c>
      <c r="I1792" s="445">
        <v>0.22</v>
      </c>
      <c r="J1792" s="448">
        <v>0.4</v>
      </c>
      <c r="N1792" s="441"/>
      <c r="O1792" s="441"/>
      <c r="R1792" s="440"/>
    </row>
    <row r="1793" spans="1:18" s="439" customFormat="1">
      <c r="A1793" s="443" t="s">
        <v>318</v>
      </c>
      <c r="B1793" s="444" t="s">
        <v>800</v>
      </c>
      <c r="C1793" s="444" t="s">
        <v>330</v>
      </c>
      <c r="D1793" s="443" t="s">
        <v>830</v>
      </c>
      <c r="E1793" s="444">
        <v>201610</v>
      </c>
      <c r="F1793" s="445">
        <v>-8022.21</v>
      </c>
      <c r="G1793" s="443">
        <v>6.5</v>
      </c>
      <c r="H1793" s="446">
        <v>1.3083000000000001E-3</v>
      </c>
      <c r="I1793" s="445">
        <v>-68.22</v>
      </c>
      <c r="J1793" s="448">
        <v>-125.95</v>
      </c>
      <c r="N1793" s="441"/>
      <c r="O1793" s="441"/>
      <c r="R1793" s="440"/>
    </row>
    <row r="1794" spans="1:18" s="439" customFormat="1">
      <c r="A1794" s="443" t="s">
        <v>318</v>
      </c>
      <c r="B1794" s="444" t="s">
        <v>800</v>
      </c>
      <c r="C1794" s="444" t="s">
        <v>330</v>
      </c>
      <c r="D1794" s="443" t="s">
        <v>830</v>
      </c>
      <c r="E1794" s="444">
        <v>201610</v>
      </c>
      <c r="F1794" s="445">
        <v>-449.65</v>
      </c>
      <c r="G1794" s="443">
        <v>6.5</v>
      </c>
      <c r="H1794" s="446">
        <v>1.3083000000000001E-3</v>
      </c>
      <c r="I1794" s="445">
        <v>-3.82</v>
      </c>
      <c r="J1794" s="448">
        <v>-7.06</v>
      </c>
      <c r="N1794" s="441"/>
      <c r="O1794" s="441"/>
      <c r="R1794" s="440"/>
    </row>
    <row r="1795" spans="1:18" s="439" customFormat="1">
      <c r="A1795" s="443" t="s">
        <v>318</v>
      </c>
      <c r="B1795" s="444" t="s">
        <v>629</v>
      </c>
      <c r="C1795" s="444" t="s">
        <v>330</v>
      </c>
      <c r="D1795" s="443" t="s">
        <v>630</v>
      </c>
      <c r="E1795" s="444">
        <v>201610</v>
      </c>
      <c r="F1795" s="445">
        <v>245.62</v>
      </c>
      <c r="G1795" s="443">
        <v>6.5</v>
      </c>
      <c r="H1795" s="446">
        <v>1.3083000000000001E-3</v>
      </c>
      <c r="I1795" s="445">
        <v>2.09</v>
      </c>
      <c r="J1795" s="448">
        <v>3.86</v>
      </c>
      <c r="N1795" s="441"/>
      <c r="O1795" s="441"/>
      <c r="R1795" s="440"/>
    </row>
    <row r="1796" spans="1:18" s="439" customFormat="1">
      <c r="A1796" s="443" t="s">
        <v>318</v>
      </c>
      <c r="B1796" s="444" t="s">
        <v>629</v>
      </c>
      <c r="C1796" s="444" t="s">
        <v>330</v>
      </c>
      <c r="D1796" s="443" t="s">
        <v>630</v>
      </c>
      <c r="E1796" s="444">
        <v>201610</v>
      </c>
      <c r="F1796" s="445">
        <v>4.29</v>
      </c>
      <c r="G1796" s="443">
        <v>6.5</v>
      </c>
      <c r="H1796" s="446">
        <v>1.3083000000000001E-3</v>
      </c>
      <c r="I1796" s="445">
        <v>0.04</v>
      </c>
      <c r="J1796" s="448">
        <v>7.0000000000000007E-2</v>
      </c>
      <c r="N1796" s="441"/>
      <c r="O1796" s="441"/>
      <c r="R1796" s="440"/>
    </row>
    <row r="1797" spans="1:18" s="439" customFormat="1">
      <c r="A1797" s="443" t="s">
        <v>318</v>
      </c>
      <c r="B1797" s="444" t="s">
        <v>631</v>
      </c>
      <c r="C1797" s="444" t="s">
        <v>330</v>
      </c>
      <c r="D1797" s="443" t="s">
        <v>632</v>
      </c>
      <c r="E1797" s="444">
        <v>201610</v>
      </c>
      <c r="F1797" s="445">
        <v>0.09</v>
      </c>
      <c r="G1797" s="443">
        <v>6.5</v>
      </c>
      <c r="H1797" s="446">
        <v>1.3083000000000001E-3</v>
      </c>
      <c r="I1797" s="445">
        <v>0</v>
      </c>
      <c r="J1797" s="448">
        <v>0</v>
      </c>
      <c r="N1797" s="441"/>
      <c r="O1797" s="441"/>
      <c r="R1797" s="440"/>
    </row>
    <row r="1798" spans="1:18" s="439" customFormat="1">
      <c r="A1798" s="443" t="s">
        <v>318</v>
      </c>
      <c r="B1798" s="444" t="s">
        <v>631</v>
      </c>
      <c r="C1798" s="444" t="s">
        <v>330</v>
      </c>
      <c r="D1798" s="443" t="s">
        <v>632</v>
      </c>
      <c r="E1798" s="444">
        <v>201610</v>
      </c>
      <c r="F1798" s="445">
        <v>3.94</v>
      </c>
      <c r="G1798" s="443">
        <v>6.5</v>
      </c>
      <c r="H1798" s="446">
        <v>1.3083000000000001E-3</v>
      </c>
      <c r="I1798" s="445">
        <v>0.03</v>
      </c>
      <c r="J1798" s="448">
        <v>0.06</v>
      </c>
      <c r="N1798" s="441"/>
      <c r="O1798" s="441"/>
      <c r="R1798" s="440"/>
    </row>
    <row r="1799" spans="1:18" s="439" customFormat="1">
      <c r="A1799" s="443" t="s">
        <v>318</v>
      </c>
      <c r="B1799" s="444" t="s">
        <v>805</v>
      </c>
      <c r="C1799" s="444" t="s">
        <v>330</v>
      </c>
      <c r="D1799" s="443" t="s">
        <v>806</v>
      </c>
      <c r="E1799" s="444">
        <v>201610</v>
      </c>
      <c r="F1799" s="445">
        <v>24.6</v>
      </c>
      <c r="G1799" s="443">
        <v>6.5</v>
      </c>
      <c r="H1799" s="446">
        <v>1.3083000000000001E-3</v>
      </c>
      <c r="I1799" s="445">
        <v>0.21</v>
      </c>
      <c r="J1799" s="448">
        <v>0.39</v>
      </c>
      <c r="N1799" s="441"/>
      <c r="O1799" s="441"/>
      <c r="R1799" s="440"/>
    </row>
    <row r="1800" spans="1:18" s="439" customFormat="1">
      <c r="A1800" s="443" t="s">
        <v>318</v>
      </c>
      <c r="B1800" s="444" t="s">
        <v>805</v>
      </c>
      <c r="C1800" s="444" t="s">
        <v>330</v>
      </c>
      <c r="D1800" s="443" t="s">
        <v>806</v>
      </c>
      <c r="E1800" s="444">
        <v>201610</v>
      </c>
      <c r="F1800" s="445">
        <v>24.03</v>
      </c>
      <c r="G1800" s="443">
        <v>6.5</v>
      </c>
      <c r="H1800" s="446">
        <v>1.3083000000000001E-3</v>
      </c>
      <c r="I1800" s="445">
        <v>0.2</v>
      </c>
      <c r="J1800" s="448">
        <v>0.38</v>
      </c>
      <c r="N1800" s="441"/>
      <c r="O1800" s="441"/>
      <c r="R1800" s="440"/>
    </row>
    <row r="1801" spans="1:18" s="439" customFormat="1">
      <c r="A1801" s="443" t="s">
        <v>318</v>
      </c>
      <c r="B1801" s="444" t="s">
        <v>1067</v>
      </c>
      <c r="C1801" s="444" t="s">
        <v>330</v>
      </c>
      <c r="D1801" s="443" t="s">
        <v>1068</v>
      </c>
      <c r="E1801" s="444">
        <v>201610</v>
      </c>
      <c r="F1801" s="445">
        <v>834624.74</v>
      </c>
      <c r="G1801" s="443">
        <v>6.5</v>
      </c>
      <c r="H1801" s="446">
        <v>1.3083000000000001E-3</v>
      </c>
      <c r="I1801" s="445">
        <v>7097.61</v>
      </c>
      <c r="J1801" s="448">
        <v>13103.27</v>
      </c>
      <c r="N1801" s="441"/>
      <c r="O1801" s="441"/>
      <c r="R1801" s="440"/>
    </row>
    <row r="1802" spans="1:18" s="439" customFormat="1">
      <c r="A1802" s="443" t="s">
        <v>318</v>
      </c>
      <c r="B1802" s="444" t="s">
        <v>1067</v>
      </c>
      <c r="C1802" s="444" t="s">
        <v>330</v>
      </c>
      <c r="D1802" s="443" t="s">
        <v>1068</v>
      </c>
      <c r="E1802" s="444">
        <v>201610</v>
      </c>
      <c r="F1802" s="445">
        <v>18049.48</v>
      </c>
      <c r="G1802" s="443">
        <v>6.5</v>
      </c>
      <c r="H1802" s="446">
        <v>1.3083000000000001E-3</v>
      </c>
      <c r="I1802" s="445">
        <v>153.49</v>
      </c>
      <c r="J1802" s="448">
        <v>283.37</v>
      </c>
      <c r="N1802" s="441"/>
      <c r="O1802" s="441"/>
      <c r="R1802" s="440"/>
    </row>
    <row r="1803" spans="1:18" s="439" customFormat="1">
      <c r="A1803" s="443" t="s">
        <v>318</v>
      </c>
      <c r="B1803" s="444" t="s">
        <v>1033</v>
      </c>
      <c r="C1803" s="444" t="s">
        <v>330</v>
      </c>
      <c r="D1803" s="443" t="s">
        <v>1034</v>
      </c>
      <c r="E1803" s="444">
        <v>201610</v>
      </c>
      <c r="F1803" s="445">
        <v>2853.91</v>
      </c>
      <c r="G1803" s="443">
        <v>6.5</v>
      </c>
      <c r="H1803" s="446">
        <v>1.3083000000000001E-3</v>
      </c>
      <c r="I1803" s="445">
        <v>24.27</v>
      </c>
      <c r="J1803" s="448">
        <v>44.81</v>
      </c>
      <c r="N1803" s="441"/>
      <c r="O1803" s="441"/>
      <c r="R1803" s="440"/>
    </row>
    <row r="1804" spans="1:18" s="439" customFormat="1">
      <c r="A1804" s="443" t="s">
        <v>318</v>
      </c>
      <c r="B1804" s="444" t="s">
        <v>1033</v>
      </c>
      <c r="C1804" s="444" t="s">
        <v>330</v>
      </c>
      <c r="D1804" s="443" t="s">
        <v>1034</v>
      </c>
      <c r="E1804" s="444">
        <v>201610</v>
      </c>
      <c r="F1804" s="445">
        <v>156.51</v>
      </c>
      <c r="G1804" s="443">
        <v>6.5</v>
      </c>
      <c r="H1804" s="446">
        <v>1.3083000000000001E-3</v>
      </c>
      <c r="I1804" s="445">
        <v>1.33</v>
      </c>
      <c r="J1804" s="448">
        <v>2.46</v>
      </c>
      <c r="N1804" s="441"/>
      <c r="O1804" s="441"/>
      <c r="R1804" s="440"/>
    </row>
    <row r="1805" spans="1:18" s="439" customFormat="1">
      <c r="A1805" s="443" t="s">
        <v>318</v>
      </c>
      <c r="B1805" s="444" t="s">
        <v>812</v>
      </c>
      <c r="C1805" s="444" t="s">
        <v>330</v>
      </c>
      <c r="D1805" s="443" t="s">
        <v>813</v>
      </c>
      <c r="E1805" s="444">
        <v>201610</v>
      </c>
      <c r="F1805" s="445">
        <v>10.23</v>
      </c>
      <c r="G1805" s="443">
        <v>6.5</v>
      </c>
      <c r="H1805" s="446">
        <v>1.3083000000000001E-3</v>
      </c>
      <c r="I1805" s="445">
        <v>0.09</v>
      </c>
      <c r="J1805" s="448">
        <v>0.16</v>
      </c>
      <c r="N1805" s="441"/>
      <c r="O1805" s="441"/>
      <c r="R1805" s="440"/>
    </row>
    <row r="1806" spans="1:18" s="439" customFormat="1">
      <c r="A1806" s="443" t="s">
        <v>318</v>
      </c>
      <c r="B1806" s="444" t="s">
        <v>812</v>
      </c>
      <c r="C1806" s="444" t="s">
        <v>330</v>
      </c>
      <c r="D1806" s="443" t="s">
        <v>813</v>
      </c>
      <c r="E1806" s="444">
        <v>201610</v>
      </c>
      <c r="F1806" s="445">
        <v>1.03</v>
      </c>
      <c r="G1806" s="443">
        <v>6.5</v>
      </c>
      <c r="H1806" s="446">
        <v>1.3083000000000001E-3</v>
      </c>
      <c r="I1806" s="445">
        <v>0.01</v>
      </c>
      <c r="J1806" s="448">
        <v>0.02</v>
      </c>
      <c r="N1806" s="441"/>
      <c r="O1806" s="441"/>
      <c r="R1806" s="440"/>
    </row>
    <row r="1807" spans="1:18" s="439" customFormat="1">
      <c r="A1807" s="443" t="s">
        <v>318</v>
      </c>
      <c r="B1807" s="444" t="s">
        <v>619</v>
      </c>
      <c r="C1807" s="444" t="s">
        <v>331</v>
      </c>
      <c r="D1807" s="443" t="s">
        <v>620</v>
      </c>
      <c r="E1807" s="444">
        <v>201610</v>
      </c>
      <c r="F1807" s="445">
        <v>632.64</v>
      </c>
      <c r="G1807" s="443">
        <v>6.5</v>
      </c>
      <c r="H1807" s="446">
        <v>1.3083000000000001E-3</v>
      </c>
      <c r="I1807" s="445">
        <v>5.38</v>
      </c>
      <c r="J1807" s="448">
        <v>9.93</v>
      </c>
      <c r="N1807" s="441"/>
      <c r="O1807" s="441"/>
      <c r="R1807" s="440"/>
    </row>
    <row r="1808" spans="1:18" s="439" customFormat="1">
      <c r="A1808" s="443" t="s">
        <v>318</v>
      </c>
      <c r="B1808" s="444" t="s">
        <v>619</v>
      </c>
      <c r="C1808" s="442" t="s">
        <v>331</v>
      </c>
      <c r="D1808" s="443" t="s">
        <v>620</v>
      </c>
      <c r="E1808" s="444">
        <v>201610</v>
      </c>
      <c r="F1808" s="445">
        <v>52.34</v>
      </c>
      <c r="G1808" s="443">
        <v>6.5</v>
      </c>
      <c r="H1808" s="446">
        <v>1.3083000000000001E-3</v>
      </c>
      <c r="I1808" s="445">
        <v>0.45</v>
      </c>
      <c r="J1808" s="448">
        <v>0.82</v>
      </c>
      <c r="N1808" s="441"/>
      <c r="O1808" s="441"/>
      <c r="R1808" s="440"/>
    </row>
    <row r="1809" spans="1:18" s="439" customFormat="1">
      <c r="A1809" s="443" t="s">
        <v>318</v>
      </c>
      <c r="B1809" s="444" t="s">
        <v>829</v>
      </c>
      <c r="C1809" s="442" t="s">
        <v>330</v>
      </c>
      <c r="D1809" s="443" t="s">
        <v>831</v>
      </c>
      <c r="E1809" s="444">
        <v>201610</v>
      </c>
      <c r="F1809" s="445">
        <v>485.21</v>
      </c>
      <c r="G1809" s="443">
        <v>6.5</v>
      </c>
      <c r="H1809" s="446">
        <v>1.3083000000000001E-3</v>
      </c>
      <c r="I1809" s="445">
        <v>4.13</v>
      </c>
      <c r="J1809" s="448">
        <v>7.62</v>
      </c>
      <c r="N1809" s="441"/>
      <c r="O1809" s="441"/>
      <c r="R1809" s="440"/>
    </row>
    <row r="1810" spans="1:18" s="439" customFormat="1">
      <c r="A1810" s="443" t="s">
        <v>318</v>
      </c>
      <c r="B1810" s="444" t="s">
        <v>829</v>
      </c>
      <c r="C1810" s="444" t="s">
        <v>330</v>
      </c>
      <c r="D1810" s="443" t="s">
        <v>831</v>
      </c>
      <c r="E1810" s="444">
        <v>201610</v>
      </c>
      <c r="F1810" s="445">
        <v>9.42</v>
      </c>
      <c r="G1810" s="443">
        <v>6.5</v>
      </c>
      <c r="H1810" s="446">
        <v>1.3083000000000001E-3</v>
      </c>
      <c r="I1810" s="445">
        <v>0.08</v>
      </c>
      <c r="J1810" s="448">
        <v>0.15</v>
      </c>
      <c r="N1810" s="441"/>
      <c r="O1810" s="441"/>
      <c r="R1810" s="440"/>
    </row>
    <row r="1811" spans="1:18" s="439" customFormat="1">
      <c r="A1811" s="443" t="s">
        <v>318</v>
      </c>
      <c r="B1811" s="444" t="s">
        <v>832</v>
      </c>
      <c r="C1811" s="444" t="s">
        <v>330</v>
      </c>
      <c r="D1811" s="443" t="s">
        <v>833</v>
      </c>
      <c r="E1811" s="444">
        <v>201610</v>
      </c>
      <c r="F1811" s="445">
        <v>3326.6</v>
      </c>
      <c r="G1811" s="443">
        <v>6.5</v>
      </c>
      <c r="H1811" s="446">
        <v>1.3083000000000001E-3</v>
      </c>
      <c r="I1811" s="445">
        <v>28.29</v>
      </c>
      <c r="J1811" s="448">
        <v>52.23</v>
      </c>
      <c r="N1811" s="441"/>
      <c r="O1811" s="441"/>
      <c r="R1811" s="440"/>
    </row>
    <row r="1812" spans="1:18" s="439" customFormat="1">
      <c r="A1812" s="443" t="s">
        <v>318</v>
      </c>
      <c r="B1812" s="444" t="s">
        <v>832</v>
      </c>
      <c r="C1812" s="444" t="s">
        <v>330</v>
      </c>
      <c r="D1812" s="443" t="s">
        <v>833</v>
      </c>
      <c r="E1812" s="444">
        <v>201610</v>
      </c>
      <c r="F1812" s="445">
        <v>69.540000000000006</v>
      </c>
      <c r="G1812" s="443">
        <v>6.5</v>
      </c>
      <c r="H1812" s="446">
        <v>1.3083000000000001E-3</v>
      </c>
      <c r="I1812" s="445">
        <v>0.59</v>
      </c>
      <c r="J1812" s="448">
        <v>1.0900000000000001</v>
      </c>
      <c r="N1812" s="441"/>
      <c r="O1812" s="441"/>
      <c r="R1812" s="440"/>
    </row>
    <row r="1813" spans="1:18" s="439" customFormat="1">
      <c r="A1813" s="443" t="s">
        <v>318</v>
      </c>
      <c r="B1813" s="444" t="s">
        <v>947</v>
      </c>
      <c r="C1813" s="444" t="s">
        <v>330</v>
      </c>
      <c r="D1813" s="443" t="s">
        <v>948</v>
      </c>
      <c r="E1813" s="444">
        <v>201610</v>
      </c>
      <c r="F1813" s="445">
        <v>14895.72</v>
      </c>
      <c r="G1813" s="443">
        <v>6.5</v>
      </c>
      <c r="H1813" s="446">
        <v>1.3083000000000001E-3</v>
      </c>
      <c r="I1813" s="445">
        <v>126.67</v>
      </c>
      <c r="J1813" s="448">
        <v>233.86</v>
      </c>
      <c r="N1813" s="441"/>
      <c r="O1813" s="441"/>
      <c r="R1813" s="440"/>
    </row>
    <row r="1814" spans="1:18" s="439" customFormat="1">
      <c r="A1814" s="443" t="s">
        <v>318</v>
      </c>
      <c r="B1814" s="444" t="s">
        <v>947</v>
      </c>
      <c r="C1814" s="444" t="s">
        <v>330</v>
      </c>
      <c r="D1814" s="443" t="s">
        <v>948</v>
      </c>
      <c r="E1814" s="444">
        <v>201610</v>
      </c>
      <c r="F1814" s="445">
        <v>534.02</v>
      </c>
      <c r="G1814" s="443">
        <v>6.5</v>
      </c>
      <c r="H1814" s="446">
        <v>1.3083000000000001E-3</v>
      </c>
      <c r="I1814" s="445">
        <v>4.54</v>
      </c>
      <c r="J1814" s="448">
        <v>8.3800000000000008</v>
      </c>
      <c r="N1814" s="441"/>
      <c r="O1814" s="441"/>
      <c r="R1814" s="440"/>
    </row>
    <row r="1815" spans="1:18" s="439" customFormat="1">
      <c r="A1815" s="443" t="s">
        <v>318</v>
      </c>
      <c r="B1815" s="444" t="s">
        <v>951</v>
      </c>
      <c r="C1815" s="444" t="s">
        <v>330</v>
      </c>
      <c r="D1815" s="443" t="s">
        <v>952</v>
      </c>
      <c r="E1815" s="444">
        <v>201610</v>
      </c>
      <c r="F1815" s="445">
        <v>24.02</v>
      </c>
      <c r="G1815" s="443">
        <v>6.5</v>
      </c>
      <c r="H1815" s="446">
        <v>1.3083000000000001E-3</v>
      </c>
      <c r="I1815" s="445">
        <v>0.2</v>
      </c>
      <c r="J1815" s="448">
        <v>0.38</v>
      </c>
      <c r="N1815" s="441"/>
      <c r="O1815" s="441"/>
      <c r="R1815" s="440"/>
    </row>
    <row r="1816" spans="1:18" s="439" customFormat="1">
      <c r="A1816" s="443" t="s">
        <v>318</v>
      </c>
      <c r="B1816" s="444" t="s">
        <v>951</v>
      </c>
      <c r="C1816" s="444" t="s">
        <v>330</v>
      </c>
      <c r="D1816" s="443" t="s">
        <v>952</v>
      </c>
      <c r="E1816" s="444">
        <v>201610</v>
      </c>
      <c r="F1816" s="445">
        <v>749.62</v>
      </c>
      <c r="G1816" s="443">
        <v>6.5</v>
      </c>
      <c r="H1816" s="446">
        <v>1.3083000000000001E-3</v>
      </c>
      <c r="I1816" s="445">
        <v>6.37</v>
      </c>
      <c r="J1816" s="448">
        <v>11.77</v>
      </c>
      <c r="N1816" s="441"/>
      <c r="O1816" s="441"/>
      <c r="R1816" s="440"/>
    </row>
    <row r="1817" spans="1:18" s="439" customFormat="1">
      <c r="A1817" s="443" t="s">
        <v>318</v>
      </c>
      <c r="B1817" s="444" t="s">
        <v>955</v>
      </c>
      <c r="C1817" s="444" t="s">
        <v>330</v>
      </c>
      <c r="D1817" s="443" t="s">
        <v>956</v>
      </c>
      <c r="E1817" s="444">
        <v>201610</v>
      </c>
      <c r="F1817" s="445">
        <v>155.31</v>
      </c>
      <c r="G1817" s="443">
        <v>6.5</v>
      </c>
      <c r="H1817" s="446">
        <v>1.3083000000000001E-3</v>
      </c>
      <c r="I1817" s="445">
        <v>1.32</v>
      </c>
      <c r="J1817" s="448">
        <v>2.44</v>
      </c>
      <c r="N1817" s="441"/>
      <c r="O1817" s="441"/>
      <c r="R1817" s="440"/>
    </row>
    <row r="1818" spans="1:18" s="439" customFormat="1">
      <c r="A1818" s="443" t="s">
        <v>318</v>
      </c>
      <c r="B1818" s="444" t="s">
        <v>955</v>
      </c>
      <c r="C1818" s="444" t="s">
        <v>330</v>
      </c>
      <c r="D1818" s="443" t="s">
        <v>956</v>
      </c>
      <c r="E1818" s="444">
        <v>201610</v>
      </c>
      <c r="F1818" s="445">
        <v>4856.22</v>
      </c>
      <c r="G1818" s="443">
        <v>6.5</v>
      </c>
      <c r="H1818" s="446">
        <v>1.3083000000000001E-3</v>
      </c>
      <c r="I1818" s="445">
        <v>41.3</v>
      </c>
      <c r="J1818" s="448">
        <v>76.239999999999995</v>
      </c>
      <c r="N1818" s="441"/>
      <c r="O1818" s="441"/>
      <c r="R1818" s="440"/>
    </row>
    <row r="1819" spans="1:18" s="439" customFormat="1">
      <c r="A1819" s="443" t="s">
        <v>318</v>
      </c>
      <c r="B1819" s="444" t="s">
        <v>963</v>
      </c>
      <c r="C1819" s="444" t="s">
        <v>330</v>
      </c>
      <c r="D1819" s="443" t="s">
        <v>964</v>
      </c>
      <c r="E1819" s="444">
        <v>201610</v>
      </c>
      <c r="F1819" s="445">
        <v>667.38</v>
      </c>
      <c r="G1819" s="443">
        <v>6.5</v>
      </c>
      <c r="H1819" s="446">
        <v>1.3083000000000001E-3</v>
      </c>
      <c r="I1819" s="445">
        <v>5.68</v>
      </c>
      <c r="J1819" s="448">
        <v>10.48</v>
      </c>
      <c r="N1819" s="441"/>
      <c r="O1819" s="441"/>
      <c r="R1819" s="440"/>
    </row>
    <row r="1820" spans="1:18" s="439" customFormat="1">
      <c r="A1820" s="443" t="s">
        <v>318</v>
      </c>
      <c r="B1820" s="444" t="s">
        <v>963</v>
      </c>
      <c r="C1820" s="444" t="s">
        <v>330</v>
      </c>
      <c r="D1820" s="443" t="s">
        <v>964</v>
      </c>
      <c r="E1820" s="444">
        <v>201610</v>
      </c>
      <c r="F1820" s="445">
        <v>51.93</v>
      </c>
      <c r="G1820" s="443">
        <v>6.5</v>
      </c>
      <c r="H1820" s="446">
        <v>1.3083000000000001E-3</v>
      </c>
      <c r="I1820" s="445">
        <v>0.44</v>
      </c>
      <c r="J1820" s="448">
        <v>0.82</v>
      </c>
      <c r="N1820" s="441"/>
      <c r="O1820" s="441"/>
      <c r="R1820" s="440"/>
    </row>
    <row r="1821" spans="1:18" s="439" customFormat="1">
      <c r="A1821" s="443" t="s">
        <v>318</v>
      </c>
      <c r="B1821" s="444" t="s">
        <v>862</v>
      </c>
      <c r="C1821" s="444" t="s">
        <v>330</v>
      </c>
      <c r="D1821" s="443" t="s">
        <v>863</v>
      </c>
      <c r="E1821" s="444">
        <v>201610</v>
      </c>
      <c r="F1821" s="445">
        <v>367.67</v>
      </c>
      <c r="G1821" s="443">
        <v>6.5</v>
      </c>
      <c r="H1821" s="446">
        <v>1.3083000000000001E-3</v>
      </c>
      <c r="I1821" s="445">
        <v>3.13</v>
      </c>
      <c r="J1821" s="448">
        <v>5.77</v>
      </c>
      <c r="N1821" s="441"/>
      <c r="O1821" s="441"/>
      <c r="R1821" s="440"/>
    </row>
    <row r="1822" spans="1:18" s="439" customFormat="1">
      <c r="A1822" s="443" t="s">
        <v>318</v>
      </c>
      <c r="B1822" s="444" t="s">
        <v>862</v>
      </c>
      <c r="C1822" s="444" t="s">
        <v>330</v>
      </c>
      <c r="D1822" s="443" t="s">
        <v>863</v>
      </c>
      <c r="E1822" s="444">
        <v>201610</v>
      </c>
      <c r="F1822" s="445">
        <v>23.37</v>
      </c>
      <c r="G1822" s="443">
        <v>6.5</v>
      </c>
      <c r="H1822" s="446">
        <v>1.3083000000000001E-3</v>
      </c>
      <c r="I1822" s="445">
        <v>0.2</v>
      </c>
      <c r="J1822" s="448">
        <v>0.37</v>
      </c>
      <c r="N1822" s="441"/>
      <c r="O1822" s="441"/>
      <c r="R1822" s="440"/>
    </row>
    <row r="1823" spans="1:18" s="439" customFormat="1">
      <c r="A1823" s="443" t="s">
        <v>318</v>
      </c>
      <c r="B1823" s="444" t="s">
        <v>680</v>
      </c>
      <c r="C1823" s="444" t="s">
        <v>330</v>
      </c>
      <c r="D1823" s="443" t="s">
        <v>681</v>
      </c>
      <c r="E1823" s="444">
        <v>201610</v>
      </c>
      <c r="F1823" s="445">
        <v>0.24</v>
      </c>
      <c r="G1823" s="443">
        <v>6.5</v>
      </c>
      <c r="H1823" s="446">
        <v>1.3083000000000001E-3</v>
      </c>
      <c r="I1823" s="445">
        <v>0</v>
      </c>
      <c r="J1823" s="448">
        <v>0</v>
      </c>
      <c r="N1823" s="441"/>
      <c r="O1823" s="441"/>
      <c r="R1823" s="440"/>
    </row>
    <row r="1824" spans="1:18" s="439" customFormat="1">
      <c r="A1824" s="443" t="s">
        <v>318</v>
      </c>
      <c r="B1824" s="444" t="s">
        <v>680</v>
      </c>
      <c r="C1824" s="444" t="s">
        <v>330</v>
      </c>
      <c r="D1824" s="443" t="s">
        <v>681</v>
      </c>
      <c r="E1824" s="444">
        <v>201610</v>
      </c>
      <c r="F1824" s="445">
        <v>2.08</v>
      </c>
      <c r="G1824" s="443">
        <v>6.5</v>
      </c>
      <c r="H1824" s="446">
        <v>1.3083000000000001E-3</v>
      </c>
      <c r="I1824" s="445">
        <v>0.02</v>
      </c>
      <c r="J1824" s="448">
        <v>0.03</v>
      </c>
      <c r="N1824" s="441"/>
      <c r="O1824" s="441"/>
      <c r="R1824" s="440"/>
    </row>
    <row r="1825" spans="1:18" s="439" customFormat="1">
      <c r="A1825" s="443" t="s">
        <v>318</v>
      </c>
      <c r="B1825" s="444" t="s">
        <v>967</v>
      </c>
      <c r="C1825" s="444" t="s">
        <v>330</v>
      </c>
      <c r="D1825" s="443" t="s">
        <v>968</v>
      </c>
      <c r="E1825" s="444">
        <v>201610</v>
      </c>
      <c r="F1825" s="445">
        <v>613.35</v>
      </c>
      <c r="G1825" s="443">
        <v>6.5</v>
      </c>
      <c r="H1825" s="446">
        <v>1.3083000000000001E-3</v>
      </c>
      <c r="I1825" s="445">
        <v>5.22</v>
      </c>
      <c r="J1825" s="448">
        <v>9.6300000000000008</v>
      </c>
      <c r="N1825" s="441"/>
      <c r="O1825" s="441"/>
      <c r="R1825" s="440"/>
    </row>
    <row r="1826" spans="1:18" s="439" customFormat="1">
      <c r="A1826" s="443" t="s">
        <v>318</v>
      </c>
      <c r="B1826" s="444" t="s">
        <v>967</v>
      </c>
      <c r="C1826" s="444" t="s">
        <v>330</v>
      </c>
      <c r="D1826" s="443" t="s">
        <v>968</v>
      </c>
      <c r="E1826" s="444">
        <v>201610</v>
      </c>
      <c r="F1826" s="445">
        <v>23.19</v>
      </c>
      <c r="G1826" s="443">
        <v>6.5</v>
      </c>
      <c r="H1826" s="446">
        <v>1.3083000000000001E-3</v>
      </c>
      <c r="I1826" s="445">
        <v>0.2</v>
      </c>
      <c r="J1826" s="448">
        <v>0.36</v>
      </c>
      <c r="N1826" s="441"/>
      <c r="O1826" s="441"/>
      <c r="R1826" s="440"/>
    </row>
    <row r="1827" spans="1:18" s="439" customFormat="1">
      <c r="A1827" s="443" t="s">
        <v>318</v>
      </c>
      <c r="B1827" s="444" t="s">
        <v>682</v>
      </c>
      <c r="C1827" s="444" t="s">
        <v>330</v>
      </c>
      <c r="D1827" s="443" t="s">
        <v>683</v>
      </c>
      <c r="E1827" s="444">
        <v>201610</v>
      </c>
      <c r="F1827" s="445">
        <v>50273.63</v>
      </c>
      <c r="G1827" s="443">
        <v>6.5</v>
      </c>
      <c r="H1827" s="446">
        <v>1.3083000000000001E-3</v>
      </c>
      <c r="I1827" s="445">
        <v>427.52</v>
      </c>
      <c r="J1827" s="448">
        <v>789.28</v>
      </c>
      <c r="N1827" s="441"/>
      <c r="O1827" s="441"/>
      <c r="R1827" s="440"/>
    </row>
    <row r="1828" spans="1:18" s="439" customFormat="1">
      <c r="A1828" s="443" t="s">
        <v>318</v>
      </c>
      <c r="B1828" s="444" t="s">
        <v>682</v>
      </c>
      <c r="C1828" s="444" t="s">
        <v>330</v>
      </c>
      <c r="D1828" s="443" t="s">
        <v>683</v>
      </c>
      <c r="E1828" s="444">
        <v>201610</v>
      </c>
      <c r="F1828" s="445">
        <v>2097.21</v>
      </c>
      <c r="G1828" s="443">
        <v>6.5</v>
      </c>
      <c r="H1828" s="446">
        <v>1.3083000000000001E-3</v>
      </c>
      <c r="I1828" s="445">
        <v>17.829999999999998</v>
      </c>
      <c r="J1828" s="448">
        <v>32.93</v>
      </c>
      <c r="N1828" s="441"/>
      <c r="O1828" s="441"/>
      <c r="R1828" s="440"/>
    </row>
    <row r="1829" spans="1:18" s="439" customFormat="1">
      <c r="A1829" s="443" t="s">
        <v>318</v>
      </c>
      <c r="B1829" s="444" t="s">
        <v>848</v>
      </c>
      <c r="C1829" s="444" t="s">
        <v>329</v>
      </c>
      <c r="D1829" s="443" t="s">
        <v>849</v>
      </c>
      <c r="E1829" s="444">
        <v>201610</v>
      </c>
      <c r="F1829" s="445">
        <v>-110470.14</v>
      </c>
      <c r="G1829" s="443">
        <v>6.5</v>
      </c>
      <c r="H1829" s="446">
        <v>1.3083000000000001E-3</v>
      </c>
      <c r="I1829" s="445">
        <v>-939.43</v>
      </c>
      <c r="J1829" s="448">
        <v>-1734.34</v>
      </c>
      <c r="N1829" s="441"/>
      <c r="O1829" s="441"/>
      <c r="R1829" s="440"/>
    </row>
    <row r="1830" spans="1:18" s="439" customFormat="1">
      <c r="A1830" s="443" t="s">
        <v>318</v>
      </c>
      <c r="B1830" s="444" t="s">
        <v>848</v>
      </c>
      <c r="C1830" s="442" t="s">
        <v>329</v>
      </c>
      <c r="D1830" s="443" t="s">
        <v>849</v>
      </c>
      <c r="E1830" s="444">
        <v>201610</v>
      </c>
      <c r="F1830" s="445">
        <v>113920.82</v>
      </c>
      <c r="G1830" s="443">
        <v>6.5</v>
      </c>
      <c r="H1830" s="446">
        <v>1.3083000000000001E-3</v>
      </c>
      <c r="I1830" s="445">
        <v>968.78</v>
      </c>
      <c r="J1830" s="448">
        <v>1788.51</v>
      </c>
      <c r="N1830" s="441"/>
      <c r="O1830" s="441"/>
      <c r="R1830" s="440"/>
    </row>
    <row r="1831" spans="1:18" s="439" customFormat="1">
      <c r="A1831" s="443" t="s">
        <v>318</v>
      </c>
      <c r="B1831" s="444" t="s">
        <v>971</v>
      </c>
      <c r="C1831" s="442" t="s">
        <v>329</v>
      </c>
      <c r="D1831" s="443" t="s">
        <v>972</v>
      </c>
      <c r="E1831" s="444">
        <v>201610</v>
      </c>
      <c r="F1831" s="445">
        <v>15.86</v>
      </c>
      <c r="G1831" s="443">
        <v>6.5</v>
      </c>
      <c r="H1831" s="446">
        <v>1.3083000000000001E-3</v>
      </c>
      <c r="I1831" s="445">
        <v>0.13</v>
      </c>
      <c r="J1831" s="448">
        <v>0.25</v>
      </c>
      <c r="N1831" s="441"/>
      <c r="O1831" s="441"/>
      <c r="R1831" s="440"/>
    </row>
    <row r="1832" spans="1:18" s="439" customFormat="1">
      <c r="A1832" s="443" t="s">
        <v>318</v>
      </c>
      <c r="B1832" s="444" t="s">
        <v>971</v>
      </c>
      <c r="C1832" s="442" t="s">
        <v>329</v>
      </c>
      <c r="D1832" s="443" t="s">
        <v>972</v>
      </c>
      <c r="E1832" s="444">
        <v>201610</v>
      </c>
      <c r="F1832" s="445">
        <v>173.84</v>
      </c>
      <c r="G1832" s="443">
        <v>6.5</v>
      </c>
      <c r="H1832" s="446">
        <v>1.3083000000000001E-3</v>
      </c>
      <c r="I1832" s="445">
        <v>1.48</v>
      </c>
      <c r="J1832" s="448">
        <v>2.73</v>
      </c>
      <c r="N1832" s="441"/>
      <c r="O1832" s="441"/>
      <c r="R1832" s="440"/>
    </row>
    <row r="1833" spans="1:18" s="439" customFormat="1">
      <c r="A1833" s="443" t="s">
        <v>318</v>
      </c>
      <c r="B1833" s="444" t="s">
        <v>822</v>
      </c>
      <c r="C1833" s="442" t="s">
        <v>330</v>
      </c>
      <c r="D1833" s="443" t="s">
        <v>823</v>
      </c>
      <c r="E1833" s="444">
        <v>201610</v>
      </c>
      <c r="F1833" s="445">
        <v>990.16</v>
      </c>
      <c r="G1833" s="443">
        <v>6.5</v>
      </c>
      <c r="H1833" s="446">
        <v>1.3083000000000001E-3</v>
      </c>
      <c r="I1833" s="445">
        <v>8.42</v>
      </c>
      <c r="J1833" s="448">
        <v>15.55</v>
      </c>
      <c r="N1833" s="441"/>
      <c r="O1833" s="441"/>
      <c r="R1833" s="440"/>
    </row>
    <row r="1834" spans="1:18" s="439" customFormat="1">
      <c r="A1834" s="443" t="s">
        <v>322</v>
      </c>
      <c r="B1834" s="444" t="s">
        <v>822</v>
      </c>
      <c r="C1834" s="442" t="s">
        <v>330</v>
      </c>
      <c r="D1834" s="443" t="s">
        <v>823</v>
      </c>
      <c r="E1834" s="444">
        <v>201610</v>
      </c>
      <c r="F1834" s="445">
        <v>13.94</v>
      </c>
      <c r="G1834" s="443">
        <v>6.5</v>
      </c>
      <c r="H1834" s="446">
        <v>1.1999999999999999E-3</v>
      </c>
      <c r="I1834" s="445">
        <v>0.11</v>
      </c>
      <c r="J1834" s="448">
        <v>0.2</v>
      </c>
      <c r="N1834" s="441"/>
      <c r="O1834" s="441"/>
      <c r="R1834" s="440"/>
    </row>
    <row r="1835" spans="1:18" s="439" customFormat="1">
      <c r="A1835" s="443" t="s">
        <v>318</v>
      </c>
      <c r="B1835" s="444" t="s">
        <v>822</v>
      </c>
      <c r="C1835" s="442" t="s">
        <v>330</v>
      </c>
      <c r="D1835" s="443" t="s">
        <v>823</v>
      </c>
      <c r="E1835" s="444">
        <v>201610</v>
      </c>
      <c r="F1835" s="445">
        <v>76.010000000000005</v>
      </c>
      <c r="G1835" s="443">
        <v>6.5</v>
      </c>
      <c r="H1835" s="446">
        <v>1.3083000000000001E-3</v>
      </c>
      <c r="I1835" s="445">
        <v>0.65</v>
      </c>
      <c r="J1835" s="448">
        <v>1.19</v>
      </c>
      <c r="N1835" s="441"/>
      <c r="O1835" s="441"/>
      <c r="R1835" s="440"/>
    </row>
    <row r="1836" spans="1:18" s="439" customFormat="1">
      <c r="A1836" s="443" t="s">
        <v>318</v>
      </c>
      <c r="B1836" s="444" t="s">
        <v>973</v>
      </c>
      <c r="C1836" s="442" t="s">
        <v>330</v>
      </c>
      <c r="D1836" s="443" t="s">
        <v>974</v>
      </c>
      <c r="E1836" s="444">
        <v>201610</v>
      </c>
      <c r="F1836" s="445">
        <v>1.77</v>
      </c>
      <c r="G1836" s="443">
        <v>6.5</v>
      </c>
      <c r="H1836" s="446">
        <v>1.3083000000000001E-3</v>
      </c>
      <c r="I1836" s="445">
        <v>0.02</v>
      </c>
      <c r="J1836" s="448">
        <v>0.03</v>
      </c>
      <c r="N1836" s="441"/>
      <c r="O1836" s="441"/>
      <c r="R1836" s="440"/>
    </row>
    <row r="1837" spans="1:18" s="439" customFormat="1">
      <c r="A1837" s="443" t="s">
        <v>318</v>
      </c>
      <c r="B1837" s="444" t="s">
        <v>973</v>
      </c>
      <c r="C1837" s="442" t="s">
        <v>330</v>
      </c>
      <c r="D1837" s="443" t="s">
        <v>974</v>
      </c>
      <c r="E1837" s="444">
        <v>201610</v>
      </c>
      <c r="F1837" s="445">
        <v>45.64</v>
      </c>
      <c r="G1837" s="443">
        <v>6.5</v>
      </c>
      <c r="H1837" s="446">
        <v>1.3083000000000001E-3</v>
      </c>
      <c r="I1837" s="445">
        <v>0.39</v>
      </c>
      <c r="J1837" s="448">
        <v>0.72</v>
      </c>
      <c r="N1837" s="441"/>
      <c r="O1837" s="441"/>
      <c r="R1837" s="440"/>
    </row>
    <row r="1838" spans="1:18" s="439" customFormat="1">
      <c r="A1838" s="443" t="s">
        <v>318</v>
      </c>
      <c r="B1838" s="444" t="s">
        <v>868</v>
      </c>
      <c r="C1838" s="442" t="s">
        <v>330</v>
      </c>
      <c r="D1838" s="443" t="s">
        <v>869</v>
      </c>
      <c r="E1838" s="444">
        <v>201610</v>
      </c>
      <c r="F1838" s="445">
        <v>1.21</v>
      </c>
      <c r="G1838" s="443">
        <v>6.5</v>
      </c>
      <c r="H1838" s="446">
        <v>1.3083000000000001E-3</v>
      </c>
      <c r="I1838" s="445">
        <v>0.01</v>
      </c>
      <c r="J1838" s="448">
        <v>0.02</v>
      </c>
      <c r="N1838" s="441"/>
      <c r="O1838" s="441"/>
      <c r="R1838" s="440"/>
    </row>
    <row r="1839" spans="1:18" s="439" customFormat="1">
      <c r="A1839" s="443" t="s">
        <v>318</v>
      </c>
      <c r="B1839" s="444" t="s">
        <v>868</v>
      </c>
      <c r="C1839" s="442" t="s">
        <v>330</v>
      </c>
      <c r="D1839" s="443" t="s">
        <v>869</v>
      </c>
      <c r="E1839" s="444">
        <v>201610</v>
      </c>
      <c r="F1839" s="445">
        <v>28.81</v>
      </c>
      <c r="G1839" s="443">
        <v>6.5</v>
      </c>
      <c r="H1839" s="446">
        <v>1.3083000000000001E-3</v>
      </c>
      <c r="I1839" s="445">
        <v>0.24</v>
      </c>
      <c r="J1839" s="448">
        <v>0.45</v>
      </c>
      <c r="N1839" s="441"/>
      <c r="O1839" s="441"/>
      <c r="R1839" s="440"/>
    </row>
    <row r="1840" spans="1:18" s="439" customFormat="1">
      <c r="A1840" s="443" t="s">
        <v>318</v>
      </c>
      <c r="B1840" s="444" t="s">
        <v>1037</v>
      </c>
      <c r="C1840" s="442" t="s">
        <v>329</v>
      </c>
      <c r="D1840" s="443" t="s">
        <v>1038</v>
      </c>
      <c r="E1840" s="444">
        <v>201610</v>
      </c>
      <c r="F1840" s="445">
        <v>16.78</v>
      </c>
      <c r="G1840" s="443">
        <v>6.5</v>
      </c>
      <c r="H1840" s="446">
        <v>1.3083000000000001E-3</v>
      </c>
      <c r="I1840" s="445">
        <v>0.14000000000000001</v>
      </c>
      <c r="J1840" s="448">
        <v>0.26</v>
      </c>
      <c r="N1840" s="441"/>
      <c r="O1840" s="441"/>
      <c r="R1840" s="440"/>
    </row>
    <row r="1841" spans="1:18" s="439" customFormat="1">
      <c r="A1841" s="443" t="s">
        <v>318</v>
      </c>
      <c r="B1841" s="444" t="s">
        <v>1037</v>
      </c>
      <c r="C1841" s="442" t="s">
        <v>329</v>
      </c>
      <c r="D1841" s="443" t="s">
        <v>1038</v>
      </c>
      <c r="E1841" s="444">
        <v>201610</v>
      </c>
      <c r="F1841" s="445">
        <v>222.15</v>
      </c>
      <c r="G1841" s="443">
        <v>6.5</v>
      </c>
      <c r="H1841" s="446">
        <v>1.3083000000000001E-3</v>
      </c>
      <c r="I1841" s="445">
        <v>1.89</v>
      </c>
      <c r="J1841" s="448">
        <v>3.49</v>
      </c>
      <c r="N1841" s="441"/>
      <c r="O1841" s="441"/>
      <c r="R1841" s="440"/>
    </row>
    <row r="1842" spans="1:18" s="439" customFormat="1">
      <c r="A1842" s="443" t="s">
        <v>318</v>
      </c>
      <c r="B1842" s="444" t="s">
        <v>850</v>
      </c>
      <c r="C1842" s="442" t="s">
        <v>329</v>
      </c>
      <c r="D1842" s="443" t="s">
        <v>851</v>
      </c>
      <c r="E1842" s="444">
        <v>201610</v>
      </c>
      <c r="F1842" s="445">
        <v>527.79</v>
      </c>
      <c r="G1842" s="443">
        <v>6.5</v>
      </c>
      <c r="H1842" s="446">
        <v>1.3083000000000001E-3</v>
      </c>
      <c r="I1842" s="445">
        <v>4.49</v>
      </c>
      <c r="J1842" s="448">
        <v>8.2899999999999991</v>
      </c>
      <c r="N1842" s="441"/>
      <c r="O1842" s="441"/>
      <c r="R1842" s="440"/>
    </row>
    <row r="1843" spans="1:18" s="439" customFormat="1">
      <c r="A1843" s="443" t="s">
        <v>318</v>
      </c>
      <c r="B1843" s="444" t="s">
        <v>850</v>
      </c>
      <c r="C1843" s="442" t="s">
        <v>329</v>
      </c>
      <c r="D1843" s="443" t="s">
        <v>851</v>
      </c>
      <c r="E1843" s="444">
        <v>201610</v>
      </c>
      <c r="F1843" s="445">
        <v>43.43</v>
      </c>
      <c r="G1843" s="443">
        <v>6.5</v>
      </c>
      <c r="H1843" s="446">
        <v>1.3083000000000001E-3</v>
      </c>
      <c r="I1843" s="445">
        <v>0.37</v>
      </c>
      <c r="J1843" s="448">
        <v>0.68</v>
      </c>
      <c r="N1843" s="441"/>
      <c r="O1843" s="441"/>
      <c r="R1843" s="440"/>
    </row>
    <row r="1844" spans="1:18" s="439" customFormat="1">
      <c r="A1844" s="443" t="s">
        <v>318</v>
      </c>
      <c r="B1844" s="444" t="s">
        <v>1069</v>
      </c>
      <c r="C1844" s="444" t="s">
        <v>330</v>
      </c>
      <c r="D1844" s="443" t="s">
        <v>1070</v>
      </c>
      <c r="E1844" s="444">
        <v>201610</v>
      </c>
      <c r="F1844" s="445">
        <v>17846.09</v>
      </c>
      <c r="G1844" s="443">
        <v>6.5</v>
      </c>
      <c r="H1844" s="446">
        <v>1.3083000000000001E-3</v>
      </c>
      <c r="I1844" s="445">
        <v>151.76</v>
      </c>
      <c r="J1844" s="448">
        <v>280.18</v>
      </c>
      <c r="N1844" s="441"/>
      <c r="O1844" s="441"/>
      <c r="R1844" s="440"/>
    </row>
    <row r="1845" spans="1:18" s="439" customFormat="1">
      <c r="A1845" s="443" t="s">
        <v>318</v>
      </c>
      <c r="B1845" s="444" t="s">
        <v>1069</v>
      </c>
      <c r="C1845" s="444" t="s">
        <v>330</v>
      </c>
      <c r="D1845" s="443" t="s">
        <v>1070</v>
      </c>
      <c r="E1845" s="444">
        <v>201610</v>
      </c>
      <c r="F1845" s="445">
        <v>394255.32</v>
      </c>
      <c r="G1845" s="443">
        <v>6.5</v>
      </c>
      <c r="H1845" s="446">
        <v>1.3083000000000001E-3</v>
      </c>
      <c r="I1845" s="445">
        <v>3352.73</v>
      </c>
      <c r="J1845" s="448">
        <v>6189.65</v>
      </c>
      <c r="N1845" s="441"/>
      <c r="O1845" s="441"/>
      <c r="R1845" s="440"/>
    </row>
    <row r="1846" spans="1:18" s="439" customFormat="1">
      <c r="A1846" s="443" t="s">
        <v>318</v>
      </c>
      <c r="B1846" s="444" t="s">
        <v>870</v>
      </c>
      <c r="C1846" s="444" t="s">
        <v>330</v>
      </c>
      <c r="D1846" s="443" t="s">
        <v>871</v>
      </c>
      <c r="E1846" s="444">
        <v>201610</v>
      </c>
      <c r="F1846" s="445">
        <v>-2171.33</v>
      </c>
      <c r="G1846" s="443">
        <v>6.5</v>
      </c>
      <c r="H1846" s="446">
        <v>1.3083000000000001E-3</v>
      </c>
      <c r="I1846" s="445">
        <v>-18.46</v>
      </c>
      <c r="J1846" s="448">
        <v>-34.090000000000003</v>
      </c>
      <c r="N1846" s="441"/>
      <c r="O1846" s="441"/>
      <c r="R1846" s="440"/>
    </row>
    <row r="1847" spans="1:18" s="439" customFormat="1">
      <c r="A1847" s="443" t="s">
        <v>318</v>
      </c>
      <c r="B1847" s="444" t="s">
        <v>870</v>
      </c>
      <c r="C1847" s="444" t="s">
        <v>330</v>
      </c>
      <c r="D1847" s="443" t="s">
        <v>871</v>
      </c>
      <c r="E1847" s="444">
        <v>201610</v>
      </c>
      <c r="F1847" s="445">
        <v>-145.19</v>
      </c>
      <c r="G1847" s="443">
        <v>6.5</v>
      </c>
      <c r="H1847" s="446">
        <v>1.3083000000000001E-3</v>
      </c>
      <c r="I1847" s="445">
        <v>-1.23</v>
      </c>
      <c r="J1847" s="448">
        <v>-2.2799999999999998</v>
      </c>
      <c r="N1847" s="441"/>
      <c r="O1847" s="441"/>
      <c r="R1847" s="440"/>
    </row>
    <row r="1848" spans="1:18" s="439" customFormat="1">
      <c r="A1848" s="443" t="s">
        <v>318</v>
      </c>
      <c r="B1848" s="444" t="s">
        <v>1039</v>
      </c>
      <c r="C1848" s="444" t="s">
        <v>330</v>
      </c>
      <c r="D1848" s="443" t="s">
        <v>1040</v>
      </c>
      <c r="E1848" s="444">
        <v>201610</v>
      </c>
      <c r="F1848" s="445">
        <v>-1109.57</v>
      </c>
      <c r="G1848" s="443">
        <v>6.5</v>
      </c>
      <c r="H1848" s="446">
        <v>1.3083000000000001E-3</v>
      </c>
      <c r="I1848" s="445">
        <v>-9.44</v>
      </c>
      <c r="J1848" s="448">
        <v>-17.420000000000002</v>
      </c>
      <c r="N1848" s="441"/>
      <c r="O1848" s="441"/>
      <c r="R1848" s="440"/>
    </row>
    <row r="1849" spans="1:18" s="439" customFormat="1">
      <c r="A1849" s="443" t="s">
        <v>318</v>
      </c>
      <c r="B1849" s="444" t="s">
        <v>1039</v>
      </c>
      <c r="C1849" s="444" t="s">
        <v>330</v>
      </c>
      <c r="D1849" s="443" t="s">
        <v>1040</v>
      </c>
      <c r="E1849" s="444">
        <v>201610</v>
      </c>
      <c r="F1849" s="445">
        <v>-54.68</v>
      </c>
      <c r="G1849" s="443">
        <v>6.5</v>
      </c>
      <c r="H1849" s="446">
        <v>1.3083000000000001E-3</v>
      </c>
      <c r="I1849" s="445">
        <v>-0.46</v>
      </c>
      <c r="J1849" s="448">
        <v>-0.86</v>
      </c>
      <c r="N1849" s="441"/>
      <c r="O1849" s="441"/>
      <c r="R1849" s="440"/>
    </row>
    <row r="1850" spans="1:18" s="439" customFormat="1">
      <c r="A1850" s="443" t="s">
        <v>318</v>
      </c>
      <c r="B1850" s="444" t="s">
        <v>872</v>
      </c>
      <c r="C1850" s="444" t="s">
        <v>330</v>
      </c>
      <c r="D1850" s="443" t="s">
        <v>873</v>
      </c>
      <c r="E1850" s="444">
        <v>201610</v>
      </c>
      <c r="F1850" s="445">
        <v>27.19</v>
      </c>
      <c r="G1850" s="443">
        <v>6.5</v>
      </c>
      <c r="H1850" s="446">
        <v>1.3083000000000001E-3</v>
      </c>
      <c r="I1850" s="445">
        <v>0.23</v>
      </c>
      <c r="J1850" s="448">
        <v>0.43</v>
      </c>
      <c r="N1850" s="441"/>
      <c r="O1850" s="441"/>
      <c r="R1850" s="440"/>
    </row>
    <row r="1851" spans="1:18" s="439" customFormat="1">
      <c r="A1851" s="443" t="s">
        <v>318</v>
      </c>
      <c r="B1851" s="444" t="s">
        <v>872</v>
      </c>
      <c r="C1851" s="442" t="s">
        <v>330</v>
      </c>
      <c r="D1851" s="443" t="s">
        <v>873</v>
      </c>
      <c r="E1851" s="444">
        <v>201610</v>
      </c>
      <c r="F1851" s="445">
        <v>1.37</v>
      </c>
      <c r="G1851" s="443">
        <v>6.5</v>
      </c>
      <c r="H1851" s="446">
        <v>1.3083000000000001E-3</v>
      </c>
      <c r="I1851" s="445">
        <v>0.01</v>
      </c>
      <c r="J1851" s="448">
        <v>0.02</v>
      </c>
      <c r="N1851" s="441"/>
      <c r="O1851" s="441"/>
      <c r="R1851" s="440"/>
    </row>
    <row r="1852" spans="1:18" s="439" customFormat="1">
      <c r="A1852" s="443" t="s">
        <v>318</v>
      </c>
      <c r="B1852" s="444" t="s">
        <v>977</v>
      </c>
      <c r="C1852" s="444" t="s">
        <v>330</v>
      </c>
      <c r="D1852" s="443" t="s">
        <v>978</v>
      </c>
      <c r="E1852" s="444">
        <v>201610</v>
      </c>
      <c r="F1852" s="445">
        <v>382</v>
      </c>
      <c r="G1852" s="443">
        <v>6.5</v>
      </c>
      <c r="H1852" s="446">
        <v>1.3083000000000001E-3</v>
      </c>
      <c r="I1852" s="445">
        <v>3.25</v>
      </c>
      <c r="J1852" s="448">
        <v>6</v>
      </c>
      <c r="N1852" s="441"/>
      <c r="O1852" s="441"/>
      <c r="R1852" s="440"/>
    </row>
    <row r="1853" spans="1:18" s="439" customFormat="1">
      <c r="A1853" s="443" t="s">
        <v>318</v>
      </c>
      <c r="B1853" s="444" t="s">
        <v>977</v>
      </c>
      <c r="C1853" s="444" t="s">
        <v>330</v>
      </c>
      <c r="D1853" s="443" t="s">
        <v>978</v>
      </c>
      <c r="E1853" s="444">
        <v>201610</v>
      </c>
      <c r="F1853" s="445">
        <v>24.24</v>
      </c>
      <c r="G1853" s="443">
        <v>6.5</v>
      </c>
      <c r="H1853" s="446">
        <v>1.3083000000000001E-3</v>
      </c>
      <c r="I1853" s="445">
        <v>0.21</v>
      </c>
      <c r="J1853" s="448">
        <v>0.38</v>
      </c>
      <c r="N1853" s="441"/>
      <c r="O1853" s="441"/>
      <c r="R1853" s="440"/>
    </row>
    <row r="1854" spans="1:18" s="439" customFormat="1">
      <c r="A1854" s="443" t="s">
        <v>318</v>
      </c>
      <c r="B1854" s="444" t="s">
        <v>826</v>
      </c>
      <c r="C1854" s="444" t="s">
        <v>330</v>
      </c>
      <c r="D1854" s="443" t="s">
        <v>827</v>
      </c>
      <c r="E1854" s="444">
        <v>201610</v>
      </c>
      <c r="F1854" s="445">
        <v>202.19</v>
      </c>
      <c r="G1854" s="443">
        <v>6.5</v>
      </c>
      <c r="H1854" s="446">
        <v>1.3083000000000001E-3</v>
      </c>
      <c r="I1854" s="445">
        <v>1.72</v>
      </c>
      <c r="J1854" s="448">
        <v>3.17</v>
      </c>
      <c r="N1854" s="441"/>
      <c r="O1854" s="441"/>
      <c r="R1854" s="440"/>
    </row>
    <row r="1855" spans="1:18" s="439" customFormat="1">
      <c r="A1855" s="443" t="s">
        <v>318</v>
      </c>
      <c r="B1855" s="444" t="s">
        <v>826</v>
      </c>
      <c r="C1855" s="444" t="s">
        <v>330</v>
      </c>
      <c r="D1855" s="443" t="s">
        <v>827</v>
      </c>
      <c r="E1855" s="444">
        <v>201610</v>
      </c>
      <c r="F1855" s="445">
        <v>1.1299999999999999</v>
      </c>
      <c r="G1855" s="443">
        <v>6.5</v>
      </c>
      <c r="H1855" s="446">
        <v>1.3083000000000001E-3</v>
      </c>
      <c r="I1855" s="445">
        <v>0.01</v>
      </c>
      <c r="J1855" s="448">
        <v>0.02</v>
      </c>
      <c r="N1855" s="441"/>
      <c r="O1855" s="441"/>
      <c r="R1855" s="440"/>
    </row>
    <row r="1856" spans="1:18" s="439" customFormat="1">
      <c r="A1856" s="443" t="s">
        <v>318</v>
      </c>
      <c r="B1856" s="444" t="s">
        <v>1041</v>
      </c>
      <c r="C1856" s="444" t="s">
        <v>330</v>
      </c>
      <c r="D1856" s="443" t="s">
        <v>1042</v>
      </c>
      <c r="E1856" s="444">
        <v>201610</v>
      </c>
      <c r="F1856" s="445">
        <v>-110.54</v>
      </c>
      <c r="G1856" s="443">
        <v>6.5</v>
      </c>
      <c r="H1856" s="446">
        <v>1.3083000000000001E-3</v>
      </c>
      <c r="I1856" s="445">
        <v>-0.94</v>
      </c>
      <c r="J1856" s="448">
        <v>-1.74</v>
      </c>
      <c r="N1856" s="441"/>
      <c r="O1856" s="441"/>
      <c r="R1856" s="440"/>
    </row>
    <row r="1857" spans="1:18" s="439" customFormat="1">
      <c r="A1857" s="443" t="s">
        <v>318</v>
      </c>
      <c r="B1857" s="444" t="s">
        <v>1041</v>
      </c>
      <c r="C1857" s="444" t="s">
        <v>330</v>
      </c>
      <c r="D1857" s="443" t="s">
        <v>1042</v>
      </c>
      <c r="E1857" s="444">
        <v>201610</v>
      </c>
      <c r="F1857" s="445">
        <v>-1479.05</v>
      </c>
      <c r="G1857" s="443">
        <v>6.5</v>
      </c>
      <c r="H1857" s="446">
        <v>1.3083000000000001E-3</v>
      </c>
      <c r="I1857" s="445">
        <v>-12.58</v>
      </c>
      <c r="J1857" s="448">
        <v>-23.22</v>
      </c>
      <c r="N1857" s="441"/>
      <c r="O1857" s="441"/>
      <c r="R1857" s="440"/>
    </row>
    <row r="1858" spans="1:18" s="439" customFormat="1">
      <c r="A1858" s="443" t="s">
        <v>318</v>
      </c>
      <c r="B1858" s="444" t="s">
        <v>979</v>
      </c>
      <c r="C1858" s="444" t="s">
        <v>330</v>
      </c>
      <c r="D1858" s="443" t="s">
        <v>980</v>
      </c>
      <c r="E1858" s="444">
        <v>201610</v>
      </c>
      <c r="F1858" s="445">
        <v>2.99</v>
      </c>
      <c r="G1858" s="443">
        <v>6.5</v>
      </c>
      <c r="H1858" s="446">
        <v>1.3083000000000001E-3</v>
      </c>
      <c r="I1858" s="445">
        <v>0.03</v>
      </c>
      <c r="J1858" s="448">
        <v>0.05</v>
      </c>
      <c r="N1858" s="441"/>
      <c r="O1858" s="441"/>
      <c r="R1858" s="440"/>
    </row>
    <row r="1859" spans="1:18" s="439" customFormat="1">
      <c r="A1859" s="443" t="s">
        <v>318</v>
      </c>
      <c r="B1859" s="444" t="s">
        <v>979</v>
      </c>
      <c r="C1859" s="444" t="s">
        <v>330</v>
      </c>
      <c r="D1859" s="443" t="s">
        <v>980</v>
      </c>
      <c r="E1859" s="444">
        <v>201610</v>
      </c>
      <c r="F1859" s="445">
        <v>60.83</v>
      </c>
      <c r="G1859" s="443">
        <v>6.5</v>
      </c>
      <c r="H1859" s="446">
        <v>1.3083000000000001E-3</v>
      </c>
      <c r="I1859" s="445">
        <v>0.52</v>
      </c>
      <c r="J1859" s="448">
        <v>0.96</v>
      </c>
      <c r="N1859" s="441"/>
      <c r="O1859" s="441"/>
      <c r="R1859" s="440"/>
    </row>
    <row r="1860" spans="1:18" s="439" customFormat="1">
      <c r="A1860" s="443" t="s">
        <v>318</v>
      </c>
      <c r="B1860" s="444" t="s">
        <v>981</v>
      </c>
      <c r="C1860" s="444" t="s">
        <v>330</v>
      </c>
      <c r="D1860" s="443" t="s">
        <v>1014</v>
      </c>
      <c r="E1860" s="444">
        <v>201610</v>
      </c>
      <c r="F1860" s="445">
        <v>10.11</v>
      </c>
      <c r="G1860" s="443">
        <v>6.5</v>
      </c>
      <c r="H1860" s="446">
        <v>1.3083000000000001E-3</v>
      </c>
      <c r="I1860" s="445">
        <v>0.09</v>
      </c>
      <c r="J1860" s="448">
        <v>0.16</v>
      </c>
      <c r="N1860" s="441"/>
      <c r="O1860" s="441"/>
      <c r="R1860" s="440"/>
    </row>
    <row r="1861" spans="1:18" s="439" customFormat="1">
      <c r="A1861" s="443" t="s">
        <v>318</v>
      </c>
      <c r="B1861" s="444" t="s">
        <v>981</v>
      </c>
      <c r="C1861" s="444" t="s">
        <v>330</v>
      </c>
      <c r="D1861" s="443" t="s">
        <v>1014</v>
      </c>
      <c r="E1861" s="444">
        <v>201610</v>
      </c>
      <c r="F1861" s="445">
        <v>55.33</v>
      </c>
      <c r="G1861" s="443">
        <v>6.5</v>
      </c>
      <c r="H1861" s="446">
        <v>1.3083000000000001E-3</v>
      </c>
      <c r="I1861" s="445">
        <v>0.47</v>
      </c>
      <c r="J1861" s="448">
        <v>0.87</v>
      </c>
      <c r="N1861" s="441"/>
      <c r="O1861" s="441"/>
      <c r="R1861" s="440"/>
    </row>
    <row r="1862" spans="1:18" s="439" customFormat="1">
      <c r="A1862" s="443" t="s">
        <v>318</v>
      </c>
      <c r="B1862" s="444" t="s">
        <v>981</v>
      </c>
      <c r="C1862" s="444" t="s">
        <v>330</v>
      </c>
      <c r="D1862" s="443" t="s">
        <v>1014</v>
      </c>
      <c r="E1862" s="444">
        <v>201610</v>
      </c>
      <c r="F1862" s="445">
        <v>1092.6500000000001</v>
      </c>
      <c r="G1862" s="443">
        <v>6.5</v>
      </c>
      <c r="H1862" s="446">
        <v>1.3083000000000001E-3</v>
      </c>
      <c r="I1862" s="445">
        <v>9.2899999999999991</v>
      </c>
      <c r="J1862" s="448">
        <v>17.149999999999999</v>
      </c>
      <c r="N1862" s="441"/>
      <c r="O1862" s="441"/>
      <c r="R1862" s="440"/>
    </row>
    <row r="1863" spans="1:18" s="439" customFormat="1">
      <c r="A1863" s="443" t="s">
        <v>318</v>
      </c>
      <c r="B1863" s="444" t="s">
        <v>983</v>
      </c>
      <c r="C1863" s="444" t="s">
        <v>330</v>
      </c>
      <c r="D1863" s="443" t="s">
        <v>984</v>
      </c>
      <c r="E1863" s="444">
        <v>201610</v>
      </c>
      <c r="F1863" s="445">
        <v>50.19</v>
      </c>
      <c r="G1863" s="443">
        <v>6.5</v>
      </c>
      <c r="H1863" s="446">
        <v>1.3083000000000001E-3</v>
      </c>
      <c r="I1863" s="445">
        <v>0.43</v>
      </c>
      <c r="J1863" s="448">
        <v>0.79</v>
      </c>
      <c r="N1863" s="441"/>
      <c r="O1863" s="441"/>
      <c r="R1863" s="440"/>
    </row>
    <row r="1864" spans="1:18" s="439" customFormat="1">
      <c r="A1864" s="443" t="s">
        <v>318</v>
      </c>
      <c r="B1864" s="444" t="s">
        <v>983</v>
      </c>
      <c r="C1864" s="444" t="s">
        <v>330</v>
      </c>
      <c r="D1864" s="443" t="s">
        <v>984</v>
      </c>
      <c r="E1864" s="444">
        <v>201610</v>
      </c>
      <c r="F1864" s="445">
        <v>1.78</v>
      </c>
      <c r="G1864" s="443">
        <v>6.5</v>
      </c>
      <c r="H1864" s="446">
        <v>1.3083000000000001E-3</v>
      </c>
      <c r="I1864" s="445">
        <v>0.02</v>
      </c>
      <c r="J1864" s="448">
        <v>0.03</v>
      </c>
      <c r="N1864" s="441"/>
      <c r="O1864" s="441"/>
      <c r="R1864" s="440"/>
    </row>
    <row r="1865" spans="1:18" s="439" customFormat="1">
      <c r="A1865" s="443" t="s">
        <v>318</v>
      </c>
      <c r="B1865" s="444" t="s">
        <v>1043</v>
      </c>
      <c r="C1865" s="444" t="s">
        <v>330</v>
      </c>
      <c r="D1865" s="443" t="s">
        <v>1044</v>
      </c>
      <c r="E1865" s="444">
        <v>201610</v>
      </c>
      <c r="F1865" s="445">
        <v>-2068.0500000000002</v>
      </c>
      <c r="G1865" s="443">
        <v>6.5</v>
      </c>
      <c r="H1865" s="446">
        <v>1.3083000000000001E-3</v>
      </c>
      <c r="I1865" s="445">
        <v>-17.59</v>
      </c>
      <c r="J1865" s="448">
        <v>-32.47</v>
      </c>
      <c r="N1865" s="441"/>
      <c r="O1865" s="441"/>
      <c r="R1865" s="440"/>
    </row>
    <row r="1866" spans="1:18" s="439" customFormat="1">
      <c r="A1866" s="443" t="s">
        <v>318</v>
      </c>
      <c r="B1866" s="444" t="s">
        <v>1043</v>
      </c>
      <c r="C1866" s="444" t="s">
        <v>330</v>
      </c>
      <c r="D1866" s="443" t="s">
        <v>1044</v>
      </c>
      <c r="E1866" s="444">
        <v>201610</v>
      </c>
      <c r="F1866" s="445">
        <v>-112.63</v>
      </c>
      <c r="G1866" s="443">
        <v>6.5</v>
      </c>
      <c r="H1866" s="446">
        <v>1.3083000000000001E-3</v>
      </c>
      <c r="I1866" s="445">
        <v>-0.96</v>
      </c>
      <c r="J1866" s="448">
        <v>-1.77</v>
      </c>
      <c r="N1866" s="441"/>
      <c r="O1866" s="441"/>
      <c r="R1866" s="440"/>
    </row>
    <row r="1867" spans="1:18" s="439" customFormat="1">
      <c r="A1867" s="443" t="s">
        <v>318</v>
      </c>
      <c r="B1867" s="444" t="s">
        <v>876</v>
      </c>
      <c r="C1867" s="444" t="s">
        <v>330</v>
      </c>
      <c r="D1867" s="443" t="s">
        <v>877</v>
      </c>
      <c r="E1867" s="444">
        <v>201610</v>
      </c>
      <c r="F1867" s="445">
        <v>64.59</v>
      </c>
      <c r="G1867" s="443">
        <v>6.5</v>
      </c>
      <c r="H1867" s="446">
        <v>1.3083000000000001E-3</v>
      </c>
      <c r="I1867" s="445">
        <v>0.55000000000000004</v>
      </c>
      <c r="J1867" s="448">
        <v>1.01</v>
      </c>
      <c r="N1867" s="441"/>
      <c r="O1867" s="441"/>
      <c r="R1867" s="440"/>
    </row>
    <row r="1868" spans="1:18" s="439" customFormat="1">
      <c r="A1868" s="443" t="s">
        <v>318</v>
      </c>
      <c r="B1868" s="444" t="s">
        <v>876</v>
      </c>
      <c r="C1868" s="444" t="s">
        <v>330</v>
      </c>
      <c r="D1868" s="443" t="s">
        <v>877</v>
      </c>
      <c r="E1868" s="444">
        <v>201610</v>
      </c>
      <c r="F1868" s="445">
        <v>1144.29</v>
      </c>
      <c r="G1868" s="443">
        <v>6.5</v>
      </c>
      <c r="H1868" s="446">
        <v>1.3083000000000001E-3</v>
      </c>
      <c r="I1868" s="445">
        <v>9.73</v>
      </c>
      <c r="J1868" s="448">
        <v>17.96</v>
      </c>
      <c r="N1868" s="441"/>
      <c r="O1868" s="441"/>
      <c r="R1868" s="440"/>
    </row>
    <row r="1869" spans="1:18" s="439" customFormat="1">
      <c r="A1869" s="443" t="s">
        <v>318</v>
      </c>
      <c r="B1869" s="444" t="s">
        <v>1045</v>
      </c>
      <c r="C1869" s="444" t="s">
        <v>330</v>
      </c>
      <c r="D1869" s="443" t="s">
        <v>1046</v>
      </c>
      <c r="E1869" s="444">
        <v>201610</v>
      </c>
      <c r="F1869" s="445">
        <v>-42.39</v>
      </c>
      <c r="G1869" s="443">
        <v>6.5</v>
      </c>
      <c r="H1869" s="446">
        <v>1.3083000000000001E-3</v>
      </c>
      <c r="I1869" s="445">
        <v>-0.36</v>
      </c>
      <c r="J1869" s="448">
        <v>-0.67</v>
      </c>
      <c r="N1869" s="441"/>
      <c r="O1869" s="441"/>
      <c r="R1869" s="440"/>
    </row>
    <row r="1870" spans="1:18" s="439" customFormat="1">
      <c r="A1870" s="443" t="s">
        <v>318</v>
      </c>
      <c r="B1870" s="444" t="s">
        <v>1045</v>
      </c>
      <c r="C1870" s="444" t="s">
        <v>330</v>
      </c>
      <c r="D1870" s="443" t="s">
        <v>1046</v>
      </c>
      <c r="E1870" s="444">
        <v>201610</v>
      </c>
      <c r="F1870" s="445">
        <v>-757.13</v>
      </c>
      <c r="G1870" s="443">
        <v>6.5</v>
      </c>
      <c r="H1870" s="446">
        <v>1.3083000000000001E-3</v>
      </c>
      <c r="I1870" s="445">
        <v>-6.44</v>
      </c>
      <c r="J1870" s="448">
        <v>-11.89</v>
      </c>
      <c r="N1870" s="441"/>
      <c r="O1870" s="441"/>
      <c r="R1870" s="440"/>
    </row>
    <row r="1871" spans="1:18" s="439" customFormat="1">
      <c r="A1871" s="443" t="s">
        <v>318</v>
      </c>
      <c r="B1871" s="444" t="s">
        <v>878</v>
      </c>
      <c r="C1871" s="444" t="s">
        <v>330</v>
      </c>
      <c r="D1871" s="443" t="s">
        <v>879</v>
      </c>
      <c r="E1871" s="444">
        <v>201610</v>
      </c>
      <c r="F1871" s="445">
        <v>230.51</v>
      </c>
      <c r="G1871" s="443">
        <v>6.5</v>
      </c>
      <c r="H1871" s="446">
        <v>1.3083000000000001E-3</v>
      </c>
      <c r="I1871" s="445">
        <v>1.96</v>
      </c>
      <c r="J1871" s="448">
        <v>3.62</v>
      </c>
      <c r="N1871" s="441"/>
      <c r="O1871" s="441"/>
      <c r="R1871" s="440"/>
    </row>
    <row r="1872" spans="1:18" s="439" customFormat="1">
      <c r="A1872" s="443" t="s">
        <v>318</v>
      </c>
      <c r="B1872" s="444" t="s">
        <v>878</v>
      </c>
      <c r="C1872" s="444" t="s">
        <v>330</v>
      </c>
      <c r="D1872" s="443" t="s">
        <v>879</v>
      </c>
      <c r="E1872" s="444">
        <v>201610</v>
      </c>
      <c r="F1872" s="445">
        <v>11.43</v>
      </c>
      <c r="G1872" s="443">
        <v>6.5</v>
      </c>
      <c r="H1872" s="446">
        <v>1.3083000000000001E-3</v>
      </c>
      <c r="I1872" s="445">
        <v>0.1</v>
      </c>
      <c r="J1872" s="448">
        <v>0.18</v>
      </c>
      <c r="N1872" s="441"/>
      <c r="O1872" s="441"/>
      <c r="R1872" s="440"/>
    </row>
    <row r="1873" spans="1:18" s="439" customFormat="1">
      <c r="A1873" s="443" t="s">
        <v>318</v>
      </c>
      <c r="B1873" s="444" t="s">
        <v>987</v>
      </c>
      <c r="C1873" s="444" t="s">
        <v>330</v>
      </c>
      <c r="D1873" s="443" t="s">
        <v>988</v>
      </c>
      <c r="E1873" s="444">
        <v>201610</v>
      </c>
      <c r="F1873" s="445">
        <v>93.2</v>
      </c>
      <c r="G1873" s="443">
        <v>6.5</v>
      </c>
      <c r="H1873" s="446">
        <v>1.3083000000000001E-3</v>
      </c>
      <c r="I1873" s="445">
        <v>0.79</v>
      </c>
      <c r="J1873" s="448">
        <v>1.46</v>
      </c>
      <c r="N1873" s="441"/>
      <c r="O1873" s="441"/>
      <c r="R1873" s="440"/>
    </row>
    <row r="1874" spans="1:18" s="439" customFormat="1">
      <c r="A1874" s="443" t="s">
        <v>318</v>
      </c>
      <c r="B1874" s="444" t="s">
        <v>987</v>
      </c>
      <c r="C1874" s="444" t="s">
        <v>330</v>
      </c>
      <c r="D1874" s="443" t="s">
        <v>988</v>
      </c>
      <c r="E1874" s="444">
        <v>201610</v>
      </c>
      <c r="F1874" s="445">
        <v>2217.5500000000002</v>
      </c>
      <c r="G1874" s="443">
        <v>6.5</v>
      </c>
      <c r="H1874" s="446">
        <v>1.3083000000000001E-3</v>
      </c>
      <c r="I1874" s="445">
        <v>18.86</v>
      </c>
      <c r="J1874" s="448">
        <v>34.81</v>
      </c>
      <c r="N1874" s="441"/>
      <c r="O1874" s="441"/>
      <c r="R1874" s="440"/>
    </row>
    <row r="1875" spans="1:18" s="439" customFormat="1">
      <c r="A1875" s="443" t="s">
        <v>318</v>
      </c>
      <c r="B1875" s="444" t="s">
        <v>880</v>
      </c>
      <c r="C1875" s="444" t="s">
        <v>330</v>
      </c>
      <c r="D1875" s="443" t="s">
        <v>881</v>
      </c>
      <c r="E1875" s="444">
        <v>201610</v>
      </c>
      <c r="F1875" s="445">
        <v>2056.7199999999998</v>
      </c>
      <c r="G1875" s="443">
        <v>6.5</v>
      </c>
      <c r="H1875" s="446">
        <v>1.3083000000000001E-3</v>
      </c>
      <c r="I1875" s="445">
        <v>17.489999999999998</v>
      </c>
      <c r="J1875" s="448">
        <v>32.29</v>
      </c>
      <c r="N1875" s="441"/>
      <c r="O1875" s="441"/>
      <c r="R1875" s="440"/>
    </row>
    <row r="1876" spans="1:18" s="439" customFormat="1">
      <c r="A1876" s="443" t="s">
        <v>318</v>
      </c>
      <c r="B1876" s="444" t="s">
        <v>880</v>
      </c>
      <c r="C1876" s="444" t="s">
        <v>330</v>
      </c>
      <c r="D1876" s="443" t="s">
        <v>881</v>
      </c>
      <c r="E1876" s="444">
        <v>201610</v>
      </c>
      <c r="F1876" s="445">
        <v>104.92</v>
      </c>
      <c r="G1876" s="443">
        <v>6.5</v>
      </c>
      <c r="H1876" s="446">
        <v>1.3083000000000001E-3</v>
      </c>
      <c r="I1876" s="445">
        <v>0.89</v>
      </c>
      <c r="J1876" s="448">
        <v>1.65</v>
      </c>
      <c r="N1876" s="441"/>
      <c r="O1876" s="441"/>
      <c r="R1876" s="440"/>
    </row>
    <row r="1877" spans="1:18" s="439" customFormat="1">
      <c r="A1877" s="443" t="s">
        <v>318</v>
      </c>
      <c r="B1877" s="444" t="s">
        <v>993</v>
      </c>
      <c r="C1877" s="444" t="s">
        <v>330</v>
      </c>
      <c r="D1877" s="443" t="s">
        <v>994</v>
      </c>
      <c r="E1877" s="444">
        <v>201610</v>
      </c>
      <c r="F1877" s="445">
        <v>17.489999999999998</v>
      </c>
      <c r="G1877" s="443">
        <v>6.5</v>
      </c>
      <c r="H1877" s="446">
        <v>1.3083000000000001E-3</v>
      </c>
      <c r="I1877" s="445">
        <v>0.15</v>
      </c>
      <c r="J1877" s="448">
        <v>0.27</v>
      </c>
      <c r="N1877" s="441"/>
      <c r="O1877" s="441"/>
      <c r="R1877" s="440"/>
    </row>
    <row r="1878" spans="1:18" s="439" customFormat="1">
      <c r="A1878" s="443" t="s">
        <v>318</v>
      </c>
      <c r="B1878" s="444" t="s">
        <v>993</v>
      </c>
      <c r="C1878" s="444" t="s">
        <v>330</v>
      </c>
      <c r="D1878" s="443" t="s">
        <v>994</v>
      </c>
      <c r="E1878" s="444">
        <v>201610</v>
      </c>
      <c r="F1878" s="445">
        <v>0.87</v>
      </c>
      <c r="G1878" s="443">
        <v>6.5</v>
      </c>
      <c r="H1878" s="446">
        <v>1.3083000000000001E-3</v>
      </c>
      <c r="I1878" s="445">
        <v>0.01</v>
      </c>
      <c r="J1878" s="448">
        <v>0.01</v>
      </c>
      <c r="N1878" s="441"/>
      <c r="O1878" s="441"/>
      <c r="R1878" s="440"/>
    </row>
    <row r="1879" spans="1:18" s="439" customFormat="1">
      <c r="A1879" s="443" t="s">
        <v>318</v>
      </c>
      <c r="B1879" s="444" t="s">
        <v>996</v>
      </c>
      <c r="C1879" s="444" t="s">
        <v>330</v>
      </c>
      <c r="D1879" s="443" t="s">
        <v>997</v>
      </c>
      <c r="E1879" s="444">
        <v>201610</v>
      </c>
      <c r="F1879" s="445">
        <v>4725.3999999999996</v>
      </c>
      <c r="G1879" s="443">
        <v>6.5</v>
      </c>
      <c r="H1879" s="446">
        <v>1.3083000000000001E-3</v>
      </c>
      <c r="I1879" s="445">
        <v>40.18</v>
      </c>
      <c r="J1879" s="448">
        <v>74.19</v>
      </c>
      <c r="N1879" s="441"/>
      <c r="O1879" s="441"/>
      <c r="R1879" s="440"/>
    </row>
    <row r="1880" spans="1:18" s="439" customFormat="1">
      <c r="A1880" s="443" t="s">
        <v>318</v>
      </c>
      <c r="B1880" s="444" t="s">
        <v>996</v>
      </c>
      <c r="C1880" s="444" t="s">
        <v>330</v>
      </c>
      <c r="D1880" s="443" t="s">
        <v>997</v>
      </c>
      <c r="E1880" s="444">
        <v>201610</v>
      </c>
      <c r="F1880" s="445">
        <v>170.5</v>
      </c>
      <c r="G1880" s="443">
        <v>6.5</v>
      </c>
      <c r="H1880" s="446">
        <v>1.3083000000000001E-3</v>
      </c>
      <c r="I1880" s="445">
        <v>1.45</v>
      </c>
      <c r="J1880" s="448">
        <v>2.68</v>
      </c>
      <c r="N1880" s="441"/>
      <c r="O1880" s="441"/>
      <c r="R1880" s="440"/>
    </row>
    <row r="1881" spans="1:18" s="439" customFormat="1">
      <c r="A1881" s="443" t="s">
        <v>318</v>
      </c>
      <c r="B1881" s="444" t="s">
        <v>1047</v>
      </c>
      <c r="C1881" s="444" t="s">
        <v>329</v>
      </c>
      <c r="D1881" s="443" t="s">
        <v>1048</v>
      </c>
      <c r="E1881" s="444">
        <v>201610</v>
      </c>
      <c r="F1881" s="445">
        <v>9281</v>
      </c>
      <c r="G1881" s="443">
        <v>6.5</v>
      </c>
      <c r="H1881" s="446">
        <v>1.3083000000000001E-3</v>
      </c>
      <c r="I1881" s="445">
        <v>78.930000000000007</v>
      </c>
      <c r="J1881" s="448">
        <v>145.71</v>
      </c>
      <c r="N1881" s="441"/>
      <c r="O1881" s="441"/>
      <c r="R1881" s="440"/>
    </row>
    <row r="1882" spans="1:18" s="439" customFormat="1">
      <c r="A1882" s="443" t="s">
        <v>318</v>
      </c>
      <c r="B1882" s="444" t="s">
        <v>1047</v>
      </c>
      <c r="C1882" s="444" t="s">
        <v>329</v>
      </c>
      <c r="D1882" s="443" t="s">
        <v>1048</v>
      </c>
      <c r="E1882" s="444">
        <v>201610</v>
      </c>
      <c r="F1882" s="445">
        <v>2931.99</v>
      </c>
      <c r="G1882" s="443">
        <v>6.5</v>
      </c>
      <c r="H1882" s="446">
        <v>1.3083000000000001E-3</v>
      </c>
      <c r="I1882" s="445">
        <v>24.93</v>
      </c>
      <c r="J1882" s="448">
        <v>46.03</v>
      </c>
      <c r="N1882" s="441"/>
      <c r="O1882" s="441"/>
      <c r="R1882" s="440"/>
    </row>
    <row r="1883" spans="1:18" s="439" customFormat="1">
      <c r="A1883" s="443" t="s">
        <v>318</v>
      </c>
      <c r="B1883" s="444" t="s">
        <v>887</v>
      </c>
      <c r="C1883" s="442" t="s">
        <v>330</v>
      </c>
      <c r="D1883" s="443" t="s">
        <v>888</v>
      </c>
      <c r="E1883" s="444">
        <v>201610</v>
      </c>
      <c r="F1883" s="445">
        <v>633.04</v>
      </c>
      <c r="G1883" s="443">
        <v>6.5</v>
      </c>
      <c r="H1883" s="446">
        <v>1.3083000000000001E-3</v>
      </c>
      <c r="I1883" s="445">
        <v>5.38</v>
      </c>
      <c r="J1883" s="448">
        <v>9.94</v>
      </c>
      <c r="N1883" s="441"/>
      <c r="O1883" s="441"/>
      <c r="R1883" s="440"/>
    </row>
    <row r="1884" spans="1:18" s="439" customFormat="1">
      <c r="A1884" s="443" t="s">
        <v>318</v>
      </c>
      <c r="B1884" s="444" t="s">
        <v>887</v>
      </c>
      <c r="C1884" s="442" t="s">
        <v>330</v>
      </c>
      <c r="D1884" s="443" t="s">
        <v>888</v>
      </c>
      <c r="E1884" s="444">
        <v>201610</v>
      </c>
      <c r="F1884" s="445">
        <v>-295.39999999999998</v>
      </c>
      <c r="G1884" s="443">
        <v>6.5</v>
      </c>
      <c r="H1884" s="446">
        <v>1.3083000000000001E-3</v>
      </c>
      <c r="I1884" s="445">
        <v>-2.5099999999999998</v>
      </c>
      <c r="J1884" s="448">
        <v>-4.6399999999999997</v>
      </c>
      <c r="N1884" s="441"/>
      <c r="O1884" s="441"/>
      <c r="R1884" s="440"/>
    </row>
    <row r="1885" spans="1:18" s="439" customFormat="1">
      <c r="A1885" s="443" t="s">
        <v>322</v>
      </c>
      <c r="B1885" s="444" t="s">
        <v>836</v>
      </c>
      <c r="C1885" s="442" t="s">
        <v>330</v>
      </c>
      <c r="D1885" s="443" t="s">
        <v>837</v>
      </c>
      <c r="E1885" s="444">
        <v>201610</v>
      </c>
      <c r="F1885" s="445">
        <v>1234.22</v>
      </c>
      <c r="G1885" s="443">
        <v>6.5</v>
      </c>
      <c r="H1885" s="446">
        <v>1.1999999999999999E-3</v>
      </c>
      <c r="I1885" s="445">
        <v>9.6300000000000008</v>
      </c>
      <c r="J1885" s="448">
        <v>17.77</v>
      </c>
      <c r="N1885" s="441"/>
      <c r="O1885" s="441"/>
      <c r="R1885" s="440"/>
    </row>
    <row r="1886" spans="1:18" s="439" customFormat="1">
      <c r="A1886" s="443" t="s">
        <v>322</v>
      </c>
      <c r="B1886" s="444" t="s">
        <v>836</v>
      </c>
      <c r="C1886" s="442" t="s">
        <v>330</v>
      </c>
      <c r="D1886" s="443" t="s">
        <v>837</v>
      </c>
      <c r="E1886" s="444">
        <v>201610</v>
      </c>
      <c r="F1886" s="445">
        <v>14.89</v>
      </c>
      <c r="G1886" s="443">
        <v>6.5</v>
      </c>
      <c r="H1886" s="446">
        <v>1.1999999999999999E-3</v>
      </c>
      <c r="I1886" s="445">
        <v>0.12</v>
      </c>
      <c r="J1886" s="448">
        <v>0.21</v>
      </c>
      <c r="N1886" s="441"/>
      <c r="O1886" s="441"/>
      <c r="R1886" s="440"/>
    </row>
    <row r="1887" spans="1:18" s="439" customFormat="1">
      <c r="A1887" s="443" t="s">
        <v>318</v>
      </c>
      <c r="B1887" s="444" t="s">
        <v>1071</v>
      </c>
      <c r="C1887" s="442" t="s">
        <v>330</v>
      </c>
      <c r="D1887" s="443" t="s">
        <v>1072</v>
      </c>
      <c r="E1887" s="444">
        <v>201610</v>
      </c>
      <c r="F1887" s="445">
        <v>47434.62</v>
      </c>
      <c r="G1887" s="443">
        <v>6.5</v>
      </c>
      <c r="H1887" s="446">
        <v>1.3083000000000001E-3</v>
      </c>
      <c r="I1887" s="445">
        <v>403.38</v>
      </c>
      <c r="J1887" s="448">
        <v>744.7</v>
      </c>
      <c r="N1887" s="441"/>
      <c r="O1887" s="441"/>
      <c r="R1887" s="440"/>
    </row>
    <row r="1888" spans="1:18" s="439" customFormat="1">
      <c r="A1888" s="443" t="s">
        <v>318</v>
      </c>
      <c r="B1888" s="444" t="s">
        <v>1006</v>
      </c>
      <c r="C1888" s="442" t="s">
        <v>414</v>
      </c>
      <c r="D1888" s="443" t="s">
        <v>1007</v>
      </c>
      <c r="E1888" s="444">
        <v>201610</v>
      </c>
      <c r="F1888" s="445">
        <v>7.17</v>
      </c>
      <c r="G1888" s="443">
        <v>6.5</v>
      </c>
      <c r="H1888" s="446">
        <v>1.3083000000000001E-3</v>
      </c>
      <c r="I1888" s="445">
        <v>0.06</v>
      </c>
      <c r="J1888" s="448">
        <v>0.11</v>
      </c>
      <c r="N1888" s="441"/>
      <c r="O1888" s="441"/>
      <c r="R1888" s="440"/>
    </row>
    <row r="1889" spans="1:18" s="439" customFormat="1">
      <c r="A1889" s="443" t="s">
        <v>318</v>
      </c>
      <c r="B1889" s="444" t="s">
        <v>1006</v>
      </c>
      <c r="C1889" s="442" t="s">
        <v>414</v>
      </c>
      <c r="D1889" s="443" t="s">
        <v>1007</v>
      </c>
      <c r="E1889" s="444">
        <v>201610</v>
      </c>
      <c r="F1889" s="445">
        <v>505.83</v>
      </c>
      <c r="G1889" s="443">
        <v>6.5</v>
      </c>
      <c r="H1889" s="446">
        <v>1.3083000000000001E-3</v>
      </c>
      <c r="I1889" s="445">
        <v>4.3</v>
      </c>
      <c r="J1889" s="448">
        <v>7.94</v>
      </c>
      <c r="N1889" s="441"/>
      <c r="O1889" s="441"/>
      <c r="R1889" s="440"/>
    </row>
    <row r="1890" spans="1:18" s="439" customFormat="1">
      <c r="A1890" s="443" t="s">
        <v>318</v>
      </c>
      <c r="B1890" s="444" t="s">
        <v>1012</v>
      </c>
      <c r="C1890" s="442" t="s">
        <v>331</v>
      </c>
      <c r="D1890" s="443" t="s">
        <v>1013</v>
      </c>
      <c r="E1890" s="444">
        <v>201610</v>
      </c>
      <c r="F1890" s="445">
        <v>-363.23</v>
      </c>
      <c r="G1890" s="443">
        <v>6.5</v>
      </c>
      <c r="H1890" s="446">
        <v>1.3083000000000001E-3</v>
      </c>
      <c r="I1890" s="445">
        <v>-3.09</v>
      </c>
      <c r="J1890" s="448">
        <v>-5.7</v>
      </c>
      <c r="N1890" s="441"/>
      <c r="O1890" s="441"/>
      <c r="R1890" s="440"/>
    </row>
    <row r="1891" spans="1:18" s="439" customFormat="1">
      <c r="A1891" s="443" t="s">
        <v>318</v>
      </c>
      <c r="B1891" s="444" t="s">
        <v>1012</v>
      </c>
      <c r="C1891" s="442" t="s">
        <v>331</v>
      </c>
      <c r="D1891" s="443" t="s">
        <v>1013</v>
      </c>
      <c r="E1891" s="444">
        <v>201610</v>
      </c>
      <c r="F1891" s="445">
        <v>-27.96</v>
      </c>
      <c r="G1891" s="443">
        <v>6.5</v>
      </c>
      <c r="H1891" s="446">
        <v>1.3083000000000001E-3</v>
      </c>
      <c r="I1891" s="445">
        <v>-0.24</v>
      </c>
      <c r="J1891" s="448">
        <v>-0.44</v>
      </c>
      <c r="N1891" s="441"/>
      <c r="O1891" s="441"/>
      <c r="R1891" s="440"/>
    </row>
    <row r="1892" spans="1:18" s="439" customFormat="1">
      <c r="A1892" s="443" t="s">
        <v>318</v>
      </c>
      <c r="B1892" s="444" t="s">
        <v>1073</v>
      </c>
      <c r="C1892" s="442" t="s">
        <v>331</v>
      </c>
      <c r="D1892" s="443" t="s">
        <v>1074</v>
      </c>
      <c r="E1892" s="444">
        <v>201610</v>
      </c>
      <c r="F1892" s="445">
        <v>2453.48</v>
      </c>
      <c r="G1892" s="443">
        <v>6.5</v>
      </c>
      <c r="H1892" s="446">
        <v>1.3083000000000001E-3</v>
      </c>
      <c r="I1892" s="445">
        <v>20.86</v>
      </c>
      <c r="J1892" s="448">
        <v>38.520000000000003</v>
      </c>
      <c r="N1892" s="441"/>
      <c r="O1892" s="441"/>
      <c r="R1892" s="440"/>
    </row>
    <row r="1893" spans="1:18" s="439" customFormat="1">
      <c r="A1893" s="443" t="s">
        <v>318</v>
      </c>
      <c r="B1893" s="444" t="s">
        <v>1073</v>
      </c>
      <c r="C1893" s="442" t="s">
        <v>331</v>
      </c>
      <c r="D1893" s="443" t="s">
        <v>1074</v>
      </c>
      <c r="E1893" s="444">
        <v>201610</v>
      </c>
      <c r="F1893" s="445">
        <v>25582.639999999999</v>
      </c>
      <c r="G1893" s="443">
        <v>6.5</v>
      </c>
      <c r="H1893" s="446">
        <v>1.3083000000000001E-3</v>
      </c>
      <c r="I1893" s="445">
        <v>217.55</v>
      </c>
      <c r="J1893" s="448">
        <v>401.64</v>
      </c>
      <c r="N1893" s="441"/>
      <c r="O1893" s="441"/>
      <c r="R1893" s="440"/>
    </row>
    <row r="1894" spans="1:18" s="439" customFormat="1">
      <c r="A1894" s="443" t="s">
        <v>318</v>
      </c>
      <c r="B1894" s="444" t="s">
        <v>1075</v>
      </c>
      <c r="C1894" s="442" t="s">
        <v>331</v>
      </c>
      <c r="D1894" s="443" t="s">
        <v>1076</v>
      </c>
      <c r="E1894" s="444">
        <v>201610</v>
      </c>
      <c r="F1894" s="445">
        <v>36314.15</v>
      </c>
      <c r="G1894" s="443">
        <v>6.5</v>
      </c>
      <c r="H1894" s="446">
        <v>1.3083000000000001E-3</v>
      </c>
      <c r="I1894" s="445">
        <v>308.81</v>
      </c>
      <c r="J1894" s="448">
        <v>570.12</v>
      </c>
      <c r="N1894" s="441"/>
      <c r="O1894" s="441"/>
      <c r="R1894" s="440"/>
    </row>
    <row r="1895" spans="1:18" s="439" customFormat="1">
      <c r="A1895" s="443" t="s">
        <v>318</v>
      </c>
      <c r="B1895" s="444" t="s">
        <v>1049</v>
      </c>
      <c r="C1895" s="442" t="s">
        <v>330</v>
      </c>
      <c r="D1895" s="443" t="s">
        <v>1050</v>
      </c>
      <c r="E1895" s="444">
        <v>201610</v>
      </c>
      <c r="F1895" s="445">
        <v>-4903.71</v>
      </c>
      <c r="G1895" s="443">
        <v>6.5</v>
      </c>
      <c r="H1895" s="446">
        <v>1.3083000000000001E-3</v>
      </c>
      <c r="I1895" s="445">
        <v>-41.7</v>
      </c>
      <c r="J1895" s="448">
        <v>-76.989999999999995</v>
      </c>
      <c r="N1895" s="441"/>
      <c r="O1895" s="441"/>
      <c r="R1895" s="440"/>
    </row>
    <row r="1896" spans="1:18" s="439" customFormat="1">
      <c r="A1896" s="443" t="s">
        <v>318</v>
      </c>
      <c r="B1896" s="444" t="s">
        <v>1049</v>
      </c>
      <c r="C1896" s="442" t="s">
        <v>330</v>
      </c>
      <c r="D1896" s="443" t="s">
        <v>1050</v>
      </c>
      <c r="E1896" s="444">
        <v>201610</v>
      </c>
      <c r="F1896" s="445">
        <v>-185.08</v>
      </c>
      <c r="G1896" s="443">
        <v>6.5</v>
      </c>
      <c r="H1896" s="446">
        <v>1.3083000000000001E-3</v>
      </c>
      <c r="I1896" s="445">
        <v>-1.57</v>
      </c>
      <c r="J1896" s="448">
        <v>-2.91</v>
      </c>
      <c r="N1896" s="441"/>
      <c r="O1896" s="441"/>
      <c r="R1896" s="440"/>
    </row>
    <row r="1897" spans="1:18" s="439" customFormat="1">
      <c r="A1897" s="443" t="s">
        <v>318</v>
      </c>
      <c r="B1897" s="444" t="s">
        <v>1077</v>
      </c>
      <c r="C1897" s="442" t="s">
        <v>330</v>
      </c>
      <c r="D1897" s="443" t="s">
        <v>1078</v>
      </c>
      <c r="E1897" s="444">
        <v>201610</v>
      </c>
      <c r="F1897" s="445">
        <v>61937.31</v>
      </c>
      <c r="G1897" s="443">
        <v>6.5</v>
      </c>
      <c r="H1897" s="446">
        <v>1.3083000000000001E-3</v>
      </c>
      <c r="I1897" s="445">
        <v>526.71</v>
      </c>
      <c r="J1897" s="448">
        <v>972.39</v>
      </c>
      <c r="N1897" s="441"/>
      <c r="O1897" s="441"/>
      <c r="R1897" s="440"/>
    </row>
    <row r="1898" spans="1:18" s="439" customFormat="1">
      <c r="A1898" s="443" t="s">
        <v>318</v>
      </c>
      <c r="B1898" s="444" t="s">
        <v>1077</v>
      </c>
      <c r="C1898" s="442" t="s">
        <v>330</v>
      </c>
      <c r="D1898" s="443" t="s">
        <v>1078</v>
      </c>
      <c r="E1898" s="444">
        <v>201610</v>
      </c>
      <c r="F1898" s="445">
        <v>5493.75</v>
      </c>
      <c r="G1898" s="443">
        <v>6.5</v>
      </c>
      <c r="H1898" s="446">
        <v>1.3083000000000001E-3</v>
      </c>
      <c r="I1898" s="445">
        <v>46.72</v>
      </c>
      <c r="J1898" s="448">
        <v>86.25</v>
      </c>
      <c r="N1898" s="441"/>
      <c r="O1898" s="441"/>
      <c r="R1898" s="440"/>
    </row>
    <row r="1899" spans="1:18" s="439" customFormat="1">
      <c r="A1899" s="443" t="s">
        <v>318</v>
      </c>
      <c r="B1899" s="444" t="s">
        <v>1079</v>
      </c>
      <c r="C1899" s="442" t="s">
        <v>330</v>
      </c>
      <c r="D1899" s="443" t="s">
        <v>1080</v>
      </c>
      <c r="E1899" s="444">
        <v>201610</v>
      </c>
      <c r="F1899" s="445">
        <v>38081.75</v>
      </c>
      <c r="G1899" s="443">
        <v>6.5</v>
      </c>
      <c r="H1899" s="446">
        <v>1.3083000000000001E-3</v>
      </c>
      <c r="I1899" s="445">
        <v>323.85000000000002</v>
      </c>
      <c r="J1899" s="448">
        <v>597.87</v>
      </c>
      <c r="N1899" s="441"/>
      <c r="O1899" s="441"/>
      <c r="R1899" s="440"/>
    </row>
    <row r="1900" spans="1:18" s="439" customFormat="1">
      <c r="A1900" s="443" t="s">
        <v>318</v>
      </c>
      <c r="B1900" s="444" t="s">
        <v>1079</v>
      </c>
      <c r="C1900" s="444" t="s">
        <v>330</v>
      </c>
      <c r="D1900" s="443" t="s">
        <v>1080</v>
      </c>
      <c r="E1900" s="444">
        <v>201610</v>
      </c>
      <c r="F1900" s="445">
        <v>2552.46</v>
      </c>
      <c r="G1900" s="443">
        <v>6.5</v>
      </c>
      <c r="H1900" s="446">
        <v>1.3083000000000001E-3</v>
      </c>
      <c r="I1900" s="445">
        <v>21.71</v>
      </c>
      <c r="J1900" s="448">
        <v>40.07</v>
      </c>
      <c r="N1900" s="441"/>
      <c r="O1900" s="441"/>
      <c r="R1900" s="440"/>
    </row>
    <row r="1901" spans="1:18" s="439" customFormat="1">
      <c r="A1901" s="443" t="s">
        <v>318</v>
      </c>
      <c r="B1901" s="444" t="s">
        <v>320</v>
      </c>
      <c r="C1901" s="444" t="s">
        <v>319</v>
      </c>
      <c r="D1901" s="443" t="s">
        <v>321</v>
      </c>
      <c r="E1901" s="444">
        <v>201611</v>
      </c>
      <c r="F1901" s="445">
        <v>10.66</v>
      </c>
      <c r="G1901" s="443">
        <v>5.5</v>
      </c>
      <c r="H1901" s="446">
        <v>1.3083000000000001E-3</v>
      </c>
      <c r="I1901" s="445">
        <v>0.08</v>
      </c>
      <c r="J1901" s="448">
        <v>0.17</v>
      </c>
      <c r="N1901" s="441"/>
      <c r="O1901" s="441"/>
      <c r="R1901" s="440"/>
    </row>
    <row r="1902" spans="1:18" s="439" customFormat="1">
      <c r="A1902" s="443" t="s">
        <v>318</v>
      </c>
      <c r="B1902" s="444" t="s">
        <v>323</v>
      </c>
      <c r="C1902" s="444" t="s">
        <v>319</v>
      </c>
      <c r="D1902" s="443" t="s">
        <v>324</v>
      </c>
      <c r="E1902" s="444">
        <v>201611</v>
      </c>
      <c r="F1902" s="445">
        <v>-80.88</v>
      </c>
      <c r="G1902" s="443">
        <v>5.5</v>
      </c>
      <c r="H1902" s="446">
        <v>1.3083000000000001E-3</v>
      </c>
      <c r="I1902" s="445">
        <v>-0.57999999999999996</v>
      </c>
      <c r="J1902" s="448">
        <v>-1.27</v>
      </c>
      <c r="N1902" s="441"/>
      <c r="O1902" s="441"/>
      <c r="R1902" s="440"/>
    </row>
    <row r="1903" spans="1:18" s="439" customFormat="1">
      <c r="A1903" s="443" t="s">
        <v>322</v>
      </c>
      <c r="B1903" s="444" t="s">
        <v>325</v>
      </c>
      <c r="C1903" s="444" t="s">
        <v>319</v>
      </c>
      <c r="D1903" s="443" t="s">
        <v>326</v>
      </c>
      <c r="E1903" s="444">
        <v>201611</v>
      </c>
      <c r="F1903" s="445">
        <v>23.87</v>
      </c>
      <c r="G1903" s="443">
        <v>5.5</v>
      </c>
      <c r="H1903" s="446">
        <v>1.1999999999999999E-3</v>
      </c>
      <c r="I1903" s="445">
        <v>0.16</v>
      </c>
      <c r="J1903" s="448">
        <v>0.34</v>
      </c>
      <c r="N1903" s="441"/>
      <c r="O1903" s="441"/>
      <c r="R1903" s="440"/>
    </row>
    <row r="1904" spans="1:18" s="439" customFormat="1">
      <c r="A1904" s="443" t="s">
        <v>318</v>
      </c>
      <c r="B1904" s="444" t="s">
        <v>327</v>
      </c>
      <c r="C1904" s="444" t="s">
        <v>319</v>
      </c>
      <c r="D1904" s="443" t="s">
        <v>328</v>
      </c>
      <c r="E1904" s="444">
        <v>201611</v>
      </c>
      <c r="F1904" s="445">
        <v>10481.35</v>
      </c>
      <c r="G1904" s="443">
        <v>5.5</v>
      </c>
      <c r="H1904" s="446">
        <v>1.3083000000000001E-3</v>
      </c>
      <c r="I1904" s="445">
        <v>75.42</v>
      </c>
      <c r="J1904" s="448">
        <v>164.55</v>
      </c>
      <c r="N1904" s="441"/>
      <c r="O1904" s="441"/>
      <c r="R1904" s="440"/>
    </row>
    <row r="1905" spans="1:18" s="439" customFormat="1">
      <c r="A1905" s="443" t="s">
        <v>318</v>
      </c>
      <c r="B1905" s="444" t="s">
        <v>941</v>
      </c>
      <c r="C1905" s="444" t="s">
        <v>330</v>
      </c>
      <c r="D1905" s="443" t="s">
        <v>942</v>
      </c>
      <c r="E1905" s="444">
        <v>201611</v>
      </c>
      <c r="F1905" s="445">
        <v>308.51</v>
      </c>
      <c r="G1905" s="443">
        <v>5.5</v>
      </c>
      <c r="H1905" s="446">
        <v>1.3083000000000001E-3</v>
      </c>
      <c r="I1905" s="445">
        <v>2.2200000000000002</v>
      </c>
      <c r="J1905" s="448">
        <v>4.84</v>
      </c>
      <c r="N1905" s="441"/>
      <c r="O1905" s="441"/>
      <c r="R1905" s="440"/>
    </row>
    <row r="1906" spans="1:18" s="559" customFormat="1">
      <c r="A1906" s="521" t="s">
        <v>318</v>
      </c>
      <c r="B1906" s="522" t="s">
        <v>941</v>
      </c>
      <c r="C1906" s="522" t="s">
        <v>330</v>
      </c>
      <c r="D1906" s="521" t="s">
        <v>942</v>
      </c>
      <c r="E1906" s="522">
        <v>201611</v>
      </c>
      <c r="F1906" s="523">
        <v>4410.1499999999996</v>
      </c>
      <c r="G1906" s="521">
        <v>5.5</v>
      </c>
      <c r="H1906" s="524">
        <v>1.3083000000000001E-3</v>
      </c>
      <c r="I1906" s="523">
        <v>31.73</v>
      </c>
      <c r="J1906" s="448">
        <v>69.239999999999995</v>
      </c>
      <c r="N1906" s="590"/>
      <c r="O1906" s="590"/>
      <c r="R1906" s="440"/>
    </row>
    <row r="1907" spans="1:18" s="559" customFormat="1">
      <c r="A1907" s="521" t="s">
        <v>322</v>
      </c>
      <c r="B1907" s="522" t="s">
        <v>856</v>
      </c>
      <c r="C1907" s="522" t="s">
        <v>330</v>
      </c>
      <c r="D1907" s="521" t="s">
        <v>857</v>
      </c>
      <c r="E1907" s="522">
        <v>201611</v>
      </c>
      <c r="F1907" s="523">
        <v>-0.03</v>
      </c>
      <c r="G1907" s="521">
        <v>5.5</v>
      </c>
      <c r="H1907" s="524">
        <v>1.1999999999999999E-3</v>
      </c>
      <c r="I1907" s="523">
        <v>0</v>
      </c>
      <c r="J1907" s="448">
        <v>0</v>
      </c>
      <c r="N1907" s="590"/>
      <c r="O1907" s="590"/>
      <c r="R1907" s="440"/>
    </row>
    <row r="1908" spans="1:18" s="559" customFormat="1">
      <c r="A1908" s="521" t="s">
        <v>318</v>
      </c>
      <c r="B1908" s="522" t="s">
        <v>856</v>
      </c>
      <c r="C1908" s="522" t="s">
        <v>330</v>
      </c>
      <c r="D1908" s="521" t="s">
        <v>857</v>
      </c>
      <c r="E1908" s="522">
        <v>201611</v>
      </c>
      <c r="F1908" s="523">
        <v>-2.02</v>
      </c>
      <c r="G1908" s="521">
        <v>5.5</v>
      </c>
      <c r="H1908" s="524">
        <v>1.3083000000000001E-3</v>
      </c>
      <c r="I1908" s="523">
        <v>-0.01</v>
      </c>
      <c r="J1908" s="448">
        <v>-0.03</v>
      </c>
      <c r="N1908" s="590"/>
      <c r="O1908" s="590"/>
      <c r="R1908" s="440"/>
    </row>
    <row r="1909" spans="1:18" s="559" customFormat="1">
      <c r="A1909" s="521" t="s">
        <v>318</v>
      </c>
      <c r="B1909" s="522" t="s">
        <v>856</v>
      </c>
      <c r="C1909" s="522" t="s">
        <v>330</v>
      </c>
      <c r="D1909" s="521" t="s">
        <v>857</v>
      </c>
      <c r="E1909" s="522">
        <v>201611</v>
      </c>
      <c r="F1909" s="523">
        <v>-0.08</v>
      </c>
      <c r="G1909" s="521">
        <v>5.5</v>
      </c>
      <c r="H1909" s="524">
        <v>1.3083000000000001E-3</v>
      </c>
      <c r="I1909" s="523">
        <v>0</v>
      </c>
      <c r="J1909" s="448">
        <v>0</v>
      </c>
      <c r="N1909" s="590"/>
      <c r="O1909" s="590"/>
      <c r="R1909" s="440"/>
    </row>
    <row r="1910" spans="1:18" s="559" customFormat="1">
      <c r="A1910" s="521" t="s">
        <v>318</v>
      </c>
      <c r="B1910" s="522" t="s">
        <v>800</v>
      </c>
      <c r="C1910" s="522" t="s">
        <v>330</v>
      </c>
      <c r="D1910" s="521" t="s">
        <v>830</v>
      </c>
      <c r="E1910" s="522">
        <v>201611</v>
      </c>
      <c r="F1910" s="523">
        <v>33.28</v>
      </c>
      <c r="G1910" s="521">
        <v>5.5</v>
      </c>
      <c r="H1910" s="524">
        <v>1.3083000000000001E-3</v>
      </c>
      <c r="I1910" s="523">
        <v>0.24</v>
      </c>
      <c r="J1910" s="448">
        <v>0.52</v>
      </c>
      <c r="N1910" s="590"/>
      <c r="O1910" s="590"/>
      <c r="R1910" s="440"/>
    </row>
    <row r="1911" spans="1:18" s="559" customFormat="1">
      <c r="A1911" s="521" t="s">
        <v>318</v>
      </c>
      <c r="B1911" s="522" t="s">
        <v>800</v>
      </c>
      <c r="C1911" s="522" t="s">
        <v>330</v>
      </c>
      <c r="D1911" s="521" t="s">
        <v>830</v>
      </c>
      <c r="E1911" s="522">
        <v>201611</v>
      </c>
      <c r="F1911" s="523">
        <v>593.77</v>
      </c>
      <c r="G1911" s="521">
        <v>5.5</v>
      </c>
      <c r="H1911" s="524">
        <v>1.3083000000000001E-3</v>
      </c>
      <c r="I1911" s="523">
        <v>4.2699999999999996</v>
      </c>
      <c r="J1911" s="448">
        <v>9.32</v>
      </c>
      <c r="N1911" s="590"/>
      <c r="O1911" s="590"/>
      <c r="R1911" s="440"/>
    </row>
    <row r="1912" spans="1:18" s="559" customFormat="1">
      <c r="A1912" s="521" t="s">
        <v>318</v>
      </c>
      <c r="B1912" s="522" t="s">
        <v>629</v>
      </c>
      <c r="C1912" s="522" t="s">
        <v>330</v>
      </c>
      <c r="D1912" s="521" t="s">
        <v>630</v>
      </c>
      <c r="E1912" s="522">
        <v>201611</v>
      </c>
      <c r="F1912" s="523">
        <v>-0.05</v>
      </c>
      <c r="G1912" s="521">
        <v>5.5</v>
      </c>
      <c r="H1912" s="524">
        <v>1.3083000000000001E-3</v>
      </c>
      <c r="I1912" s="523">
        <v>0</v>
      </c>
      <c r="J1912" s="448">
        <v>0</v>
      </c>
      <c r="N1912" s="590"/>
      <c r="O1912" s="590"/>
      <c r="R1912" s="440"/>
    </row>
    <row r="1913" spans="1:18" s="559" customFormat="1">
      <c r="A1913" s="521" t="s">
        <v>318</v>
      </c>
      <c r="B1913" s="522" t="s">
        <v>629</v>
      </c>
      <c r="C1913" s="522" t="s">
        <v>330</v>
      </c>
      <c r="D1913" s="521" t="s">
        <v>630</v>
      </c>
      <c r="E1913" s="522">
        <v>201611</v>
      </c>
      <c r="F1913" s="523">
        <v>1.46</v>
      </c>
      <c r="G1913" s="521">
        <v>5.5</v>
      </c>
      <c r="H1913" s="524">
        <v>1.3083000000000001E-3</v>
      </c>
      <c r="I1913" s="523">
        <v>0.01</v>
      </c>
      <c r="J1913" s="448">
        <v>0.02</v>
      </c>
      <c r="N1913" s="590"/>
      <c r="O1913" s="590"/>
      <c r="R1913" s="440"/>
    </row>
    <row r="1914" spans="1:18" s="559" customFormat="1">
      <c r="A1914" s="521" t="s">
        <v>318</v>
      </c>
      <c r="B1914" s="522" t="s">
        <v>805</v>
      </c>
      <c r="C1914" s="522" t="s">
        <v>330</v>
      </c>
      <c r="D1914" s="521" t="s">
        <v>806</v>
      </c>
      <c r="E1914" s="522">
        <v>201611</v>
      </c>
      <c r="F1914" s="523">
        <v>-3.13</v>
      </c>
      <c r="G1914" s="521">
        <v>5.5</v>
      </c>
      <c r="H1914" s="524">
        <v>1.3083000000000001E-3</v>
      </c>
      <c r="I1914" s="523">
        <v>-0.02</v>
      </c>
      <c r="J1914" s="448">
        <v>-0.05</v>
      </c>
      <c r="N1914" s="590"/>
      <c r="O1914" s="590"/>
      <c r="R1914" s="440"/>
    </row>
    <row r="1915" spans="1:18" s="559" customFormat="1">
      <c r="A1915" s="521" t="s">
        <v>318</v>
      </c>
      <c r="B1915" s="522" t="s">
        <v>805</v>
      </c>
      <c r="C1915" s="522" t="s">
        <v>330</v>
      </c>
      <c r="D1915" s="521" t="s">
        <v>806</v>
      </c>
      <c r="E1915" s="522">
        <v>201611</v>
      </c>
      <c r="F1915" s="523">
        <v>-0.35</v>
      </c>
      <c r="G1915" s="521">
        <v>5.5</v>
      </c>
      <c r="H1915" s="524">
        <v>1.3083000000000001E-3</v>
      </c>
      <c r="I1915" s="523">
        <v>0</v>
      </c>
      <c r="J1915" s="448">
        <v>-0.01</v>
      </c>
      <c r="N1915" s="590"/>
      <c r="O1915" s="590"/>
      <c r="R1915" s="440"/>
    </row>
    <row r="1916" spans="1:18" s="559" customFormat="1">
      <c r="A1916" s="521" t="s">
        <v>318</v>
      </c>
      <c r="B1916" s="522" t="s">
        <v>1067</v>
      </c>
      <c r="C1916" s="522" t="s">
        <v>330</v>
      </c>
      <c r="D1916" s="521" t="s">
        <v>1068</v>
      </c>
      <c r="E1916" s="522">
        <v>201611</v>
      </c>
      <c r="F1916" s="523">
        <v>374.9</v>
      </c>
      <c r="G1916" s="521">
        <v>5.5</v>
      </c>
      <c r="H1916" s="524">
        <v>1.3083000000000001E-3</v>
      </c>
      <c r="I1916" s="523">
        <v>2.7</v>
      </c>
      <c r="J1916" s="448">
        <v>5.89</v>
      </c>
      <c r="N1916" s="590"/>
      <c r="O1916" s="590"/>
      <c r="R1916" s="440"/>
    </row>
    <row r="1917" spans="1:18" s="559" customFormat="1">
      <c r="A1917" s="521" t="s">
        <v>318</v>
      </c>
      <c r="B1917" s="522" t="s">
        <v>1067</v>
      </c>
      <c r="C1917" s="522" t="s">
        <v>330</v>
      </c>
      <c r="D1917" s="521" t="s">
        <v>1068</v>
      </c>
      <c r="E1917" s="522">
        <v>201611</v>
      </c>
      <c r="F1917" s="523">
        <v>17336.13</v>
      </c>
      <c r="G1917" s="521">
        <v>5.5</v>
      </c>
      <c r="H1917" s="524">
        <v>1.3083000000000001E-3</v>
      </c>
      <c r="I1917" s="523">
        <v>124.74</v>
      </c>
      <c r="J1917" s="448">
        <v>272.17</v>
      </c>
      <c r="N1917" s="590"/>
      <c r="O1917" s="590"/>
      <c r="R1917" s="440"/>
    </row>
    <row r="1918" spans="1:18" s="559" customFormat="1">
      <c r="A1918" s="521" t="s">
        <v>318</v>
      </c>
      <c r="B1918" s="522" t="s">
        <v>858</v>
      </c>
      <c r="C1918" s="522" t="s">
        <v>329</v>
      </c>
      <c r="D1918" s="521" t="s">
        <v>859</v>
      </c>
      <c r="E1918" s="522">
        <v>201611</v>
      </c>
      <c r="F1918" s="523">
        <v>-478346.44</v>
      </c>
      <c r="G1918" s="521">
        <v>5.5</v>
      </c>
      <c r="H1918" s="524">
        <v>1.3083000000000001E-3</v>
      </c>
      <c r="I1918" s="523">
        <v>-3442.01</v>
      </c>
      <c r="J1918" s="448">
        <v>-7509.85</v>
      </c>
      <c r="N1918" s="590"/>
      <c r="O1918" s="590"/>
      <c r="R1918" s="440"/>
    </row>
    <row r="1919" spans="1:18" s="559" customFormat="1">
      <c r="A1919" s="521" t="s">
        <v>318</v>
      </c>
      <c r="B1919" s="522" t="s">
        <v>858</v>
      </c>
      <c r="C1919" s="522" t="s">
        <v>329</v>
      </c>
      <c r="D1919" s="521" t="s">
        <v>859</v>
      </c>
      <c r="E1919" s="522">
        <v>201611</v>
      </c>
      <c r="F1919" s="523">
        <v>-32069.040000000001</v>
      </c>
      <c r="G1919" s="521">
        <v>5.5</v>
      </c>
      <c r="H1919" s="524">
        <v>1.3083000000000001E-3</v>
      </c>
      <c r="I1919" s="523">
        <v>-230.76</v>
      </c>
      <c r="J1919" s="448">
        <v>-503.47</v>
      </c>
      <c r="N1919" s="590"/>
      <c r="O1919" s="590"/>
      <c r="R1919" s="440"/>
    </row>
    <row r="1920" spans="1:18" s="559" customFormat="1">
      <c r="A1920" s="521" t="s">
        <v>318</v>
      </c>
      <c r="B1920" s="522" t="s">
        <v>858</v>
      </c>
      <c r="C1920" s="522" t="s">
        <v>329</v>
      </c>
      <c r="D1920" s="521" t="s">
        <v>859</v>
      </c>
      <c r="E1920" s="522">
        <v>201611</v>
      </c>
      <c r="F1920" s="523">
        <v>108554.37</v>
      </c>
      <c r="G1920" s="521">
        <v>5.5</v>
      </c>
      <c r="H1920" s="524">
        <v>1.3083000000000001E-3</v>
      </c>
      <c r="I1920" s="523">
        <v>781.12</v>
      </c>
      <c r="J1920" s="448">
        <v>1704.26</v>
      </c>
      <c r="N1920" s="590"/>
      <c r="O1920" s="590"/>
      <c r="R1920" s="440"/>
    </row>
    <row r="1921" spans="1:18" s="559" customFormat="1">
      <c r="A1921" s="521" t="s">
        <v>318</v>
      </c>
      <c r="B1921" s="522" t="s">
        <v>858</v>
      </c>
      <c r="C1921" s="522" t="s">
        <v>329</v>
      </c>
      <c r="D1921" s="521" t="s">
        <v>859</v>
      </c>
      <c r="E1921" s="522">
        <v>201611</v>
      </c>
      <c r="F1921" s="523">
        <v>401861.11</v>
      </c>
      <c r="G1921" s="521">
        <v>5.5</v>
      </c>
      <c r="H1921" s="524">
        <v>1.3083000000000001E-3</v>
      </c>
      <c r="I1921" s="523">
        <v>2891.65</v>
      </c>
      <c r="J1921" s="448">
        <v>6309.06</v>
      </c>
      <c r="N1921" s="590"/>
      <c r="O1921" s="590"/>
      <c r="R1921" s="440"/>
    </row>
    <row r="1922" spans="1:18" s="559" customFormat="1">
      <c r="A1922" s="521" t="s">
        <v>318</v>
      </c>
      <c r="B1922" s="522" t="s">
        <v>1033</v>
      </c>
      <c r="C1922" s="522" t="s">
        <v>330</v>
      </c>
      <c r="D1922" s="521" t="s">
        <v>1034</v>
      </c>
      <c r="E1922" s="522">
        <v>201611</v>
      </c>
      <c r="F1922" s="523">
        <v>-36.11</v>
      </c>
      <c r="G1922" s="521">
        <v>5.5</v>
      </c>
      <c r="H1922" s="524">
        <v>1.3083000000000001E-3</v>
      </c>
      <c r="I1922" s="523">
        <v>-0.26</v>
      </c>
      <c r="J1922" s="448">
        <v>-0.56999999999999995</v>
      </c>
      <c r="N1922" s="590"/>
      <c r="O1922" s="590"/>
      <c r="R1922" s="440"/>
    </row>
    <row r="1923" spans="1:18" s="559" customFormat="1">
      <c r="A1923" s="521" t="s">
        <v>318</v>
      </c>
      <c r="B1923" s="522" t="s">
        <v>1033</v>
      </c>
      <c r="C1923" s="522" t="s">
        <v>330</v>
      </c>
      <c r="D1923" s="521" t="s">
        <v>1034</v>
      </c>
      <c r="E1923" s="522">
        <v>201611</v>
      </c>
      <c r="F1923" s="523">
        <v>-1.98</v>
      </c>
      <c r="G1923" s="521">
        <v>5.5</v>
      </c>
      <c r="H1923" s="524">
        <v>1.3083000000000001E-3</v>
      </c>
      <c r="I1923" s="523">
        <v>-0.01</v>
      </c>
      <c r="J1923" s="448">
        <v>-0.03</v>
      </c>
      <c r="N1923" s="590"/>
      <c r="O1923" s="590"/>
      <c r="R1923" s="440"/>
    </row>
    <row r="1924" spans="1:18" s="559" customFormat="1">
      <c r="A1924" s="521" t="s">
        <v>318</v>
      </c>
      <c r="B1924" s="522" t="s">
        <v>832</v>
      </c>
      <c r="C1924" s="522" t="s">
        <v>330</v>
      </c>
      <c r="D1924" s="521" t="s">
        <v>833</v>
      </c>
      <c r="E1924" s="522">
        <v>201611</v>
      </c>
      <c r="F1924" s="523">
        <v>4.84</v>
      </c>
      <c r="G1924" s="521">
        <v>5.5</v>
      </c>
      <c r="H1924" s="524">
        <v>1.3083000000000001E-3</v>
      </c>
      <c r="I1924" s="523">
        <v>0.03</v>
      </c>
      <c r="J1924" s="448">
        <v>0.08</v>
      </c>
      <c r="N1924" s="590"/>
      <c r="O1924" s="590"/>
      <c r="R1924" s="440"/>
    </row>
    <row r="1925" spans="1:18" s="559" customFormat="1">
      <c r="A1925" s="521" t="s">
        <v>318</v>
      </c>
      <c r="B1925" s="522" t="s">
        <v>832</v>
      </c>
      <c r="C1925" s="522" t="s">
        <v>330</v>
      </c>
      <c r="D1925" s="521" t="s">
        <v>833</v>
      </c>
      <c r="E1925" s="522">
        <v>201611</v>
      </c>
      <c r="F1925" s="523">
        <v>231.58</v>
      </c>
      <c r="G1925" s="521">
        <v>5.5</v>
      </c>
      <c r="H1925" s="524">
        <v>1.3083000000000001E-3</v>
      </c>
      <c r="I1925" s="523">
        <v>1.67</v>
      </c>
      <c r="J1925" s="448">
        <v>3.64</v>
      </c>
      <c r="N1925" s="590"/>
      <c r="O1925" s="590"/>
      <c r="R1925" s="440"/>
    </row>
    <row r="1926" spans="1:18" s="559" customFormat="1">
      <c r="A1926" s="521" t="s">
        <v>318</v>
      </c>
      <c r="B1926" s="522" t="s">
        <v>947</v>
      </c>
      <c r="C1926" s="522" t="s">
        <v>330</v>
      </c>
      <c r="D1926" s="521" t="s">
        <v>948</v>
      </c>
      <c r="E1926" s="522">
        <v>201611</v>
      </c>
      <c r="F1926" s="523">
        <v>-99.86</v>
      </c>
      <c r="G1926" s="521">
        <v>5.5</v>
      </c>
      <c r="H1926" s="524">
        <v>1.3083000000000001E-3</v>
      </c>
      <c r="I1926" s="523">
        <v>-0.72</v>
      </c>
      <c r="J1926" s="448">
        <v>-1.57</v>
      </c>
      <c r="N1926" s="590"/>
      <c r="O1926" s="590"/>
      <c r="R1926" s="440"/>
    </row>
    <row r="1927" spans="1:18" s="559" customFormat="1">
      <c r="A1927" s="521" t="s">
        <v>318</v>
      </c>
      <c r="B1927" s="522" t="s">
        <v>947</v>
      </c>
      <c r="C1927" s="522" t="s">
        <v>330</v>
      </c>
      <c r="D1927" s="521" t="s">
        <v>948</v>
      </c>
      <c r="E1927" s="522">
        <v>201611</v>
      </c>
      <c r="F1927" s="523">
        <v>-3.58</v>
      </c>
      <c r="G1927" s="521">
        <v>5.5</v>
      </c>
      <c r="H1927" s="524">
        <v>1.3083000000000001E-3</v>
      </c>
      <c r="I1927" s="523">
        <v>-0.03</v>
      </c>
      <c r="J1927" s="448">
        <v>-0.06</v>
      </c>
      <c r="N1927" s="590"/>
      <c r="O1927" s="590"/>
      <c r="R1927" s="440"/>
    </row>
    <row r="1928" spans="1:18" s="559" customFormat="1">
      <c r="A1928" s="521" t="s">
        <v>318</v>
      </c>
      <c r="B1928" s="522" t="s">
        <v>951</v>
      </c>
      <c r="C1928" s="522" t="s">
        <v>330</v>
      </c>
      <c r="D1928" s="521" t="s">
        <v>952</v>
      </c>
      <c r="E1928" s="522">
        <v>201611</v>
      </c>
      <c r="F1928" s="523">
        <v>-338.02</v>
      </c>
      <c r="G1928" s="521">
        <v>5.5</v>
      </c>
      <c r="H1928" s="524">
        <v>1.3083000000000001E-3</v>
      </c>
      <c r="I1928" s="523">
        <v>-2.4300000000000002</v>
      </c>
      <c r="J1928" s="448">
        <v>-5.31</v>
      </c>
      <c r="N1928" s="590"/>
      <c r="O1928" s="590"/>
      <c r="R1928" s="440"/>
    </row>
    <row r="1929" spans="1:18" s="559" customFormat="1">
      <c r="A1929" s="521" t="s">
        <v>318</v>
      </c>
      <c r="B1929" s="522" t="s">
        <v>951</v>
      </c>
      <c r="C1929" s="522" t="s">
        <v>330</v>
      </c>
      <c r="D1929" s="521" t="s">
        <v>952</v>
      </c>
      <c r="E1929" s="522">
        <v>201611</v>
      </c>
      <c r="F1929" s="523">
        <v>-10.83</v>
      </c>
      <c r="G1929" s="521">
        <v>5.5</v>
      </c>
      <c r="H1929" s="524">
        <v>1.3083000000000001E-3</v>
      </c>
      <c r="I1929" s="523">
        <v>-0.08</v>
      </c>
      <c r="J1929" s="448">
        <v>-0.17</v>
      </c>
      <c r="N1929" s="590"/>
      <c r="O1929" s="590"/>
      <c r="R1929" s="440"/>
    </row>
    <row r="1930" spans="1:18" s="559" customFormat="1">
      <c r="A1930" s="521" t="s">
        <v>318</v>
      </c>
      <c r="B1930" s="522" t="s">
        <v>955</v>
      </c>
      <c r="C1930" s="522" t="s">
        <v>330</v>
      </c>
      <c r="D1930" s="521" t="s">
        <v>956</v>
      </c>
      <c r="E1930" s="522">
        <v>201611</v>
      </c>
      <c r="F1930" s="523">
        <v>10.61</v>
      </c>
      <c r="G1930" s="521">
        <v>5.5</v>
      </c>
      <c r="H1930" s="524">
        <v>1.3083000000000001E-3</v>
      </c>
      <c r="I1930" s="523">
        <v>0.08</v>
      </c>
      <c r="J1930" s="448">
        <v>0.17</v>
      </c>
      <c r="N1930" s="590"/>
      <c r="O1930" s="590"/>
      <c r="R1930" s="440"/>
    </row>
    <row r="1931" spans="1:18" s="559" customFormat="1">
      <c r="A1931" s="521" t="s">
        <v>318</v>
      </c>
      <c r="B1931" s="522" t="s">
        <v>955</v>
      </c>
      <c r="C1931" s="522" t="s">
        <v>330</v>
      </c>
      <c r="D1931" s="521" t="s">
        <v>956</v>
      </c>
      <c r="E1931" s="522">
        <v>201611</v>
      </c>
      <c r="F1931" s="523">
        <v>330.96</v>
      </c>
      <c r="G1931" s="521">
        <v>5.5</v>
      </c>
      <c r="H1931" s="524">
        <v>1.3083000000000001E-3</v>
      </c>
      <c r="I1931" s="523">
        <v>2.38</v>
      </c>
      <c r="J1931" s="448">
        <v>5.2</v>
      </c>
      <c r="N1931" s="590"/>
      <c r="O1931" s="590"/>
      <c r="R1931" s="440"/>
    </row>
    <row r="1932" spans="1:18" s="559" customFormat="1">
      <c r="A1932" s="521" t="s">
        <v>318</v>
      </c>
      <c r="B1932" s="522" t="s">
        <v>963</v>
      </c>
      <c r="C1932" s="522" t="s">
        <v>330</v>
      </c>
      <c r="D1932" s="521" t="s">
        <v>964</v>
      </c>
      <c r="E1932" s="522">
        <v>201611</v>
      </c>
      <c r="F1932" s="523">
        <v>11.65</v>
      </c>
      <c r="G1932" s="521">
        <v>5.5</v>
      </c>
      <c r="H1932" s="524">
        <v>1.3083000000000001E-3</v>
      </c>
      <c r="I1932" s="523">
        <v>0.08</v>
      </c>
      <c r="J1932" s="448">
        <v>0.18</v>
      </c>
      <c r="N1932" s="590"/>
      <c r="O1932" s="590"/>
      <c r="R1932" s="440"/>
    </row>
    <row r="1933" spans="1:18" s="559" customFormat="1">
      <c r="A1933" s="521" t="s">
        <v>318</v>
      </c>
      <c r="B1933" s="522" t="s">
        <v>963</v>
      </c>
      <c r="C1933" s="522" t="s">
        <v>330</v>
      </c>
      <c r="D1933" s="521" t="s">
        <v>964</v>
      </c>
      <c r="E1933" s="522">
        <v>201611</v>
      </c>
      <c r="F1933" s="523">
        <v>149.72999999999999</v>
      </c>
      <c r="G1933" s="521">
        <v>5.5</v>
      </c>
      <c r="H1933" s="524">
        <v>1.3083000000000001E-3</v>
      </c>
      <c r="I1933" s="523">
        <v>1.08</v>
      </c>
      <c r="J1933" s="448">
        <v>2.35</v>
      </c>
      <c r="N1933" s="590"/>
      <c r="O1933" s="590"/>
      <c r="R1933" s="440"/>
    </row>
    <row r="1934" spans="1:18" s="559" customFormat="1">
      <c r="A1934" s="521" t="s">
        <v>318</v>
      </c>
      <c r="B1934" s="522" t="s">
        <v>842</v>
      </c>
      <c r="C1934" s="522" t="s">
        <v>330</v>
      </c>
      <c r="D1934" s="521" t="s">
        <v>843</v>
      </c>
      <c r="E1934" s="522">
        <v>201611</v>
      </c>
      <c r="F1934" s="523">
        <v>10.11</v>
      </c>
      <c r="G1934" s="521">
        <v>5.5</v>
      </c>
      <c r="H1934" s="524">
        <v>1.3083000000000001E-3</v>
      </c>
      <c r="I1934" s="523">
        <v>7.0000000000000007E-2</v>
      </c>
      <c r="J1934" s="448">
        <v>0.16</v>
      </c>
      <c r="N1934" s="590"/>
      <c r="O1934" s="590"/>
      <c r="R1934" s="440"/>
    </row>
    <row r="1935" spans="1:18" s="559" customFormat="1">
      <c r="A1935" s="521" t="s">
        <v>318</v>
      </c>
      <c r="B1935" s="522" t="s">
        <v>842</v>
      </c>
      <c r="C1935" s="522" t="s">
        <v>330</v>
      </c>
      <c r="D1935" s="521" t="s">
        <v>843</v>
      </c>
      <c r="E1935" s="522">
        <v>201611</v>
      </c>
      <c r="F1935" s="523">
        <v>146.29</v>
      </c>
      <c r="G1935" s="521">
        <v>5.5</v>
      </c>
      <c r="H1935" s="524">
        <v>1.3083000000000001E-3</v>
      </c>
      <c r="I1935" s="523">
        <v>1.05</v>
      </c>
      <c r="J1935" s="448">
        <v>2.2999999999999998</v>
      </c>
      <c r="N1935" s="590"/>
      <c r="O1935" s="590"/>
      <c r="R1935" s="440"/>
    </row>
    <row r="1936" spans="1:18" s="559" customFormat="1">
      <c r="A1936" s="521" t="s">
        <v>318</v>
      </c>
      <c r="B1936" s="522" t="s">
        <v>862</v>
      </c>
      <c r="C1936" s="522" t="s">
        <v>330</v>
      </c>
      <c r="D1936" s="521" t="s">
        <v>863</v>
      </c>
      <c r="E1936" s="522">
        <v>201611</v>
      </c>
      <c r="F1936" s="523">
        <v>-17.239999999999998</v>
      </c>
      <c r="G1936" s="521">
        <v>5.5</v>
      </c>
      <c r="H1936" s="524">
        <v>1.3083000000000001E-3</v>
      </c>
      <c r="I1936" s="523">
        <v>-0.12</v>
      </c>
      <c r="J1936" s="448">
        <v>-0.27</v>
      </c>
      <c r="N1936" s="590"/>
      <c r="O1936" s="590"/>
      <c r="R1936" s="440"/>
    </row>
    <row r="1937" spans="1:18" s="559" customFormat="1">
      <c r="A1937" s="521" t="s">
        <v>318</v>
      </c>
      <c r="B1937" s="522" t="s">
        <v>862</v>
      </c>
      <c r="C1937" s="522" t="s">
        <v>330</v>
      </c>
      <c r="D1937" s="521" t="s">
        <v>863</v>
      </c>
      <c r="E1937" s="522">
        <v>201611</v>
      </c>
      <c r="F1937" s="523">
        <v>-1.1100000000000001</v>
      </c>
      <c r="G1937" s="521">
        <v>5.5</v>
      </c>
      <c r="H1937" s="524">
        <v>1.3083000000000001E-3</v>
      </c>
      <c r="I1937" s="523">
        <v>-0.01</v>
      </c>
      <c r="J1937" s="448">
        <v>-0.02</v>
      </c>
      <c r="N1937" s="590"/>
      <c r="O1937" s="590"/>
      <c r="R1937" s="440"/>
    </row>
    <row r="1938" spans="1:18" s="559" customFormat="1">
      <c r="A1938" s="521" t="s">
        <v>318</v>
      </c>
      <c r="B1938" s="522" t="s">
        <v>967</v>
      </c>
      <c r="C1938" s="522" t="s">
        <v>330</v>
      </c>
      <c r="D1938" s="521" t="s">
        <v>968</v>
      </c>
      <c r="E1938" s="522">
        <v>201611</v>
      </c>
      <c r="F1938" s="523">
        <v>2.95</v>
      </c>
      <c r="G1938" s="521">
        <v>5.5</v>
      </c>
      <c r="H1938" s="524">
        <v>1.3083000000000001E-3</v>
      </c>
      <c r="I1938" s="523">
        <v>0.02</v>
      </c>
      <c r="J1938" s="448">
        <v>0.05</v>
      </c>
      <c r="N1938" s="590"/>
      <c r="O1938" s="590"/>
      <c r="R1938" s="440"/>
    </row>
    <row r="1939" spans="1:18" s="559" customFormat="1">
      <c r="A1939" s="521" t="s">
        <v>318</v>
      </c>
      <c r="B1939" s="522" t="s">
        <v>967</v>
      </c>
      <c r="C1939" s="522" t="s">
        <v>330</v>
      </c>
      <c r="D1939" s="521" t="s">
        <v>968</v>
      </c>
      <c r="E1939" s="522">
        <v>201611</v>
      </c>
      <c r="F1939" s="523">
        <v>78.11</v>
      </c>
      <c r="G1939" s="521">
        <v>5.5</v>
      </c>
      <c r="H1939" s="524">
        <v>1.3083000000000001E-3</v>
      </c>
      <c r="I1939" s="523">
        <v>0.56000000000000005</v>
      </c>
      <c r="J1939" s="448">
        <v>1.23</v>
      </c>
      <c r="N1939" s="590"/>
      <c r="O1939" s="590"/>
      <c r="R1939" s="440"/>
    </row>
    <row r="1940" spans="1:18" s="559" customFormat="1">
      <c r="A1940" s="521" t="s">
        <v>318</v>
      </c>
      <c r="B1940" s="522" t="s">
        <v>682</v>
      </c>
      <c r="C1940" s="522" t="s">
        <v>330</v>
      </c>
      <c r="D1940" s="521" t="s">
        <v>683</v>
      </c>
      <c r="E1940" s="522">
        <v>201611</v>
      </c>
      <c r="F1940" s="523">
        <v>421.84</v>
      </c>
      <c r="G1940" s="521">
        <v>5.5</v>
      </c>
      <c r="H1940" s="524">
        <v>1.3083000000000001E-3</v>
      </c>
      <c r="I1940" s="523">
        <v>3.04</v>
      </c>
      <c r="J1940" s="448">
        <v>6.62</v>
      </c>
      <c r="N1940" s="590"/>
      <c r="O1940" s="590"/>
      <c r="R1940" s="440"/>
    </row>
    <row r="1941" spans="1:18" s="559" customFormat="1">
      <c r="A1941" s="521" t="s">
        <v>318</v>
      </c>
      <c r="B1941" s="522" t="s">
        <v>682</v>
      </c>
      <c r="C1941" s="522" t="s">
        <v>330</v>
      </c>
      <c r="D1941" s="521" t="s">
        <v>683</v>
      </c>
      <c r="E1941" s="522">
        <v>201611</v>
      </c>
      <c r="F1941" s="523">
        <v>10111.99</v>
      </c>
      <c r="G1941" s="521">
        <v>5.5</v>
      </c>
      <c r="H1941" s="524">
        <v>1.3083000000000001E-3</v>
      </c>
      <c r="I1941" s="523">
        <v>72.760000000000005</v>
      </c>
      <c r="J1941" s="448">
        <v>158.75</v>
      </c>
      <c r="N1941" s="590"/>
      <c r="O1941" s="590"/>
      <c r="R1941" s="440"/>
    </row>
    <row r="1942" spans="1:18" s="559" customFormat="1">
      <c r="A1942" s="521" t="s">
        <v>318</v>
      </c>
      <c r="B1942" s="522" t="s">
        <v>846</v>
      </c>
      <c r="C1942" s="522" t="s">
        <v>330</v>
      </c>
      <c r="D1942" s="521" t="s">
        <v>847</v>
      </c>
      <c r="E1942" s="522">
        <v>201611</v>
      </c>
      <c r="F1942" s="523">
        <v>-1968.35</v>
      </c>
      <c r="G1942" s="521">
        <v>5.5</v>
      </c>
      <c r="H1942" s="524">
        <v>1.3083000000000001E-3</v>
      </c>
      <c r="I1942" s="523">
        <v>-14.16</v>
      </c>
      <c r="J1942" s="448">
        <v>-30.9</v>
      </c>
      <c r="N1942" s="590"/>
      <c r="O1942" s="590"/>
      <c r="R1942" s="440"/>
    </row>
    <row r="1943" spans="1:18" s="559" customFormat="1">
      <c r="A1943" s="521" t="s">
        <v>318</v>
      </c>
      <c r="B1943" s="522" t="s">
        <v>846</v>
      </c>
      <c r="C1943" s="522" t="s">
        <v>330</v>
      </c>
      <c r="D1943" s="521" t="s">
        <v>847</v>
      </c>
      <c r="E1943" s="522">
        <v>201611</v>
      </c>
      <c r="F1943" s="523">
        <v>23774.58</v>
      </c>
      <c r="G1943" s="521">
        <v>5.5</v>
      </c>
      <c r="H1943" s="524">
        <v>1.3083000000000001E-3</v>
      </c>
      <c r="I1943" s="523">
        <v>171.07</v>
      </c>
      <c r="J1943" s="448">
        <v>373.25</v>
      </c>
      <c r="N1943" s="590"/>
      <c r="O1943" s="590"/>
      <c r="R1943" s="440"/>
    </row>
    <row r="1944" spans="1:18" s="559" customFormat="1">
      <c r="A1944" s="521" t="s">
        <v>318</v>
      </c>
      <c r="B1944" s="522" t="s">
        <v>848</v>
      </c>
      <c r="C1944" s="522" t="s">
        <v>329</v>
      </c>
      <c r="D1944" s="521" t="s">
        <v>849</v>
      </c>
      <c r="E1944" s="522">
        <v>201611</v>
      </c>
      <c r="F1944" s="523">
        <v>1315.06</v>
      </c>
      <c r="G1944" s="521">
        <v>5.5</v>
      </c>
      <c r="H1944" s="524">
        <v>1.3083000000000001E-3</v>
      </c>
      <c r="I1944" s="523">
        <v>9.4600000000000009</v>
      </c>
      <c r="J1944" s="448">
        <v>20.65</v>
      </c>
      <c r="N1944" s="590"/>
      <c r="O1944" s="590"/>
      <c r="R1944" s="440"/>
    </row>
    <row r="1945" spans="1:18" s="559" customFormat="1">
      <c r="A1945" s="521" t="s">
        <v>318</v>
      </c>
      <c r="B1945" s="522" t="s">
        <v>848</v>
      </c>
      <c r="C1945" s="522" t="s">
        <v>329</v>
      </c>
      <c r="D1945" s="521" t="s">
        <v>849</v>
      </c>
      <c r="E1945" s="522">
        <v>201611</v>
      </c>
      <c r="F1945" s="523">
        <v>1824.99</v>
      </c>
      <c r="G1945" s="521">
        <v>5.5</v>
      </c>
      <c r="H1945" s="524">
        <v>1.3083000000000001E-3</v>
      </c>
      <c r="I1945" s="523">
        <v>13.13</v>
      </c>
      <c r="J1945" s="448">
        <v>28.65</v>
      </c>
      <c r="N1945" s="590"/>
      <c r="O1945" s="590"/>
      <c r="R1945" s="440"/>
    </row>
    <row r="1946" spans="1:18" s="559" customFormat="1">
      <c r="A1946" s="521" t="s">
        <v>318</v>
      </c>
      <c r="B1946" s="522" t="s">
        <v>971</v>
      </c>
      <c r="C1946" s="522" t="s">
        <v>329</v>
      </c>
      <c r="D1946" s="521" t="s">
        <v>972</v>
      </c>
      <c r="E1946" s="522">
        <v>201611</v>
      </c>
      <c r="F1946" s="523">
        <v>18.670000000000002</v>
      </c>
      <c r="G1946" s="521">
        <v>5.5</v>
      </c>
      <c r="H1946" s="524">
        <v>1.3083000000000001E-3</v>
      </c>
      <c r="I1946" s="523">
        <v>0.13</v>
      </c>
      <c r="J1946" s="448">
        <v>0.28999999999999998</v>
      </c>
      <c r="N1946" s="590"/>
      <c r="O1946" s="590"/>
      <c r="R1946" s="440"/>
    </row>
    <row r="1947" spans="1:18" s="559" customFormat="1">
      <c r="A1947" s="521" t="s">
        <v>318</v>
      </c>
      <c r="B1947" s="522" t="s">
        <v>971</v>
      </c>
      <c r="C1947" s="522" t="s">
        <v>329</v>
      </c>
      <c r="D1947" s="521" t="s">
        <v>972</v>
      </c>
      <c r="E1947" s="522">
        <v>201611</v>
      </c>
      <c r="F1947" s="523">
        <v>204.71</v>
      </c>
      <c r="G1947" s="521">
        <v>5.5</v>
      </c>
      <c r="H1947" s="524">
        <v>1.3083000000000001E-3</v>
      </c>
      <c r="I1947" s="523">
        <v>1.47</v>
      </c>
      <c r="J1947" s="448">
        <v>3.21</v>
      </c>
      <c r="N1947" s="590"/>
      <c r="O1947" s="590"/>
      <c r="R1947" s="440"/>
    </row>
    <row r="1948" spans="1:18" s="559" customFormat="1">
      <c r="A1948" s="521" t="s">
        <v>318</v>
      </c>
      <c r="B1948" s="522" t="s">
        <v>973</v>
      </c>
      <c r="C1948" s="522" t="s">
        <v>330</v>
      </c>
      <c r="D1948" s="521" t="s">
        <v>974</v>
      </c>
      <c r="E1948" s="522">
        <v>201611</v>
      </c>
      <c r="F1948" s="523">
        <v>-2.4</v>
      </c>
      <c r="G1948" s="521">
        <v>5.5</v>
      </c>
      <c r="H1948" s="524">
        <v>1.3083000000000001E-3</v>
      </c>
      <c r="I1948" s="523">
        <v>-0.02</v>
      </c>
      <c r="J1948" s="448">
        <v>-0.04</v>
      </c>
      <c r="N1948" s="590"/>
      <c r="O1948" s="590"/>
      <c r="R1948" s="440"/>
    </row>
    <row r="1949" spans="1:18" s="559" customFormat="1">
      <c r="A1949" s="521" t="s">
        <v>318</v>
      </c>
      <c r="B1949" s="522" t="s">
        <v>973</v>
      </c>
      <c r="C1949" s="522" t="s">
        <v>330</v>
      </c>
      <c r="D1949" s="521" t="s">
        <v>974</v>
      </c>
      <c r="E1949" s="522">
        <v>201611</v>
      </c>
      <c r="F1949" s="523">
        <v>-0.08</v>
      </c>
      <c r="G1949" s="521">
        <v>5.5</v>
      </c>
      <c r="H1949" s="524">
        <v>1.3083000000000001E-3</v>
      </c>
      <c r="I1949" s="523">
        <v>0</v>
      </c>
      <c r="J1949" s="448">
        <v>0</v>
      </c>
      <c r="N1949" s="590"/>
      <c r="O1949" s="590"/>
      <c r="R1949" s="440"/>
    </row>
    <row r="1950" spans="1:18" s="559" customFormat="1">
      <c r="A1950" s="521" t="s">
        <v>318</v>
      </c>
      <c r="B1950" s="522" t="s">
        <v>868</v>
      </c>
      <c r="C1950" s="522" t="s">
        <v>330</v>
      </c>
      <c r="D1950" s="521" t="s">
        <v>869</v>
      </c>
      <c r="E1950" s="522">
        <v>201611</v>
      </c>
      <c r="F1950" s="523">
        <v>-357062.92</v>
      </c>
      <c r="G1950" s="521">
        <v>5.5</v>
      </c>
      <c r="H1950" s="524">
        <v>1.3083000000000001E-3</v>
      </c>
      <c r="I1950" s="523">
        <v>-2569.3000000000002</v>
      </c>
      <c r="J1950" s="448">
        <v>-5605.75</v>
      </c>
      <c r="N1950" s="590"/>
      <c r="O1950" s="590"/>
      <c r="R1950" s="440"/>
    </row>
    <row r="1951" spans="1:18" s="559" customFormat="1">
      <c r="A1951" s="521" t="s">
        <v>318</v>
      </c>
      <c r="B1951" s="522" t="s">
        <v>868</v>
      </c>
      <c r="C1951" s="522" t="s">
        <v>330</v>
      </c>
      <c r="D1951" s="521" t="s">
        <v>869</v>
      </c>
      <c r="E1951" s="522">
        <v>201611</v>
      </c>
      <c r="F1951" s="523">
        <v>-14930.53</v>
      </c>
      <c r="G1951" s="521">
        <v>5.5</v>
      </c>
      <c r="H1951" s="524">
        <v>1.3083000000000001E-3</v>
      </c>
      <c r="I1951" s="523">
        <v>-107.43</v>
      </c>
      <c r="J1951" s="448">
        <v>-234.4</v>
      </c>
      <c r="N1951" s="590"/>
      <c r="O1951" s="590"/>
      <c r="R1951" s="440"/>
    </row>
    <row r="1952" spans="1:18" s="559" customFormat="1">
      <c r="A1952" s="521" t="s">
        <v>318</v>
      </c>
      <c r="B1952" s="522" t="s">
        <v>868</v>
      </c>
      <c r="C1952" s="522" t="s">
        <v>330</v>
      </c>
      <c r="D1952" s="521" t="s">
        <v>869</v>
      </c>
      <c r="E1952" s="522">
        <v>201611</v>
      </c>
      <c r="F1952" s="523">
        <v>93012.77</v>
      </c>
      <c r="G1952" s="521">
        <v>5.5</v>
      </c>
      <c r="H1952" s="524">
        <v>1.3083000000000001E-3</v>
      </c>
      <c r="I1952" s="523">
        <v>669.29</v>
      </c>
      <c r="J1952" s="448">
        <v>1460.26</v>
      </c>
      <c r="N1952" s="590"/>
      <c r="O1952" s="590"/>
      <c r="R1952" s="440"/>
    </row>
    <row r="1953" spans="1:18" s="559" customFormat="1">
      <c r="A1953" s="521" t="s">
        <v>318</v>
      </c>
      <c r="B1953" s="522" t="s">
        <v>868</v>
      </c>
      <c r="C1953" s="522" t="s">
        <v>330</v>
      </c>
      <c r="D1953" s="521" t="s">
        <v>869</v>
      </c>
      <c r="E1953" s="522">
        <v>201611</v>
      </c>
      <c r="F1953" s="523">
        <v>416358.07</v>
      </c>
      <c r="G1953" s="521">
        <v>5.5</v>
      </c>
      <c r="H1953" s="524">
        <v>1.3083000000000001E-3</v>
      </c>
      <c r="I1953" s="523">
        <v>2995.97</v>
      </c>
      <c r="J1953" s="448">
        <v>6536.66</v>
      </c>
      <c r="N1953" s="590"/>
      <c r="O1953" s="590"/>
      <c r="R1953" s="440"/>
    </row>
    <row r="1954" spans="1:18" s="559" customFormat="1">
      <c r="A1954" s="521" t="s">
        <v>318</v>
      </c>
      <c r="B1954" s="522" t="s">
        <v>1037</v>
      </c>
      <c r="C1954" s="522" t="s">
        <v>329</v>
      </c>
      <c r="D1954" s="521" t="s">
        <v>1038</v>
      </c>
      <c r="E1954" s="522">
        <v>201611</v>
      </c>
      <c r="F1954" s="523">
        <v>40.53</v>
      </c>
      <c r="G1954" s="521">
        <v>5.5</v>
      </c>
      <c r="H1954" s="524">
        <v>1.3083000000000001E-3</v>
      </c>
      <c r="I1954" s="523">
        <v>0.28999999999999998</v>
      </c>
      <c r="J1954" s="448">
        <v>0.64</v>
      </c>
      <c r="N1954" s="590"/>
      <c r="O1954" s="590"/>
      <c r="R1954" s="440"/>
    </row>
    <row r="1955" spans="1:18" s="559" customFormat="1">
      <c r="A1955" s="521" t="s">
        <v>318</v>
      </c>
      <c r="B1955" s="522" t="s">
        <v>1037</v>
      </c>
      <c r="C1955" s="522" t="s">
        <v>329</v>
      </c>
      <c r="D1955" s="521" t="s">
        <v>1038</v>
      </c>
      <c r="E1955" s="522">
        <v>201611</v>
      </c>
      <c r="F1955" s="523">
        <v>536.70000000000005</v>
      </c>
      <c r="G1955" s="521">
        <v>5.5</v>
      </c>
      <c r="H1955" s="524">
        <v>1.3083000000000001E-3</v>
      </c>
      <c r="I1955" s="523">
        <v>3.86</v>
      </c>
      <c r="J1955" s="448">
        <v>8.43</v>
      </c>
      <c r="N1955" s="590"/>
      <c r="O1955" s="590"/>
      <c r="R1955" s="440"/>
    </row>
    <row r="1956" spans="1:18" s="559" customFormat="1">
      <c r="A1956" s="521" t="s">
        <v>318</v>
      </c>
      <c r="B1956" s="522" t="s">
        <v>850</v>
      </c>
      <c r="C1956" s="522" t="s">
        <v>329</v>
      </c>
      <c r="D1956" s="521" t="s">
        <v>851</v>
      </c>
      <c r="E1956" s="522">
        <v>201611</v>
      </c>
      <c r="F1956" s="523">
        <v>-23.71</v>
      </c>
      <c r="G1956" s="521">
        <v>5.5</v>
      </c>
      <c r="H1956" s="524">
        <v>1.3083000000000001E-3</v>
      </c>
      <c r="I1956" s="523">
        <v>-0.17</v>
      </c>
      <c r="J1956" s="448">
        <v>-0.37</v>
      </c>
      <c r="N1956" s="590"/>
      <c r="O1956" s="590"/>
      <c r="R1956" s="440"/>
    </row>
    <row r="1957" spans="1:18" s="559" customFormat="1">
      <c r="A1957" s="521" t="s">
        <v>318</v>
      </c>
      <c r="B1957" s="522" t="s">
        <v>850</v>
      </c>
      <c r="C1957" s="522" t="s">
        <v>329</v>
      </c>
      <c r="D1957" s="521" t="s">
        <v>851</v>
      </c>
      <c r="E1957" s="522">
        <v>201611</v>
      </c>
      <c r="F1957" s="523">
        <v>-1.96</v>
      </c>
      <c r="G1957" s="521">
        <v>5.5</v>
      </c>
      <c r="H1957" s="524">
        <v>1.3083000000000001E-3</v>
      </c>
      <c r="I1957" s="523">
        <v>-0.01</v>
      </c>
      <c r="J1957" s="448">
        <v>-0.03</v>
      </c>
      <c r="N1957" s="590"/>
      <c r="O1957" s="590"/>
      <c r="R1957" s="440"/>
    </row>
    <row r="1958" spans="1:18" s="559" customFormat="1">
      <c r="A1958" s="521" t="s">
        <v>318</v>
      </c>
      <c r="B1958" s="522" t="s">
        <v>1069</v>
      </c>
      <c r="C1958" s="522" t="s">
        <v>330</v>
      </c>
      <c r="D1958" s="521" t="s">
        <v>1105</v>
      </c>
      <c r="E1958" s="522">
        <v>201611</v>
      </c>
      <c r="F1958" s="523">
        <v>-2518.46</v>
      </c>
      <c r="G1958" s="521">
        <v>5.5</v>
      </c>
      <c r="H1958" s="524">
        <v>1.3083000000000001E-3</v>
      </c>
      <c r="I1958" s="523">
        <v>-18.12</v>
      </c>
      <c r="J1958" s="448">
        <v>-39.54</v>
      </c>
      <c r="N1958" s="590"/>
      <c r="O1958" s="590"/>
      <c r="R1958" s="440"/>
    </row>
    <row r="1959" spans="1:18" s="559" customFormat="1">
      <c r="A1959" s="521" t="s">
        <v>318</v>
      </c>
      <c r="B1959" s="522" t="s">
        <v>1069</v>
      </c>
      <c r="C1959" s="522" t="s">
        <v>330</v>
      </c>
      <c r="D1959" s="521" t="s">
        <v>1105</v>
      </c>
      <c r="E1959" s="522">
        <v>201611</v>
      </c>
      <c r="F1959" s="523">
        <v>-114</v>
      </c>
      <c r="G1959" s="521">
        <v>5.5</v>
      </c>
      <c r="H1959" s="524">
        <v>1.3083000000000001E-3</v>
      </c>
      <c r="I1959" s="523">
        <v>-0.82</v>
      </c>
      <c r="J1959" s="448">
        <v>-1.79</v>
      </c>
      <c r="N1959" s="590"/>
      <c r="O1959" s="590"/>
      <c r="R1959" s="440"/>
    </row>
    <row r="1960" spans="1:18" s="559" customFormat="1">
      <c r="A1960" s="521" t="s">
        <v>318</v>
      </c>
      <c r="B1960" s="522" t="s">
        <v>975</v>
      </c>
      <c r="C1960" s="522" t="s">
        <v>330</v>
      </c>
      <c r="D1960" s="521" t="s">
        <v>976</v>
      </c>
      <c r="E1960" s="522">
        <v>201611</v>
      </c>
      <c r="F1960" s="523">
        <v>0.65</v>
      </c>
      <c r="G1960" s="521">
        <v>5.5</v>
      </c>
      <c r="H1960" s="524">
        <v>1.3083000000000001E-3</v>
      </c>
      <c r="I1960" s="523">
        <v>0</v>
      </c>
      <c r="J1960" s="448">
        <v>0.01</v>
      </c>
      <c r="N1960" s="590"/>
      <c r="O1960" s="590"/>
      <c r="R1960" s="440"/>
    </row>
    <row r="1961" spans="1:18" s="559" customFormat="1">
      <c r="A1961" s="521" t="s">
        <v>318</v>
      </c>
      <c r="B1961" s="522" t="s">
        <v>975</v>
      </c>
      <c r="C1961" s="522" t="s">
        <v>330</v>
      </c>
      <c r="D1961" s="521" t="s">
        <v>976</v>
      </c>
      <c r="E1961" s="522">
        <v>201611</v>
      </c>
      <c r="F1961" s="523">
        <v>45.74</v>
      </c>
      <c r="G1961" s="521">
        <v>5.5</v>
      </c>
      <c r="H1961" s="524">
        <v>1.3083000000000001E-3</v>
      </c>
      <c r="I1961" s="523">
        <v>0.33</v>
      </c>
      <c r="J1961" s="448">
        <v>0.72</v>
      </c>
      <c r="N1961" s="590"/>
      <c r="O1961" s="590"/>
      <c r="R1961" s="440"/>
    </row>
    <row r="1962" spans="1:18" s="559" customFormat="1">
      <c r="A1962" s="521" t="s">
        <v>318</v>
      </c>
      <c r="B1962" s="522" t="s">
        <v>852</v>
      </c>
      <c r="C1962" s="522" t="s">
        <v>330</v>
      </c>
      <c r="D1962" s="521" t="s">
        <v>853</v>
      </c>
      <c r="E1962" s="522">
        <v>201611</v>
      </c>
      <c r="F1962" s="523">
        <v>1325.56</v>
      </c>
      <c r="G1962" s="521">
        <v>5.5</v>
      </c>
      <c r="H1962" s="524">
        <v>1.3083000000000001E-3</v>
      </c>
      <c r="I1962" s="523">
        <v>9.5399999999999991</v>
      </c>
      <c r="J1962" s="448">
        <v>20.81</v>
      </c>
      <c r="N1962" s="590"/>
      <c r="O1962" s="590"/>
      <c r="R1962" s="440"/>
    </row>
    <row r="1963" spans="1:18" s="559" customFormat="1">
      <c r="A1963" s="521" t="s">
        <v>318</v>
      </c>
      <c r="B1963" s="522" t="s">
        <v>852</v>
      </c>
      <c r="C1963" s="522" t="s">
        <v>330</v>
      </c>
      <c r="D1963" s="521" t="s">
        <v>853</v>
      </c>
      <c r="E1963" s="522">
        <v>201611</v>
      </c>
      <c r="F1963" s="523">
        <v>6829.36</v>
      </c>
      <c r="G1963" s="521">
        <v>5.5</v>
      </c>
      <c r="H1963" s="524">
        <v>1.3083000000000001E-3</v>
      </c>
      <c r="I1963" s="523">
        <v>49.14</v>
      </c>
      <c r="J1963" s="448">
        <v>107.22</v>
      </c>
      <c r="N1963" s="590"/>
      <c r="O1963" s="590"/>
      <c r="R1963" s="440"/>
    </row>
    <row r="1964" spans="1:18" s="559" customFormat="1">
      <c r="A1964" s="521" t="s">
        <v>318</v>
      </c>
      <c r="B1964" s="522" t="s">
        <v>870</v>
      </c>
      <c r="C1964" s="522" t="s">
        <v>330</v>
      </c>
      <c r="D1964" s="521" t="s">
        <v>871</v>
      </c>
      <c r="E1964" s="522">
        <v>201611</v>
      </c>
      <c r="F1964" s="523">
        <v>-13596.24</v>
      </c>
      <c r="G1964" s="521">
        <v>5.5</v>
      </c>
      <c r="H1964" s="524">
        <v>1.3083000000000001E-3</v>
      </c>
      <c r="I1964" s="523">
        <v>-97.83</v>
      </c>
      <c r="J1964" s="448">
        <v>-213.46</v>
      </c>
      <c r="N1964" s="590"/>
      <c r="O1964" s="590"/>
      <c r="R1964" s="440"/>
    </row>
    <row r="1965" spans="1:18" s="559" customFormat="1">
      <c r="A1965" s="521" t="s">
        <v>318</v>
      </c>
      <c r="B1965" s="522" t="s">
        <v>870</v>
      </c>
      <c r="C1965" s="522" t="s">
        <v>330</v>
      </c>
      <c r="D1965" s="521" t="s">
        <v>871</v>
      </c>
      <c r="E1965" s="522">
        <v>201611</v>
      </c>
      <c r="F1965" s="523">
        <v>12007.77</v>
      </c>
      <c r="G1965" s="521">
        <v>5.5</v>
      </c>
      <c r="H1965" s="524">
        <v>1.3083000000000001E-3</v>
      </c>
      <c r="I1965" s="523">
        <v>86.4</v>
      </c>
      <c r="J1965" s="448">
        <v>188.52</v>
      </c>
      <c r="N1965" s="590"/>
      <c r="O1965" s="590"/>
      <c r="R1965" s="440"/>
    </row>
    <row r="1966" spans="1:18" s="559" customFormat="1">
      <c r="A1966" s="521" t="s">
        <v>318</v>
      </c>
      <c r="B1966" s="522" t="s">
        <v>1039</v>
      </c>
      <c r="C1966" s="522" t="s">
        <v>330</v>
      </c>
      <c r="D1966" s="521" t="s">
        <v>1040</v>
      </c>
      <c r="E1966" s="522">
        <v>201611</v>
      </c>
      <c r="F1966" s="523">
        <v>263.55</v>
      </c>
      <c r="G1966" s="521">
        <v>5.5</v>
      </c>
      <c r="H1966" s="524">
        <v>1.3083000000000001E-3</v>
      </c>
      <c r="I1966" s="523">
        <v>1.9</v>
      </c>
      <c r="J1966" s="448">
        <v>4.1399999999999997</v>
      </c>
      <c r="N1966" s="590"/>
      <c r="O1966" s="590"/>
      <c r="R1966" s="440"/>
    </row>
    <row r="1967" spans="1:18" s="559" customFormat="1">
      <c r="A1967" s="521" t="s">
        <v>318</v>
      </c>
      <c r="B1967" s="522" t="s">
        <v>1039</v>
      </c>
      <c r="C1967" s="522" t="s">
        <v>330</v>
      </c>
      <c r="D1967" s="521" t="s">
        <v>1040</v>
      </c>
      <c r="E1967" s="522">
        <v>201611</v>
      </c>
      <c r="F1967" s="523">
        <v>5348.74</v>
      </c>
      <c r="G1967" s="521">
        <v>5.5</v>
      </c>
      <c r="H1967" s="524">
        <v>1.3083000000000001E-3</v>
      </c>
      <c r="I1967" s="523">
        <v>38.49</v>
      </c>
      <c r="J1967" s="448">
        <v>83.97</v>
      </c>
      <c r="N1967" s="590"/>
      <c r="O1967" s="590"/>
      <c r="R1967" s="440"/>
    </row>
    <row r="1968" spans="1:18" s="559" customFormat="1">
      <c r="A1968" s="521" t="s">
        <v>318</v>
      </c>
      <c r="B1968" s="522" t="s">
        <v>872</v>
      </c>
      <c r="C1968" s="522" t="s">
        <v>330</v>
      </c>
      <c r="D1968" s="521" t="s">
        <v>873</v>
      </c>
      <c r="E1968" s="522">
        <v>201611</v>
      </c>
      <c r="F1968" s="523">
        <v>-18745.8</v>
      </c>
      <c r="G1968" s="521">
        <v>5.5</v>
      </c>
      <c r="H1968" s="524">
        <v>1.3083000000000001E-3</v>
      </c>
      <c r="I1968" s="523">
        <v>-134.88999999999999</v>
      </c>
      <c r="J1968" s="448">
        <v>-294.3</v>
      </c>
      <c r="N1968" s="590"/>
      <c r="O1968" s="590"/>
      <c r="R1968" s="440"/>
    </row>
    <row r="1969" spans="1:18" s="559" customFormat="1">
      <c r="A1969" s="521" t="s">
        <v>318</v>
      </c>
      <c r="B1969" s="522" t="s">
        <v>872</v>
      </c>
      <c r="C1969" s="522" t="s">
        <v>330</v>
      </c>
      <c r="D1969" s="521" t="s">
        <v>873</v>
      </c>
      <c r="E1969" s="522">
        <v>201611</v>
      </c>
      <c r="F1969" s="523">
        <v>905.16</v>
      </c>
      <c r="G1969" s="521">
        <v>5.5</v>
      </c>
      <c r="H1969" s="524">
        <v>1.3083000000000001E-3</v>
      </c>
      <c r="I1969" s="523">
        <v>6.51</v>
      </c>
      <c r="J1969" s="448">
        <v>14.21</v>
      </c>
      <c r="N1969" s="590"/>
      <c r="O1969" s="590"/>
      <c r="R1969" s="440"/>
    </row>
    <row r="1970" spans="1:18" s="559" customFormat="1">
      <c r="A1970" s="521" t="s">
        <v>318</v>
      </c>
      <c r="B1970" s="522" t="s">
        <v>977</v>
      </c>
      <c r="C1970" s="522" t="s">
        <v>330</v>
      </c>
      <c r="D1970" s="521" t="s">
        <v>978</v>
      </c>
      <c r="E1970" s="522">
        <v>201611</v>
      </c>
      <c r="F1970" s="523">
        <v>22.9</v>
      </c>
      <c r="G1970" s="521">
        <v>5.5</v>
      </c>
      <c r="H1970" s="524">
        <v>1.3083000000000001E-3</v>
      </c>
      <c r="I1970" s="523">
        <v>0.16</v>
      </c>
      <c r="J1970" s="448">
        <v>0.36</v>
      </c>
      <c r="N1970" s="590"/>
      <c r="O1970" s="590"/>
      <c r="R1970" s="440"/>
    </row>
    <row r="1971" spans="1:18" s="559" customFormat="1">
      <c r="A1971" s="521" t="s">
        <v>318</v>
      </c>
      <c r="B1971" s="522" t="s">
        <v>977</v>
      </c>
      <c r="C1971" s="522" t="s">
        <v>330</v>
      </c>
      <c r="D1971" s="521" t="s">
        <v>978</v>
      </c>
      <c r="E1971" s="522">
        <v>201611</v>
      </c>
      <c r="F1971" s="523">
        <v>360.88</v>
      </c>
      <c r="G1971" s="521">
        <v>5.5</v>
      </c>
      <c r="H1971" s="524">
        <v>1.3083000000000001E-3</v>
      </c>
      <c r="I1971" s="523">
        <v>2.6</v>
      </c>
      <c r="J1971" s="448">
        <v>5.67</v>
      </c>
      <c r="N1971" s="590"/>
      <c r="O1971" s="590"/>
      <c r="R1971" s="440"/>
    </row>
    <row r="1972" spans="1:18" s="559" customFormat="1">
      <c r="A1972" s="521" t="s">
        <v>318</v>
      </c>
      <c r="B1972" s="522" t="s">
        <v>1041</v>
      </c>
      <c r="C1972" s="522" t="s">
        <v>330</v>
      </c>
      <c r="D1972" s="521" t="s">
        <v>1042</v>
      </c>
      <c r="E1972" s="522">
        <v>201611</v>
      </c>
      <c r="F1972" s="523">
        <v>251.15</v>
      </c>
      <c r="G1972" s="521">
        <v>5.5</v>
      </c>
      <c r="H1972" s="524">
        <v>1.3083000000000001E-3</v>
      </c>
      <c r="I1972" s="523">
        <v>1.81</v>
      </c>
      <c r="J1972" s="448">
        <v>3.94</v>
      </c>
      <c r="N1972" s="590"/>
      <c r="O1972" s="590"/>
      <c r="R1972" s="440"/>
    </row>
    <row r="1973" spans="1:18" s="559" customFormat="1">
      <c r="A1973" s="521" t="s">
        <v>318</v>
      </c>
      <c r="B1973" s="522" t="s">
        <v>1041</v>
      </c>
      <c r="C1973" s="522" t="s">
        <v>330</v>
      </c>
      <c r="D1973" s="521" t="s">
        <v>1042</v>
      </c>
      <c r="E1973" s="522">
        <v>201611</v>
      </c>
      <c r="F1973" s="523">
        <v>3360.47</v>
      </c>
      <c r="G1973" s="521">
        <v>5.5</v>
      </c>
      <c r="H1973" s="524">
        <v>1.3083000000000001E-3</v>
      </c>
      <c r="I1973" s="523">
        <v>24.18</v>
      </c>
      <c r="J1973" s="448">
        <v>52.76</v>
      </c>
      <c r="N1973" s="590"/>
      <c r="O1973" s="590"/>
      <c r="R1973" s="440"/>
    </row>
    <row r="1974" spans="1:18" s="559" customFormat="1">
      <c r="A1974" s="521" t="s">
        <v>318</v>
      </c>
      <c r="B1974" s="522" t="s">
        <v>979</v>
      </c>
      <c r="C1974" s="522" t="s">
        <v>330</v>
      </c>
      <c r="D1974" s="521" t="s">
        <v>980</v>
      </c>
      <c r="E1974" s="522">
        <v>201611</v>
      </c>
      <c r="F1974" s="523">
        <v>1.43</v>
      </c>
      <c r="G1974" s="521">
        <v>5.5</v>
      </c>
      <c r="H1974" s="524">
        <v>1.3083000000000001E-3</v>
      </c>
      <c r="I1974" s="523">
        <v>0.01</v>
      </c>
      <c r="J1974" s="448">
        <v>0.02</v>
      </c>
      <c r="N1974" s="590"/>
      <c r="O1974" s="590"/>
      <c r="R1974" s="440"/>
    </row>
    <row r="1975" spans="1:18" s="559" customFormat="1">
      <c r="A1975" s="521" t="s">
        <v>318</v>
      </c>
      <c r="B1975" s="522" t="s">
        <v>979</v>
      </c>
      <c r="C1975" s="522" t="s">
        <v>330</v>
      </c>
      <c r="D1975" s="521" t="s">
        <v>980</v>
      </c>
      <c r="E1975" s="522">
        <v>201611</v>
      </c>
      <c r="F1975" s="523">
        <v>29.04</v>
      </c>
      <c r="G1975" s="521">
        <v>5.5</v>
      </c>
      <c r="H1975" s="524">
        <v>1.3083000000000001E-3</v>
      </c>
      <c r="I1975" s="523">
        <v>0.21</v>
      </c>
      <c r="J1975" s="448">
        <v>0.46</v>
      </c>
      <c r="N1975" s="590"/>
      <c r="O1975" s="590"/>
      <c r="R1975" s="440"/>
    </row>
    <row r="1976" spans="1:18" s="559" customFormat="1">
      <c r="A1976" s="521" t="s">
        <v>318</v>
      </c>
      <c r="B1976" s="522" t="s">
        <v>981</v>
      </c>
      <c r="C1976" s="522" t="s">
        <v>330</v>
      </c>
      <c r="D1976" s="521" t="s">
        <v>1014</v>
      </c>
      <c r="E1976" s="522">
        <v>201611</v>
      </c>
      <c r="F1976" s="523">
        <v>18.66</v>
      </c>
      <c r="G1976" s="521">
        <v>5.5</v>
      </c>
      <c r="H1976" s="524">
        <v>1.3083000000000001E-3</v>
      </c>
      <c r="I1976" s="523">
        <v>0.13</v>
      </c>
      <c r="J1976" s="448">
        <v>0.28999999999999998</v>
      </c>
      <c r="N1976" s="590"/>
      <c r="O1976" s="590"/>
      <c r="R1976" s="440"/>
    </row>
    <row r="1977" spans="1:18" s="559" customFormat="1">
      <c r="A1977" s="521" t="s">
        <v>318</v>
      </c>
      <c r="B1977" s="522" t="s">
        <v>981</v>
      </c>
      <c r="C1977" s="522" t="s">
        <v>330</v>
      </c>
      <c r="D1977" s="521" t="s">
        <v>1014</v>
      </c>
      <c r="E1977" s="522">
        <v>201611</v>
      </c>
      <c r="F1977" s="523">
        <v>102.47</v>
      </c>
      <c r="G1977" s="521">
        <v>5.5</v>
      </c>
      <c r="H1977" s="524">
        <v>1.3083000000000001E-3</v>
      </c>
      <c r="I1977" s="523">
        <v>0.74</v>
      </c>
      <c r="J1977" s="448">
        <v>1.61</v>
      </c>
      <c r="N1977" s="590"/>
      <c r="O1977" s="590"/>
      <c r="R1977" s="440"/>
    </row>
    <row r="1978" spans="1:18" s="559" customFormat="1">
      <c r="A1978" s="521" t="s">
        <v>318</v>
      </c>
      <c r="B1978" s="522" t="s">
        <v>981</v>
      </c>
      <c r="C1978" s="522" t="s">
        <v>330</v>
      </c>
      <c r="D1978" s="521" t="s">
        <v>1014</v>
      </c>
      <c r="E1978" s="522">
        <v>201611</v>
      </c>
      <c r="F1978" s="523">
        <v>2023.18</v>
      </c>
      <c r="G1978" s="521">
        <v>5.5</v>
      </c>
      <c r="H1978" s="524">
        <v>1.3083000000000001E-3</v>
      </c>
      <c r="I1978" s="523">
        <v>14.56</v>
      </c>
      <c r="J1978" s="448">
        <v>31.76</v>
      </c>
      <c r="N1978" s="590"/>
      <c r="O1978" s="590"/>
      <c r="R1978" s="440"/>
    </row>
    <row r="1979" spans="1:18" s="559" customFormat="1">
      <c r="A1979" s="521" t="s">
        <v>318</v>
      </c>
      <c r="B1979" s="522" t="s">
        <v>874</v>
      </c>
      <c r="C1979" s="522" t="s">
        <v>330</v>
      </c>
      <c r="D1979" s="521" t="s">
        <v>875</v>
      </c>
      <c r="E1979" s="522">
        <v>201611</v>
      </c>
      <c r="F1979" s="523">
        <v>-2553.87</v>
      </c>
      <c r="G1979" s="521">
        <v>5.5</v>
      </c>
      <c r="H1979" s="524">
        <v>1.3083000000000001E-3</v>
      </c>
      <c r="I1979" s="523">
        <v>-18.38</v>
      </c>
      <c r="J1979" s="448">
        <v>-40.090000000000003</v>
      </c>
      <c r="N1979" s="590"/>
      <c r="O1979" s="590"/>
      <c r="R1979" s="440"/>
    </row>
    <row r="1980" spans="1:18" s="559" customFormat="1">
      <c r="A1980" s="521" t="s">
        <v>318</v>
      </c>
      <c r="B1980" s="522" t="s">
        <v>874</v>
      </c>
      <c r="C1980" s="522" t="s">
        <v>330</v>
      </c>
      <c r="D1980" s="521" t="s">
        <v>875</v>
      </c>
      <c r="E1980" s="522">
        <v>201611</v>
      </c>
      <c r="F1980" s="523">
        <v>1916.25</v>
      </c>
      <c r="G1980" s="521">
        <v>5.5</v>
      </c>
      <c r="H1980" s="524">
        <v>1.3083000000000001E-3</v>
      </c>
      <c r="I1980" s="523">
        <v>13.79</v>
      </c>
      <c r="J1980" s="448">
        <v>30.08</v>
      </c>
      <c r="N1980" s="590"/>
      <c r="O1980" s="590"/>
      <c r="R1980" s="440"/>
    </row>
    <row r="1981" spans="1:18" s="559" customFormat="1">
      <c r="A1981" s="521" t="s">
        <v>318</v>
      </c>
      <c r="B1981" s="522" t="s">
        <v>983</v>
      </c>
      <c r="C1981" s="522" t="s">
        <v>330</v>
      </c>
      <c r="D1981" s="521" t="s">
        <v>984</v>
      </c>
      <c r="E1981" s="522">
        <v>201611</v>
      </c>
      <c r="F1981" s="523">
        <v>1.48</v>
      </c>
      <c r="G1981" s="521">
        <v>5.5</v>
      </c>
      <c r="H1981" s="524">
        <v>1.3083000000000001E-3</v>
      </c>
      <c r="I1981" s="523">
        <v>0.01</v>
      </c>
      <c r="J1981" s="448">
        <v>0.02</v>
      </c>
      <c r="N1981" s="590"/>
      <c r="O1981" s="590"/>
      <c r="R1981" s="440"/>
    </row>
    <row r="1982" spans="1:18" s="559" customFormat="1">
      <c r="A1982" s="521" t="s">
        <v>318</v>
      </c>
      <c r="B1982" s="522" t="s">
        <v>983</v>
      </c>
      <c r="C1982" s="522" t="s">
        <v>330</v>
      </c>
      <c r="D1982" s="521" t="s">
        <v>984</v>
      </c>
      <c r="E1982" s="522">
        <v>201611</v>
      </c>
      <c r="F1982" s="523">
        <v>41.57</v>
      </c>
      <c r="G1982" s="521">
        <v>5.5</v>
      </c>
      <c r="H1982" s="524">
        <v>1.3083000000000001E-3</v>
      </c>
      <c r="I1982" s="523">
        <v>0.3</v>
      </c>
      <c r="J1982" s="448">
        <v>0.65</v>
      </c>
      <c r="N1982" s="590"/>
      <c r="O1982" s="590"/>
      <c r="R1982" s="440"/>
    </row>
    <row r="1983" spans="1:18" s="559" customFormat="1">
      <c r="A1983" s="521" t="s">
        <v>318</v>
      </c>
      <c r="B1983" s="522" t="s">
        <v>1043</v>
      </c>
      <c r="C1983" s="522" t="s">
        <v>330</v>
      </c>
      <c r="D1983" s="521" t="s">
        <v>1044</v>
      </c>
      <c r="E1983" s="522">
        <v>201611</v>
      </c>
      <c r="F1983" s="523">
        <v>14.91</v>
      </c>
      <c r="G1983" s="521">
        <v>5.5</v>
      </c>
      <c r="H1983" s="524">
        <v>1.3083000000000001E-3</v>
      </c>
      <c r="I1983" s="523">
        <v>0.11</v>
      </c>
      <c r="J1983" s="448">
        <v>0.23</v>
      </c>
      <c r="N1983" s="590"/>
      <c r="O1983" s="590"/>
      <c r="R1983" s="440"/>
    </row>
    <row r="1984" spans="1:18" s="559" customFormat="1">
      <c r="A1984" s="521" t="s">
        <v>318</v>
      </c>
      <c r="B1984" s="522" t="s">
        <v>1043</v>
      </c>
      <c r="C1984" s="522" t="s">
        <v>330</v>
      </c>
      <c r="D1984" s="521" t="s">
        <v>1044</v>
      </c>
      <c r="E1984" s="522">
        <v>201611</v>
      </c>
      <c r="F1984" s="523">
        <v>273.77999999999997</v>
      </c>
      <c r="G1984" s="521">
        <v>5.5</v>
      </c>
      <c r="H1984" s="524">
        <v>1.3083000000000001E-3</v>
      </c>
      <c r="I1984" s="523">
        <v>1.97</v>
      </c>
      <c r="J1984" s="448">
        <v>4.3</v>
      </c>
      <c r="N1984" s="590"/>
      <c r="O1984" s="590"/>
      <c r="R1984" s="440"/>
    </row>
    <row r="1985" spans="1:18" s="559" customFormat="1">
      <c r="A1985" s="521" t="s">
        <v>318</v>
      </c>
      <c r="B1985" s="522" t="s">
        <v>876</v>
      </c>
      <c r="C1985" s="522" t="s">
        <v>330</v>
      </c>
      <c r="D1985" s="521" t="s">
        <v>877</v>
      </c>
      <c r="E1985" s="522">
        <v>201611</v>
      </c>
      <c r="F1985" s="523">
        <v>-74.81</v>
      </c>
      <c r="G1985" s="521">
        <v>5.5</v>
      </c>
      <c r="H1985" s="524">
        <v>1.3083000000000001E-3</v>
      </c>
      <c r="I1985" s="523">
        <v>-0.54</v>
      </c>
      <c r="J1985" s="448">
        <v>-1.17</v>
      </c>
      <c r="N1985" s="590"/>
      <c r="O1985" s="590"/>
      <c r="R1985" s="440"/>
    </row>
    <row r="1986" spans="1:18" s="559" customFormat="1">
      <c r="A1986" s="521" t="s">
        <v>318</v>
      </c>
      <c r="B1986" s="522" t="s">
        <v>876</v>
      </c>
      <c r="C1986" s="522" t="s">
        <v>330</v>
      </c>
      <c r="D1986" s="521" t="s">
        <v>877</v>
      </c>
      <c r="E1986" s="522">
        <v>201611</v>
      </c>
      <c r="F1986" s="523">
        <v>-4.22</v>
      </c>
      <c r="G1986" s="521">
        <v>5.5</v>
      </c>
      <c r="H1986" s="524">
        <v>1.3083000000000001E-3</v>
      </c>
      <c r="I1986" s="523">
        <v>-0.03</v>
      </c>
      <c r="J1986" s="448">
        <v>-7.0000000000000007E-2</v>
      </c>
      <c r="N1986" s="590"/>
      <c r="O1986" s="590"/>
      <c r="R1986" s="440"/>
    </row>
    <row r="1987" spans="1:18" s="559" customFormat="1">
      <c r="A1987" s="521" t="s">
        <v>318</v>
      </c>
      <c r="B1987" s="522" t="s">
        <v>1045</v>
      </c>
      <c r="C1987" s="522" t="s">
        <v>330</v>
      </c>
      <c r="D1987" s="521" t="s">
        <v>1046</v>
      </c>
      <c r="E1987" s="522">
        <v>201611</v>
      </c>
      <c r="F1987" s="523">
        <v>1.1499999999999999</v>
      </c>
      <c r="G1987" s="521">
        <v>5.5</v>
      </c>
      <c r="H1987" s="524">
        <v>1.3083000000000001E-3</v>
      </c>
      <c r="I1987" s="523">
        <v>0.01</v>
      </c>
      <c r="J1987" s="448">
        <v>0.02</v>
      </c>
      <c r="N1987" s="590"/>
      <c r="O1987" s="590"/>
      <c r="R1987" s="440"/>
    </row>
    <row r="1988" spans="1:18" s="559" customFormat="1">
      <c r="A1988" s="521" t="s">
        <v>318</v>
      </c>
      <c r="B1988" s="522" t="s">
        <v>1045</v>
      </c>
      <c r="C1988" s="522" t="s">
        <v>330</v>
      </c>
      <c r="D1988" s="521" t="s">
        <v>1046</v>
      </c>
      <c r="E1988" s="522">
        <v>201611</v>
      </c>
      <c r="F1988" s="523">
        <v>20.34</v>
      </c>
      <c r="G1988" s="521">
        <v>5.5</v>
      </c>
      <c r="H1988" s="524">
        <v>1.3083000000000001E-3</v>
      </c>
      <c r="I1988" s="523">
        <v>0.15</v>
      </c>
      <c r="J1988" s="448">
        <v>0.32</v>
      </c>
      <c r="N1988" s="590"/>
      <c r="O1988" s="590"/>
      <c r="R1988" s="440"/>
    </row>
    <row r="1989" spans="1:18" s="559" customFormat="1">
      <c r="A1989" s="521" t="s">
        <v>318</v>
      </c>
      <c r="B1989" s="522" t="s">
        <v>987</v>
      </c>
      <c r="C1989" s="522" t="s">
        <v>330</v>
      </c>
      <c r="D1989" s="521" t="s">
        <v>988</v>
      </c>
      <c r="E1989" s="522">
        <v>201611</v>
      </c>
      <c r="F1989" s="523">
        <v>0.09</v>
      </c>
      <c r="G1989" s="521">
        <v>5.5</v>
      </c>
      <c r="H1989" s="524">
        <v>1.3083000000000001E-3</v>
      </c>
      <c r="I1989" s="523">
        <v>0</v>
      </c>
      <c r="J1989" s="448">
        <v>0</v>
      </c>
      <c r="N1989" s="590"/>
      <c r="O1989" s="590"/>
      <c r="R1989" s="440"/>
    </row>
    <row r="1990" spans="1:18" s="559" customFormat="1">
      <c r="A1990" s="521" t="s">
        <v>318</v>
      </c>
      <c r="B1990" s="522" t="s">
        <v>987</v>
      </c>
      <c r="C1990" s="522" t="s">
        <v>330</v>
      </c>
      <c r="D1990" s="521" t="s">
        <v>988</v>
      </c>
      <c r="E1990" s="522">
        <v>201611</v>
      </c>
      <c r="F1990" s="523">
        <v>1.9</v>
      </c>
      <c r="G1990" s="521">
        <v>5.5</v>
      </c>
      <c r="H1990" s="524">
        <v>1.3083000000000001E-3</v>
      </c>
      <c r="I1990" s="523">
        <v>0.01</v>
      </c>
      <c r="J1990" s="448">
        <v>0.03</v>
      </c>
      <c r="N1990" s="590"/>
      <c r="O1990" s="590"/>
      <c r="R1990" s="440"/>
    </row>
    <row r="1991" spans="1:18" s="559" customFormat="1">
      <c r="A1991" s="521" t="s">
        <v>318</v>
      </c>
      <c r="B1991" s="522" t="s">
        <v>991</v>
      </c>
      <c r="C1991" s="522" t="s">
        <v>330</v>
      </c>
      <c r="D1991" s="521" t="s">
        <v>992</v>
      </c>
      <c r="E1991" s="522">
        <v>201611</v>
      </c>
      <c r="F1991" s="523">
        <v>-449.03</v>
      </c>
      <c r="G1991" s="521">
        <v>5.5</v>
      </c>
      <c r="H1991" s="524">
        <v>1.3083000000000001E-3</v>
      </c>
      <c r="I1991" s="523">
        <v>-3.23</v>
      </c>
      <c r="J1991" s="448">
        <v>-7.05</v>
      </c>
      <c r="N1991" s="590"/>
      <c r="O1991" s="590"/>
      <c r="R1991" s="440"/>
    </row>
    <row r="1992" spans="1:18" s="559" customFormat="1">
      <c r="A1992" s="521" t="s">
        <v>318</v>
      </c>
      <c r="B1992" s="522" t="s">
        <v>991</v>
      </c>
      <c r="C1992" s="522" t="s">
        <v>330</v>
      </c>
      <c r="D1992" s="521" t="s">
        <v>992</v>
      </c>
      <c r="E1992" s="522">
        <v>201611</v>
      </c>
      <c r="F1992" s="523">
        <v>114.54</v>
      </c>
      <c r="G1992" s="521">
        <v>5.5</v>
      </c>
      <c r="H1992" s="524">
        <v>1.3083000000000001E-3</v>
      </c>
      <c r="I1992" s="523">
        <v>0.82</v>
      </c>
      <c r="J1992" s="448">
        <v>1.8</v>
      </c>
      <c r="N1992" s="590"/>
      <c r="O1992" s="590"/>
      <c r="R1992" s="440"/>
    </row>
    <row r="1993" spans="1:18" s="559" customFormat="1">
      <c r="A1993" s="521" t="s">
        <v>318</v>
      </c>
      <c r="B1993" s="522" t="s">
        <v>880</v>
      </c>
      <c r="C1993" s="522" t="s">
        <v>330</v>
      </c>
      <c r="D1993" s="521" t="s">
        <v>881</v>
      </c>
      <c r="E1993" s="522">
        <v>201611</v>
      </c>
      <c r="F1993" s="523">
        <v>-31679.119999999999</v>
      </c>
      <c r="G1993" s="521">
        <v>5.5</v>
      </c>
      <c r="H1993" s="524">
        <v>1.3083000000000001E-3</v>
      </c>
      <c r="I1993" s="523">
        <v>-227.95</v>
      </c>
      <c r="J1993" s="448">
        <v>-497.35</v>
      </c>
      <c r="N1993" s="590"/>
      <c r="O1993" s="590"/>
      <c r="R1993" s="440"/>
    </row>
    <row r="1994" spans="1:18" s="559" customFormat="1">
      <c r="A1994" s="521" t="s">
        <v>318</v>
      </c>
      <c r="B1994" s="522" t="s">
        <v>880</v>
      </c>
      <c r="C1994" s="522" t="s">
        <v>330</v>
      </c>
      <c r="D1994" s="521" t="s">
        <v>881</v>
      </c>
      <c r="E1994" s="522">
        <v>201611</v>
      </c>
      <c r="F1994" s="523">
        <v>-1563.71</v>
      </c>
      <c r="G1994" s="521">
        <v>5.5</v>
      </c>
      <c r="H1994" s="524">
        <v>1.3083000000000001E-3</v>
      </c>
      <c r="I1994" s="523">
        <v>-11.25</v>
      </c>
      <c r="J1994" s="448">
        <v>-24.55</v>
      </c>
      <c r="N1994" s="590"/>
      <c r="O1994" s="590"/>
      <c r="R1994" s="440"/>
    </row>
    <row r="1995" spans="1:18" s="559" customFormat="1">
      <c r="A1995" s="521" t="s">
        <v>318</v>
      </c>
      <c r="B1995" s="522" t="s">
        <v>993</v>
      </c>
      <c r="C1995" s="522" t="s">
        <v>330</v>
      </c>
      <c r="D1995" s="521" t="s">
        <v>994</v>
      </c>
      <c r="E1995" s="522">
        <v>201611</v>
      </c>
      <c r="F1995" s="523">
        <v>74.44</v>
      </c>
      <c r="G1995" s="521">
        <v>5.5</v>
      </c>
      <c r="H1995" s="524">
        <v>1.3083000000000001E-3</v>
      </c>
      <c r="I1995" s="523">
        <v>0.54</v>
      </c>
      <c r="J1995" s="448">
        <v>1.17</v>
      </c>
      <c r="N1995" s="590"/>
      <c r="O1995" s="590"/>
      <c r="R1995" s="440"/>
    </row>
    <row r="1996" spans="1:18" s="559" customFormat="1">
      <c r="A1996" s="521" t="s">
        <v>318</v>
      </c>
      <c r="B1996" s="522" t="s">
        <v>993</v>
      </c>
      <c r="C1996" s="522" t="s">
        <v>330</v>
      </c>
      <c r="D1996" s="521" t="s">
        <v>994</v>
      </c>
      <c r="E1996" s="522">
        <v>201611</v>
      </c>
      <c r="F1996" s="523">
        <v>1478.94</v>
      </c>
      <c r="G1996" s="521">
        <v>5.5</v>
      </c>
      <c r="H1996" s="524">
        <v>1.3083000000000001E-3</v>
      </c>
      <c r="I1996" s="523">
        <v>10.64</v>
      </c>
      <c r="J1996" s="448">
        <v>23.22</v>
      </c>
      <c r="N1996" s="590"/>
      <c r="O1996" s="590"/>
      <c r="R1996" s="440"/>
    </row>
    <row r="1997" spans="1:18" s="559" customFormat="1">
      <c r="A1997" s="521" t="s">
        <v>318</v>
      </c>
      <c r="B1997" s="522" t="s">
        <v>996</v>
      </c>
      <c r="C1997" s="522" t="s">
        <v>330</v>
      </c>
      <c r="D1997" s="521" t="s">
        <v>997</v>
      </c>
      <c r="E1997" s="522">
        <v>201611</v>
      </c>
      <c r="F1997" s="523">
        <v>59.92</v>
      </c>
      <c r="G1997" s="521">
        <v>5.5</v>
      </c>
      <c r="H1997" s="524">
        <v>1.3083000000000001E-3</v>
      </c>
      <c r="I1997" s="523">
        <v>0.43</v>
      </c>
      <c r="J1997" s="448">
        <v>0.94</v>
      </c>
      <c r="N1997" s="590"/>
      <c r="O1997" s="590"/>
      <c r="R1997" s="440"/>
    </row>
    <row r="1998" spans="1:18" s="559" customFormat="1">
      <c r="A1998" s="521" t="s">
        <v>318</v>
      </c>
      <c r="B1998" s="522" t="s">
        <v>996</v>
      </c>
      <c r="C1998" s="522" t="s">
        <v>330</v>
      </c>
      <c r="D1998" s="521" t="s">
        <v>997</v>
      </c>
      <c r="E1998" s="522">
        <v>201611</v>
      </c>
      <c r="F1998" s="523">
        <v>1661.15</v>
      </c>
      <c r="G1998" s="521">
        <v>5.5</v>
      </c>
      <c r="H1998" s="524">
        <v>1.3083000000000001E-3</v>
      </c>
      <c r="I1998" s="523">
        <v>11.95</v>
      </c>
      <c r="J1998" s="448">
        <v>26.08</v>
      </c>
      <c r="N1998" s="590"/>
      <c r="O1998" s="590"/>
      <c r="R1998" s="440"/>
    </row>
    <row r="1999" spans="1:18" s="559" customFormat="1">
      <c r="A1999" s="521" t="s">
        <v>318</v>
      </c>
      <c r="B1999" s="522" t="s">
        <v>1047</v>
      </c>
      <c r="C1999" s="522" t="s">
        <v>329</v>
      </c>
      <c r="D1999" s="521" t="s">
        <v>1048</v>
      </c>
      <c r="E1999" s="522">
        <v>201611</v>
      </c>
      <c r="F1999" s="523">
        <v>-135.26</v>
      </c>
      <c r="G1999" s="521">
        <v>5.5</v>
      </c>
      <c r="H1999" s="524">
        <v>1.3083000000000001E-3</v>
      </c>
      <c r="I1999" s="523">
        <v>-0.97</v>
      </c>
      <c r="J1999" s="448">
        <v>-2.12</v>
      </c>
      <c r="N1999" s="590"/>
      <c r="O1999" s="590"/>
      <c r="R1999" s="440"/>
    </row>
    <row r="2000" spans="1:18" s="559" customFormat="1">
      <c r="A2000" s="521" t="s">
        <v>318</v>
      </c>
      <c r="B2000" s="522" t="s">
        <v>1047</v>
      </c>
      <c r="C2000" s="522" t="s">
        <v>329</v>
      </c>
      <c r="D2000" s="521" t="s">
        <v>1048</v>
      </c>
      <c r="E2000" s="522">
        <v>201611</v>
      </c>
      <c r="F2000" s="523">
        <v>-42.73</v>
      </c>
      <c r="G2000" s="521">
        <v>5.5</v>
      </c>
      <c r="H2000" s="524">
        <v>1.3083000000000001E-3</v>
      </c>
      <c r="I2000" s="523">
        <v>-0.31</v>
      </c>
      <c r="J2000" s="448">
        <v>-0.67</v>
      </c>
      <c r="N2000" s="590"/>
      <c r="O2000" s="590"/>
      <c r="R2000" s="440"/>
    </row>
    <row r="2001" spans="1:18" s="559" customFormat="1">
      <c r="A2001" s="521" t="s">
        <v>318</v>
      </c>
      <c r="B2001" s="522" t="s">
        <v>887</v>
      </c>
      <c r="C2001" s="522" t="s">
        <v>330</v>
      </c>
      <c r="D2001" s="521" t="s">
        <v>888</v>
      </c>
      <c r="E2001" s="522">
        <v>201611</v>
      </c>
      <c r="F2001" s="523">
        <v>1.91</v>
      </c>
      <c r="G2001" s="521">
        <v>5.5</v>
      </c>
      <c r="H2001" s="524">
        <v>1.3083000000000001E-3</v>
      </c>
      <c r="I2001" s="523">
        <v>0.01</v>
      </c>
      <c r="J2001" s="448">
        <v>0.03</v>
      </c>
      <c r="N2001" s="590"/>
      <c r="O2001" s="590"/>
      <c r="R2001" s="440"/>
    </row>
    <row r="2002" spans="1:18" s="559" customFormat="1">
      <c r="A2002" s="521" t="s">
        <v>318</v>
      </c>
      <c r="B2002" s="522" t="s">
        <v>887</v>
      </c>
      <c r="C2002" s="522" t="s">
        <v>330</v>
      </c>
      <c r="D2002" s="521" t="s">
        <v>888</v>
      </c>
      <c r="E2002" s="522">
        <v>201611</v>
      </c>
      <c r="F2002" s="523">
        <v>106.88</v>
      </c>
      <c r="G2002" s="521">
        <v>5.5</v>
      </c>
      <c r="H2002" s="524">
        <v>1.3083000000000001E-3</v>
      </c>
      <c r="I2002" s="523">
        <v>0.77</v>
      </c>
      <c r="J2002" s="448">
        <v>1.68</v>
      </c>
      <c r="N2002" s="590"/>
      <c r="O2002" s="590"/>
      <c r="R2002" s="440"/>
    </row>
    <row r="2003" spans="1:18" s="559" customFormat="1">
      <c r="A2003" s="521" t="s">
        <v>318</v>
      </c>
      <c r="B2003" s="522" t="s">
        <v>1071</v>
      </c>
      <c r="C2003" s="522" t="s">
        <v>330</v>
      </c>
      <c r="D2003" s="521" t="s">
        <v>1072</v>
      </c>
      <c r="E2003" s="522">
        <v>201611</v>
      </c>
      <c r="F2003" s="523">
        <v>-2288.6999999999998</v>
      </c>
      <c r="G2003" s="521">
        <v>5.5</v>
      </c>
      <c r="H2003" s="524">
        <v>1.3083000000000001E-3</v>
      </c>
      <c r="I2003" s="523">
        <v>-16.47</v>
      </c>
      <c r="J2003" s="448">
        <v>-35.93</v>
      </c>
      <c r="N2003" s="590"/>
      <c r="O2003" s="590"/>
      <c r="R2003" s="440"/>
    </row>
    <row r="2004" spans="1:18" s="559" customFormat="1">
      <c r="A2004" s="521" t="s">
        <v>318</v>
      </c>
      <c r="B2004" s="522" t="s">
        <v>889</v>
      </c>
      <c r="C2004" s="522" t="s">
        <v>414</v>
      </c>
      <c r="D2004" s="521" t="s">
        <v>890</v>
      </c>
      <c r="E2004" s="522">
        <v>201611</v>
      </c>
      <c r="F2004" s="523">
        <v>1.0900000000000001</v>
      </c>
      <c r="G2004" s="521">
        <v>5.5</v>
      </c>
      <c r="H2004" s="524">
        <v>1.3083000000000001E-3</v>
      </c>
      <c r="I2004" s="523">
        <v>0.01</v>
      </c>
      <c r="J2004" s="448">
        <v>0.02</v>
      </c>
      <c r="N2004" s="590"/>
      <c r="O2004" s="590"/>
      <c r="R2004" s="440"/>
    </row>
    <row r="2005" spans="1:18" s="559" customFormat="1">
      <c r="A2005" s="521" t="s">
        <v>318</v>
      </c>
      <c r="B2005" s="522" t="s">
        <v>889</v>
      </c>
      <c r="C2005" s="522" t="s">
        <v>414</v>
      </c>
      <c r="D2005" s="521" t="s">
        <v>890</v>
      </c>
      <c r="E2005" s="522">
        <v>201611</v>
      </c>
      <c r="F2005" s="523">
        <v>28.5</v>
      </c>
      <c r="G2005" s="521">
        <v>5.5</v>
      </c>
      <c r="H2005" s="524">
        <v>1.3083000000000001E-3</v>
      </c>
      <c r="I2005" s="523">
        <v>0.21</v>
      </c>
      <c r="J2005" s="448">
        <v>0.45</v>
      </c>
      <c r="N2005" s="590"/>
      <c r="O2005" s="590"/>
      <c r="R2005" s="440"/>
    </row>
    <row r="2006" spans="1:18" s="559" customFormat="1">
      <c r="A2006" s="521" t="s">
        <v>318</v>
      </c>
      <c r="B2006" s="522" t="s">
        <v>1006</v>
      </c>
      <c r="C2006" s="522" t="s">
        <v>414</v>
      </c>
      <c r="D2006" s="521" t="s">
        <v>1007</v>
      </c>
      <c r="E2006" s="522">
        <v>201611</v>
      </c>
      <c r="F2006" s="523">
        <v>-24.4</v>
      </c>
      <c r="G2006" s="521">
        <v>5.5</v>
      </c>
      <c r="H2006" s="524">
        <v>1.3083000000000001E-3</v>
      </c>
      <c r="I2006" s="523">
        <v>-0.18</v>
      </c>
      <c r="J2006" s="448">
        <v>-0.38</v>
      </c>
      <c r="N2006" s="590"/>
      <c r="O2006" s="590"/>
      <c r="R2006" s="440"/>
    </row>
    <row r="2007" spans="1:18" s="559" customFormat="1">
      <c r="A2007" s="521" t="s">
        <v>318</v>
      </c>
      <c r="B2007" s="522" t="s">
        <v>1006</v>
      </c>
      <c r="C2007" s="522" t="s">
        <v>414</v>
      </c>
      <c r="D2007" s="521" t="s">
        <v>1007</v>
      </c>
      <c r="E2007" s="522">
        <v>201611</v>
      </c>
      <c r="F2007" s="523">
        <v>-0.35</v>
      </c>
      <c r="G2007" s="521">
        <v>5.5</v>
      </c>
      <c r="H2007" s="524">
        <v>1.3083000000000001E-3</v>
      </c>
      <c r="I2007" s="523">
        <v>0</v>
      </c>
      <c r="J2007" s="448">
        <v>-0.01</v>
      </c>
      <c r="N2007" s="590"/>
      <c r="O2007" s="590"/>
      <c r="R2007" s="440"/>
    </row>
    <row r="2008" spans="1:18" s="559" customFormat="1">
      <c r="A2008" s="521" t="s">
        <v>318</v>
      </c>
      <c r="B2008" s="522" t="s">
        <v>1012</v>
      </c>
      <c r="C2008" s="522" t="s">
        <v>331</v>
      </c>
      <c r="D2008" s="521" t="s">
        <v>1013</v>
      </c>
      <c r="E2008" s="522">
        <v>201611</v>
      </c>
      <c r="F2008" s="523">
        <v>0.51</v>
      </c>
      <c r="G2008" s="521">
        <v>5.5</v>
      </c>
      <c r="H2008" s="524">
        <v>1.3083000000000001E-3</v>
      </c>
      <c r="I2008" s="523">
        <v>0</v>
      </c>
      <c r="J2008" s="448">
        <v>0.01</v>
      </c>
      <c r="N2008" s="590"/>
      <c r="O2008" s="590"/>
      <c r="R2008" s="440"/>
    </row>
    <row r="2009" spans="1:18" s="559" customFormat="1">
      <c r="A2009" s="521" t="s">
        <v>318</v>
      </c>
      <c r="B2009" s="522" t="s">
        <v>1012</v>
      </c>
      <c r="C2009" s="522" t="s">
        <v>331</v>
      </c>
      <c r="D2009" s="521" t="s">
        <v>1013</v>
      </c>
      <c r="E2009" s="522">
        <v>201611</v>
      </c>
      <c r="F2009" s="523">
        <v>6.72</v>
      </c>
      <c r="G2009" s="521">
        <v>5.5</v>
      </c>
      <c r="H2009" s="524">
        <v>1.3083000000000001E-3</v>
      </c>
      <c r="I2009" s="523">
        <v>0.05</v>
      </c>
      <c r="J2009" s="448">
        <v>0.11</v>
      </c>
      <c r="N2009" s="590"/>
      <c r="O2009" s="590"/>
      <c r="R2009" s="440"/>
    </row>
    <row r="2010" spans="1:18" s="559" customFormat="1">
      <c r="A2010" s="521" t="s">
        <v>318</v>
      </c>
      <c r="B2010" s="522" t="s">
        <v>1073</v>
      </c>
      <c r="C2010" s="522" t="s">
        <v>331</v>
      </c>
      <c r="D2010" s="521" t="s">
        <v>1074</v>
      </c>
      <c r="E2010" s="522">
        <v>201611</v>
      </c>
      <c r="F2010" s="523">
        <v>398.87</v>
      </c>
      <c r="G2010" s="521">
        <v>5.5</v>
      </c>
      <c r="H2010" s="524">
        <v>1.3083000000000001E-3</v>
      </c>
      <c r="I2010" s="523">
        <v>2.87</v>
      </c>
      <c r="J2010" s="448">
        <v>6.26</v>
      </c>
      <c r="N2010" s="590"/>
      <c r="O2010" s="590"/>
      <c r="R2010" s="440"/>
    </row>
    <row r="2011" spans="1:18" s="559" customFormat="1">
      <c r="A2011" s="521" t="s">
        <v>318</v>
      </c>
      <c r="B2011" s="522" t="s">
        <v>1073</v>
      </c>
      <c r="C2011" s="522" t="s">
        <v>331</v>
      </c>
      <c r="D2011" s="521" t="s">
        <v>1074</v>
      </c>
      <c r="E2011" s="522">
        <v>201611</v>
      </c>
      <c r="F2011" s="523">
        <v>4158.9799999999996</v>
      </c>
      <c r="G2011" s="521">
        <v>5.5</v>
      </c>
      <c r="H2011" s="524">
        <v>1.3083000000000001E-3</v>
      </c>
      <c r="I2011" s="523">
        <v>29.93</v>
      </c>
      <c r="J2011" s="448">
        <v>65.290000000000006</v>
      </c>
      <c r="N2011" s="590"/>
      <c r="O2011" s="590"/>
      <c r="R2011" s="440"/>
    </row>
    <row r="2012" spans="1:18" s="559" customFormat="1">
      <c r="A2012" s="521" t="s">
        <v>318</v>
      </c>
      <c r="B2012" s="522" t="s">
        <v>1049</v>
      </c>
      <c r="C2012" s="522" t="s">
        <v>330</v>
      </c>
      <c r="D2012" s="521" t="s">
        <v>1050</v>
      </c>
      <c r="E2012" s="522">
        <v>201611</v>
      </c>
      <c r="F2012" s="523">
        <v>92.49</v>
      </c>
      <c r="G2012" s="521">
        <v>5.5</v>
      </c>
      <c r="H2012" s="524">
        <v>1.3083000000000001E-3</v>
      </c>
      <c r="I2012" s="523">
        <v>0.67</v>
      </c>
      <c r="J2012" s="448">
        <v>1.45</v>
      </c>
      <c r="N2012" s="590"/>
      <c r="O2012" s="590"/>
      <c r="R2012" s="440"/>
    </row>
    <row r="2013" spans="1:18" s="559" customFormat="1">
      <c r="A2013" s="521" t="s">
        <v>318</v>
      </c>
      <c r="B2013" s="522" t="s">
        <v>1049</v>
      </c>
      <c r="C2013" s="522" t="s">
        <v>330</v>
      </c>
      <c r="D2013" s="521" t="s">
        <v>1050</v>
      </c>
      <c r="E2013" s="522">
        <v>201611</v>
      </c>
      <c r="F2013" s="523">
        <v>2450.66</v>
      </c>
      <c r="G2013" s="521">
        <v>5.5</v>
      </c>
      <c r="H2013" s="524">
        <v>1.3083000000000001E-3</v>
      </c>
      <c r="I2013" s="523">
        <v>17.63</v>
      </c>
      <c r="J2013" s="448">
        <v>38.47</v>
      </c>
      <c r="N2013" s="590"/>
      <c r="O2013" s="590"/>
      <c r="R2013" s="440"/>
    </row>
    <row r="2014" spans="1:18" s="559" customFormat="1">
      <c r="A2014" s="521" t="s">
        <v>318</v>
      </c>
      <c r="B2014" s="522" t="s">
        <v>1077</v>
      </c>
      <c r="C2014" s="522" t="s">
        <v>330</v>
      </c>
      <c r="D2014" s="521" t="s">
        <v>1078</v>
      </c>
      <c r="E2014" s="522">
        <v>201611</v>
      </c>
      <c r="F2014" s="523">
        <v>-1374.65</v>
      </c>
      <c r="G2014" s="521">
        <v>5.5</v>
      </c>
      <c r="H2014" s="524">
        <v>1.3083000000000001E-3</v>
      </c>
      <c r="I2014" s="523">
        <v>-9.89</v>
      </c>
      <c r="J2014" s="448">
        <v>-21.58</v>
      </c>
      <c r="N2014" s="590"/>
      <c r="O2014" s="590"/>
      <c r="R2014" s="440"/>
    </row>
    <row r="2015" spans="1:18" s="559" customFormat="1">
      <c r="A2015" s="521" t="s">
        <v>318</v>
      </c>
      <c r="B2015" s="522" t="s">
        <v>1077</v>
      </c>
      <c r="C2015" s="522" t="s">
        <v>330</v>
      </c>
      <c r="D2015" s="521" t="s">
        <v>1078</v>
      </c>
      <c r="E2015" s="522">
        <v>201611</v>
      </c>
      <c r="F2015" s="523">
        <v>-121.93</v>
      </c>
      <c r="G2015" s="521">
        <v>5.5</v>
      </c>
      <c r="H2015" s="524">
        <v>1.3083000000000001E-3</v>
      </c>
      <c r="I2015" s="523">
        <v>-0.88</v>
      </c>
      <c r="J2015" s="448">
        <v>-1.91</v>
      </c>
      <c r="N2015" s="590"/>
      <c r="O2015" s="590"/>
      <c r="R2015" s="440"/>
    </row>
    <row r="2016" spans="1:18" s="559" customFormat="1">
      <c r="A2016" s="521" t="s">
        <v>318</v>
      </c>
      <c r="B2016" s="522" t="s">
        <v>1079</v>
      </c>
      <c r="C2016" s="522" t="s">
        <v>330</v>
      </c>
      <c r="D2016" s="521" t="s">
        <v>1080</v>
      </c>
      <c r="E2016" s="522">
        <v>201611</v>
      </c>
      <c r="F2016" s="523">
        <v>-1769.32</v>
      </c>
      <c r="G2016" s="521">
        <v>5.5</v>
      </c>
      <c r="H2016" s="524">
        <v>1.3083000000000001E-3</v>
      </c>
      <c r="I2016" s="523">
        <v>-12.73</v>
      </c>
      <c r="J2016" s="448">
        <v>-27.78</v>
      </c>
      <c r="N2016" s="590"/>
      <c r="O2016" s="590"/>
      <c r="R2016" s="440"/>
    </row>
    <row r="2017" spans="1:18" s="559" customFormat="1">
      <c r="A2017" s="521" t="s">
        <v>318</v>
      </c>
      <c r="B2017" s="522" t="s">
        <v>1079</v>
      </c>
      <c r="C2017" s="522" t="s">
        <v>330</v>
      </c>
      <c r="D2017" s="521" t="s">
        <v>1080</v>
      </c>
      <c r="E2017" s="522">
        <v>201611</v>
      </c>
      <c r="F2017" s="523">
        <v>-118.61</v>
      </c>
      <c r="G2017" s="521">
        <v>5.5</v>
      </c>
      <c r="H2017" s="524">
        <v>1.3083000000000001E-3</v>
      </c>
      <c r="I2017" s="523">
        <v>-0.85</v>
      </c>
      <c r="J2017" s="448">
        <v>-1.86</v>
      </c>
      <c r="N2017" s="590"/>
      <c r="O2017" s="590"/>
      <c r="R2017" s="440"/>
    </row>
    <row r="2018" spans="1:18" s="559" customFormat="1">
      <c r="A2018" s="521" t="s">
        <v>318</v>
      </c>
      <c r="B2018" s="522" t="s">
        <v>320</v>
      </c>
      <c r="C2018" s="522" t="s">
        <v>319</v>
      </c>
      <c r="D2018" s="521" t="s">
        <v>321</v>
      </c>
      <c r="E2018" s="522">
        <v>201612</v>
      </c>
      <c r="F2018" s="523">
        <v>334.28</v>
      </c>
      <c r="G2018" s="521">
        <v>4.5</v>
      </c>
      <c r="H2018" s="524">
        <v>1.3083000000000001E-3</v>
      </c>
      <c r="I2018" s="523">
        <v>1.97</v>
      </c>
      <c r="J2018" s="448">
        <v>5.25</v>
      </c>
      <c r="N2018" s="590"/>
      <c r="O2018" s="590"/>
      <c r="R2018" s="440"/>
    </row>
    <row r="2019" spans="1:18" s="559" customFormat="1">
      <c r="A2019" s="521" t="s">
        <v>318</v>
      </c>
      <c r="B2019" s="522" t="s">
        <v>323</v>
      </c>
      <c r="C2019" s="522" t="s">
        <v>319</v>
      </c>
      <c r="D2019" s="521" t="s">
        <v>324</v>
      </c>
      <c r="E2019" s="522">
        <v>201612</v>
      </c>
      <c r="F2019" s="523">
        <v>2034.33</v>
      </c>
      <c r="G2019" s="521">
        <v>4.5</v>
      </c>
      <c r="H2019" s="524">
        <v>1.3083000000000001E-3</v>
      </c>
      <c r="I2019" s="523">
        <v>11.98</v>
      </c>
      <c r="J2019" s="448">
        <v>31.94</v>
      </c>
      <c r="N2019" s="590"/>
      <c r="O2019" s="590"/>
      <c r="R2019" s="440"/>
    </row>
    <row r="2020" spans="1:18" s="559" customFormat="1">
      <c r="A2020" s="521" t="s">
        <v>322</v>
      </c>
      <c r="B2020" s="522" t="s">
        <v>325</v>
      </c>
      <c r="C2020" s="522" t="s">
        <v>319</v>
      </c>
      <c r="D2020" s="521" t="s">
        <v>326</v>
      </c>
      <c r="E2020" s="522">
        <v>201612</v>
      </c>
      <c r="F2020" s="523">
        <v>1190.7</v>
      </c>
      <c r="G2020" s="521">
        <v>4.5</v>
      </c>
      <c r="H2020" s="524">
        <v>1.1999999999999999E-3</v>
      </c>
      <c r="I2020" s="523">
        <v>6.43</v>
      </c>
      <c r="J2020" s="448">
        <v>17.149999999999999</v>
      </c>
      <c r="N2020" s="590"/>
      <c r="O2020" s="590"/>
      <c r="R2020" s="440"/>
    </row>
    <row r="2021" spans="1:18" s="559" customFormat="1">
      <c r="A2021" s="521" t="s">
        <v>318</v>
      </c>
      <c r="B2021" s="522" t="s">
        <v>327</v>
      </c>
      <c r="C2021" s="522" t="s">
        <v>319</v>
      </c>
      <c r="D2021" s="521" t="s">
        <v>328</v>
      </c>
      <c r="E2021" s="522">
        <v>201612</v>
      </c>
      <c r="F2021" s="523">
        <v>27573.29</v>
      </c>
      <c r="G2021" s="521">
        <v>4.5</v>
      </c>
      <c r="H2021" s="524">
        <v>1.3083000000000001E-3</v>
      </c>
      <c r="I2021" s="523">
        <v>162.33000000000001</v>
      </c>
      <c r="J2021" s="448">
        <v>432.89</v>
      </c>
      <c r="N2021" s="590"/>
      <c r="O2021" s="590"/>
      <c r="R2021" s="440"/>
    </row>
    <row r="2022" spans="1:18" s="559" customFormat="1">
      <c r="A2022" s="521" t="s">
        <v>318</v>
      </c>
      <c r="B2022" s="522" t="s">
        <v>941</v>
      </c>
      <c r="C2022" s="522" t="s">
        <v>330</v>
      </c>
      <c r="D2022" s="521" t="s">
        <v>942</v>
      </c>
      <c r="E2022" s="522">
        <v>201612</v>
      </c>
      <c r="F2022" s="523">
        <v>-142.61000000000001</v>
      </c>
      <c r="G2022" s="521">
        <v>4.5</v>
      </c>
      <c r="H2022" s="524">
        <v>1.3083000000000001E-3</v>
      </c>
      <c r="I2022" s="523">
        <v>-0.84</v>
      </c>
      <c r="J2022" s="448">
        <v>-2.2400000000000002</v>
      </c>
      <c r="N2022" s="590"/>
      <c r="O2022" s="590"/>
      <c r="R2022" s="440"/>
    </row>
    <row r="2023" spans="1:18" s="559" customFormat="1">
      <c r="A2023" s="521" t="s">
        <v>318</v>
      </c>
      <c r="B2023" s="522" t="s">
        <v>941</v>
      </c>
      <c r="C2023" s="522" t="s">
        <v>330</v>
      </c>
      <c r="D2023" s="521" t="s">
        <v>942</v>
      </c>
      <c r="E2023" s="522">
        <v>201612</v>
      </c>
      <c r="F2023" s="523">
        <v>-9.99</v>
      </c>
      <c r="G2023" s="521">
        <v>4.5</v>
      </c>
      <c r="H2023" s="524">
        <v>1.3083000000000001E-3</v>
      </c>
      <c r="I2023" s="523">
        <v>-0.06</v>
      </c>
      <c r="J2023" s="448">
        <v>-0.16</v>
      </c>
      <c r="N2023" s="590"/>
      <c r="O2023" s="590"/>
      <c r="R2023" s="440"/>
    </row>
    <row r="2024" spans="1:18" s="559" customFormat="1">
      <c r="A2024" s="521" t="s">
        <v>322</v>
      </c>
      <c r="B2024" s="522" t="s">
        <v>856</v>
      </c>
      <c r="C2024" s="522" t="s">
        <v>330</v>
      </c>
      <c r="D2024" s="521" t="s">
        <v>857</v>
      </c>
      <c r="E2024" s="522">
        <v>201612</v>
      </c>
      <c r="F2024" s="523">
        <v>-5935.18</v>
      </c>
      <c r="G2024" s="521">
        <v>4.5</v>
      </c>
      <c r="H2024" s="524">
        <v>1.1999999999999999E-3</v>
      </c>
      <c r="I2024" s="523">
        <v>-32.049999999999997</v>
      </c>
      <c r="J2024" s="448">
        <v>-85.47</v>
      </c>
      <c r="N2024" s="590"/>
      <c r="O2024" s="590"/>
      <c r="R2024" s="440"/>
    </row>
    <row r="2025" spans="1:18" s="559" customFormat="1">
      <c r="A2025" s="521" t="s">
        <v>322</v>
      </c>
      <c r="B2025" s="522" t="s">
        <v>856</v>
      </c>
      <c r="C2025" s="522" t="s">
        <v>330</v>
      </c>
      <c r="D2025" s="521" t="s">
        <v>857</v>
      </c>
      <c r="E2025" s="522">
        <v>201612</v>
      </c>
      <c r="F2025" s="523">
        <v>0.03</v>
      </c>
      <c r="G2025" s="521">
        <v>4.5</v>
      </c>
      <c r="H2025" s="524">
        <v>1.1999999999999999E-3</v>
      </c>
      <c r="I2025" s="523">
        <v>0</v>
      </c>
      <c r="J2025" s="448">
        <v>0</v>
      </c>
      <c r="N2025" s="590"/>
      <c r="O2025" s="590"/>
      <c r="R2025" s="440"/>
    </row>
    <row r="2026" spans="1:18" s="559" customFormat="1">
      <c r="A2026" s="521" t="s">
        <v>318</v>
      </c>
      <c r="B2026" s="522" t="s">
        <v>856</v>
      </c>
      <c r="C2026" s="522" t="s">
        <v>330</v>
      </c>
      <c r="D2026" s="521" t="s">
        <v>857</v>
      </c>
      <c r="E2026" s="522">
        <v>201612</v>
      </c>
      <c r="F2026" s="523">
        <v>-649207.34</v>
      </c>
      <c r="G2026" s="521">
        <v>4.5</v>
      </c>
      <c r="H2026" s="524">
        <v>1.3083000000000001E-3</v>
      </c>
      <c r="I2026" s="523">
        <v>-3822.11</v>
      </c>
      <c r="J2026" s="448">
        <v>-10192.299999999999</v>
      </c>
      <c r="N2026" s="590"/>
      <c r="O2026" s="590"/>
      <c r="R2026" s="440"/>
    </row>
    <row r="2027" spans="1:18" s="559" customFormat="1">
      <c r="A2027" s="521" t="s">
        <v>318</v>
      </c>
      <c r="B2027" s="522" t="s">
        <v>856</v>
      </c>
      <c r="C2027" s="522" t="s">
        <v>330</v>
      </c>
      <c r="D2027" s="521" t="s">
        <v>857</v>
      </c>
      <c r="E2027" s="522">
        <v>201612</v>
      </c>
      <c r="F2027" s="523">
        <v>-27798.02</v>
      </c>
      <c r="G2027" s="521">
        <v>4.5</v>
      </c>
      <c r="H2027" s="524">
        <v>1.3083000000000001E-3</v>
      </c>
      <c r="I2027" s="523">
        <v>-163.66</v>
      </c>
      <c r="J2027" s="448">
        <v>-436.42</v>
      </c>
      <c r="N2027" s="590"/>
      <c r="O2027" s="590"/>
      <c r="R2027" s="440"/>
    </row>
    <row r="2028" spans="1:18" s="559" customFormat="1">
      <c r="A2028" s="521" t="s">
        <v>318</v>
      </c>
      <c r="B2028" s="522" t="s">
        <v>856</v>
      </c>
      <c r="C2028" s="522" t="s">
        <v>330</v>
      </c>
      <c r="D2028" s="521" t="s">
        <v>857</v>
      </c>
      <c r="E2028" s="522">
        <v>201612</v>
      </c>
      <c r="F2028" s="523">
        <v>44958.98</v>
      </c>
      <c r="G2028" s="521">
        <v>4.5</v>
      </c>
      <c r="H2028" s="524">
        <v>1.3083000000000001E-3</v>
      </c>
      <c r="I2028" s="523">
        <v>264.69</v>
      </c>
      <c r="J2028" s="448">
        <v>705.84</v>
      </c>
      <c r="N2028" s="590"/>
      <c r="O2028" s="590"/>
      <c r="R2028" s="440"/>
    </row>
    <row r="2029" spans="1:18" s="559" customFormat="1">
      <c r="A2029" s="521" t="s">
        <v>318</v>
      </c>
      <c r="B2029" s="522" t="s">
        <v>856</v>
      </c>
      <c r="C2029" s="522" t="s">
        <v>330</v>
      </c>
      <c r="D2029" s="521" t="s">
        <v>857</v>
      </c>
      <c r="E2029" s="522">
        <v>201612</v>
      </c>
      <c r="F2029" s="523">
        <v>673160.64</v>
      </c>
      <c r="G2029" s="521">
        <v>4.5</v>
      </c>
      <c r="H2029" s="524">
        <v>1.3083000000000001E-3</v>
      </c>
      <c r="I2029" s="523">
        <v>3963.13</v>
      </c>
      <c r="J2029" s="448">
        <v>10568.35</v>
      </c>
      <c r="N2029" s="590"/>
      <c r="O2029" s="590"/>
      <c r="R2029" s="440"/>
    </row>
    <row r="2030" spans="1:18" s="559" customFormat="1">
      <c r="A2030" s="521" t="s">
        <v>318</v>
      </c>
      <c r="B2030" s="522" t="s">
        <v>800</v>
      </c>
      <c r="C2030" s="522" t="s">
        <v>330</v>
      </c>
      <c r="D2030" s="521" t="s">
        <v>830</v>
      </c>
      <c r="E2030" s="522">
        <v>201612</v>
      </c>
      <c r="F2030" s="523">
        <v>-89532.41</v>
      </c>
      <c r="G2030" s="521">
        <v>4.5</v>
      </c>
      <c r="H2030" s="524">
        <v>1.3083000000000001E-3</v>
      </c>
      <c r="I2030" s="523">
        <v>-527.11</v>
      </c>
      <c r="J2030" s="448">
        <v>-1405.62</v>
      </c>
      <c r="N2030" s="590"/>
      <c r="O2030" s="590"/>
      <c r="R2030" s="440"/>
    </row>
    <row r="2031" spans="1:18" s="559" customFormat="1">
      <c r="A2031" s="521" t="s">
        <v>318</v>
      </c>
      <c r="B2031" s="522" t="s">
        <v>800</v>
      </c>
      <c r="C2031" s="522" t="s">
        <v>330</v>
      </c>
      <c r="D2031" s="521" t="s">
        <v>830</v>
      </c>
      <c r="E2031" s="522">
        <v>201612</v>
      </c>
      <c r="F2031" s="523">
        <v>-5018.29</v>
      </c>
      <c r="G2031" s="521">
        <v>4.5</v>
      </c>
      <c r="H2031" s="524">
        <v>1.3083000000000001E-3</v>
      </c>
      <c r="I2031" s="523">
        <v>-29.54</v>
      </c>
      <c r="J2031" s="448">
        <v>-78.790000000000006</v>
      </c>
      <c r="N2031" s="590"/>
      <c r="O2031" s="590"/>
      <c r="R2031" s="440"/>
    </row>
    <row r="2032" spans="1:18" s="559" customFormat="1">
      <c r="A2032" s="521" t="s">
        <v>318</v>
      </c>
      <c r="B2032" s="522" t="s">
        <v>800</v>
      </c>
      <c r="C2032" s="522" t="s">
        <v>330</v>
      </c>
      <c r="D2032" s="521" t="s">
        <v>830</v>
      </c>
      <c r="E2032" s="522">
        <v>201612</v>
      </c>
      <c r="F2032" s="523">
        <v>10100.209999999999</v>
      </c>
      <c r="G2032" s="521">
        <v>4.5</v>
      </c>
      <c r="H2032" s="524">
        <v>1.3083000000000001E-3</v>
      </c>
      <c r="I2032" s="523">
        <v>59.46</v>
      </c>
      <c r="J2032" s="448">
        <v>158.57</v>
      </c>
      <c r="N2032" s="590"/>
      <c r="O2032" s="590"/>
      <c r="R2032" s="440"/>
    </row>
    <row r="2033" spans="1:18" s="559" customFormat="1">
      <c r="A2033" s="521" t="s">
        <v>318</v>
      </c>
      <c r="B2033" s="522" t="s">
        <v>800</v>
      </c>
      <c r="C2033" s="522" t="s">
        <v>330</v>
      </c>
      <c r="D2033" s="521" t="s">
        <v>830</v>
      </c>
      <c r="E2033" s="522">
        <v>201612</v>
      </c>
      <c r="F2033" s="523">
        <v>71467.740000000005</v>
      </c>
      <c r="G2033" s="521">
        <v>4.5</v>
      </c>
      <c r="H2033" s="524">
        <v>1.3083000000000001E-3</v>
      </c>
      <c r="I2033" s="523">
        <v>420.76</v>
      </c>
      <c r="J2033" s="448">
        <v>1122.01</v>
      </c>
      <c r="N2033" s="590"/>
      <c r="O2033" s="590"/>
      <c r="R2033" s="440"/>
    </row>
    <row r="2034" spans="1:18" s="559" customFormat="1">
      <c r="A2034" s="521" t="s">
        <v>318</v>
      </c>
      <c r="B2034" s="522" t="s">
        <v>629</v>
      </c>
      <c r="C2034" s="522" t="s">
        <v>330</v>
      </c>
      <c r="D2034" s="521" t="s">
        <v>630</v>
      </c>
      <c r="E2034" s="522">
        <v>201612</v>
      </c>
      <c r="F2034" s="523">
        <v>0.41</v>
      </c>
      <c r="G2034" s="521">
        <v>4.5</v>
      </c>
      <c r="H2034" s="524">
        <v>1.3083000000000001E-3</v>
      </c>
      <c r="I2034" s="523">
        <v>0</v>
      </c>
      <c r="J2034" s="448">
        <v>0.01</v>
      </c>
      <c r="N2034" s="590"/>
      <c r="O2034" s="590"/>
      <c r="R2034" s="440"/>
    </row>
    <row r="2035" spans="1:18" s="559" customFormat="1">
      <c r="A2035" s="521" t="s">
        <v>318</v>
      </c>
      <c r="B2035" s="522" t="s">
        <v>629</v>
      </c>
      <c r="C2035" s="522" t="s">
        <v>330</v>
      </c>
      <c r="D2035" s="521" t="s">
        <v>630</v>
      </c>
      <c r="E2035" s="522">
        <v>201612</v>
      </c>
      <c r="F2035" s="523">
        <v>20.149999999999999</v>
      </c>
      <c r="G2035" s="521">
        <v>4.5</v>
      </c>
      <c r="H2035" s="524">
        <v>1.3083000000000001E-3</v>
      </c>
      <c r="I2035" s="523">
        <v>0.12</v>
      </c>
      <c r="J2035" s="448">
        <v>0.32</v>
      </c>
      <c r="N2035" s="590"/>
      <c r="O2035" s="590"/>
      <c r="R2035" s="440"/>
    </row>
    <row r="2036" spans="1:18" s="559" customFormat="1">
      <c r="A2036" s="521" t="s">
        <v>318</v>
      </c>
      <c r="B2036" s="522" t="s">
        <v>838</v>
      </c>
      <c r="C2036" s="522" t="s">
        <v>330</v>
      </c>
      <c r="D2036" s="521" t="s">
        <v>1015</v>
      </c>
      <c r="E2036" s="522">
        <v>201612</v>
      </c>
      <c r="F2036" s="523">
        <v>-92226.54</v>
      </c>
      <c r="G2036" s="521">
        <v>4.5</v>
      </c>
      <c r="H2036" s="524">
        <v>1.3083000000000001E-3</v>
      </c>
      <c r="I2036" s="523">
        <v>-542.97</v>
      </c>
      <c r="J2036" s="448">
        <v>-1447.92</v>
      </c>
      <c r="N2036" s="590"/>
      <c r="O2036" s="590"/>
      <c r="R2036" s="440"/>
    </row>
    <row r="2037" spans="1:18" s="559" customFormat="1">
      <c r="A2037" s="521" t="s">
        <v>318</v>
      </c>
      <c r="B2037" s="522" t="s">
        <v>838</v>
      </c>
      <c r="C2037" s="522" t="s">
        <v>330</v>
      </c>
      <c r="D2037" s="521" t="s">
        <v>1015</v>
      </c>
      <c r="E2037" s="522">
        <v>201612</v>
      </c>
      <c r="F2037" s="523">
        <v>82982.69</v>
      </c>
      <c r="G2037" s="521">
        <v>4.5</v>
      </c>
      <c r="H2037" s="524">
        <v>1.3083000000000001E-3</v>
      </c>
      <c r="I2037" s="523">
        <v>488.55</v>
      </c>
      <c r="J2037" s="448">
        <v>1302.8</v>
      </c>
      <c r="N2037" s="590"/>
      <c r="O2037" s="590"/>
      <c r="R2037" s="440"/>
    </row>
    <row r="2038" spans="1:18" s="559" customFormat="1">
      <c r="A2038" s="521" t="s">
        <v>318</v>
      </c>
      <c r="B2038" s="522" t="s">
        <v>661</v>
      </c>
      <c r="C2038" s="522" t="s">
        <v>330</v>
      </c>
      <c r="D2038" s="521" t="s">
        <v>662</v>
      </c>
      <c r="E2038" s="522">
        <v>201612</v>
      </c>
      <c r="F2038" s="523">
        <v>-23.41</v>
      </c>
      <c r="G2038" s="521">
        <v>4.5</v>
      </c>
      <c r="H2038" s="524">
        <v>1.3083000000000001E-3</v>
      </c>
      <c r="I2038" s="523">
        <v>-0.14000000000000001</v>
      </c>
      <c r="J2038" s="448">
        <v>-0.37</v>
      </c>
      <c r="N2038" s="590"/>
      <c r="O2038" s="590"/>
      <c r="R2038" s="440"/>
    </row>
    <row r="2039" spans="1:18" s="559" customFormat="1">
      <c r="A2039" s="521" t="s">
        <v>318</v>
      </c>
      <c r="B2039" s="522" t="s">
        <v>661</v>
      </c>
      <c r="C2039" s="522" t="s">
        <v>330</v>
      </c>
      <c r="D2039" s="521" t="s">
        <v>662</v>
      </c>
      <c r="E2039" s="522">
        <v>201612</v>
      </c>
      <c r="F2039" s="523">
        <v>-1.55</v>
      </c>
      <c r="G2039" s="521">
        <v>4.5</v>
      </c>
      <c r="H2039" s="524">
        <v>1.3083000000000001E-3</v>
      </c>
      <c r="I2039" s="523">
        <v>-0.01</v>
      </c>
      <c r="J2039" s="448">
        <v>-0.02</v>
      </c>
      <c r="N2039" s="590"/>
      <c r="O2039" s="590"/>
      <c r="R2039" s="440"/>
    </row>
    <row r="2040" spans="1:18" s="559" customFormat="1">
      <c r="A2040" s="521" t="s">
        <v>318</v>
      </c>
      <c r="B2040" s="522" t="s">
        <v>801</v>
      </c>
      <c r="C2040" s="522" t="s">
        <v>330</v>
      </c>
      <c r="D2040" s="521" t="s">
        <v>802</v>
      </c>
      <c r="E2040" s="522">
        <v>201612</v>
      </c>
      <c r="F2040" s="523">
        <v>-23.8</v>
      </c>
      <c r="G2040" s="521">
        <v>4.5</v>
      </c>
      <c r="H2040" s="524">
        <v>1.3083000000000001E-3</v>
      </c>
      <c r="I2040" s="523">
        <v>-0.14000000000000001</v>
      </c>
      <c r="J2040" s="448">
        <v>-0.37</v>
      </c>
      <c r="N2040" s="590"/>
      <c r="O2040" s="590"/>
      <c r="R2040" s="440"/>
    </row>
    <row r="2041" spans="1:18" s="559" customFormat="1">
      <c r="A2041" s="521" t="s">
        <v>318</v>
      </c>
      <c r="B2041" s="522" t="s">
        <v>801</v>
      </c>
      <c r="C2041" s="522" t="s">
        <v>330</v>
      </c>
      <c r="D2041" s="521" t="s">
        <v>802</v>
      </c>
      <c r="E2041" s="522">
        <v>201612</v>
      </c>
      <c r="F2041" s="523">
        <v>-11.02</v>
      </c>
      <c r="G2041" s="521">
        <v>4.5</v>
      </c>
      <c r="H2041" s="524">
        <v>1.3083000000000001E-3</v>
      </c>
      <c r="I2041" s="523">
        <v>-0.06</v>
      </c>
      <c r="J2041" s="448">
        <v>-0.17</v>
      </c>
      <c r="N2041" s="590"/>
      <c r="O2041" s="590"/>
      <c r="R2041" s="440"/>
    </row>
    <row r="2042" spans="1:18" s="559" customFormat="1">
      <c r="A2042" s="521" t="s">
        <v>318</v>
      </c>
      <c r="B2042" s="522" t="s">
        <v>803</v>
      </c>
      <c r="C2042" s="522" t="s">
        <v>330</v>
      </c>
      <c r="D2042" s="521" t="s">
        <v>804</v>
      </c>
      <c r="E2042" s="522">
        <v>201612</v>
      </c>
      <c r="F2042" s="523">
        <v>-77.58</v>
      </c>
      <c r="G2042" s="521">
        <v>4.5</v>
      </c>
      <c r="H2042" s="524">
        <v>1.3083000000000001E-3</v>
      </c>
      <c r="I2042" s="523">
        <v>-0.46</v>
      </c>
      <c r="J2042" s="448">
        <v>-1.22</v>
      </c>
      <c r="N2042" s="590"/>
      <c r="O2042" s="590"/>
      <c r="R2042" s="440"/>
    </row>
    <row r="2043" spans="1:18" s="559" customFormat="1">
      <c r="A2043" s="521" t="s">
        <v>318</v>
      </c>
      <c r="B2043" s="522" t="s">
        <v>803</v>
      </c>
      <c r="C2043" s="522" t="s">
        <v>330</v>
      </c>
      <c r="D2043" s="521" t="s">
        <v>804</v>
      </c>
      <c r="E2043" s="522">
        <v>201612</v>
      </c>
      <c r="F2043" s="523">
        <v>-48.74</v>
      </c>
      <c r="G2043" s="521">
        <v>4.5</v>
      </c>
      <c r="H2043" s="524">
        <v>1.3083000000000001E-3</v>
      </c>
      <c r="I2043" s="523">
        <v>-0.28999999999999998</v>
      </c>
      <c r="J2043" s="448">
        <v>-0.77</v>
      </c>
      <c r="N2043" s="590"/>
      <c r="O2043" s="590"/>
      <c r="R2043" s="440"/>
    </row>
    <row r="2044" spans="1:18" s="559" customFormat="1">
      <c r="A2044" s="521" t="s">
        <v>318</v>
      </c>
      <c r="B2044" s="522" t="s">
        <v>805</v>
      </c>
      <c r="C2044" s="522" t="s">
        <v>330</v>
      </c>
      <c r="D2044" s="521" t="s">
        <v>806</v>
      </c>
      <c r="E2044" s="522">
        <v>201612</v>
      </c>
      <c r="F2044" s="523">
        <v>0.1</v>
      </c>
      <c r="G2044" s="521">
        <v>4.5</v>
      </c>
      <c r="H2044" s="524">
        <v>1.3083000000000001E-3</v>
      </c>
      <c r="I2044" s="523">
        <v>0</v>
      </c>
      <c r="J2044" s="448">
        <v>0</v>
      </c>
      <c r="N2044" s="590"/>
      <c r="O2044" s="590"/>
      <c r="R2044" s="440"/>
    </row>
    <row r="2045" spans="1:18" s="559" customFormat="1">
      <c r="A2045" s="521" t="s">
        <v>318</v>
      </c>
      <c r="B2045" s="522" t="s">
        <v>805</v>
      </c>
      <c r="C2045" s="522" t="s">
        <v>330</v>
      </c>
      <c r="D2045" s="521" t="s">
        <v>806</v>
      </c>
      <c r="E2045" s="522">
        <v>201612</v>
      </c>
      <c r="F2045" s="523">
        <v>0.86</v>
      </c>
      <c r="G2045" s="521">
        <v>4.5</v>
      </c>
      <c r="H2045" s="524">
        <v>1.3083000000000001E-3</v>
      </c>
      <c r="I2045" s="523">
        <v>0.01</v>
      </c>
      <c r="J2045" s="448">
        <v>0.01</v>
      </c>
      <c r="N2045" s="590"/>
      <c r="O2045" s="590"/>
      <c r="R2045" s="440"/>
    </row>
    <row r="2046" spans="1:18" s="559" customFormat="1">
      <c r="A2046" s="521" t="s">
        <v>318</v>
      </c>
      <c r="B2046" s="522" t="s">
        <v>1067</v>
      </c>
      <c r="C2046" s="522" t="s">
        <v>330</v>
      </c>
      <c r="D2046" s="521" t="s">
        <v>1068</v>
      </c>
      <c r="E2046" s="522">
        <v>201612</v>
      </c>
      <c r="F2046" s="523">
        <v>21.36</v>
      </c>
      <c r="G2046" s="521">
        <v>4.5</v>
      </c>
      <c r="H2046" s="524">
        <v>1.3083000000000001E-3</v>
      </c>
      <c r="I2046" s="523">
        <v>0.13</v>
      </c>
      <c r="J2046" s="448">
        <v>0.34</v>
      </c>
      <c r="N2046" s="590"/>
      <c r="O2046" s="590"/>
      <c r="R2046" s="440"/>
    </row>
    <row r="2047" spans="1:18" s="559" customFormat="1">
      <c r="A2047" s="521" t="s">
        <v>318</v>
      </c>
      <c r="B2047" s="522" t="s">
        <v>1067</v>
      </c>
      <c r="C2047" s="522" t="s">
        <v>330</v>
      </c>
      <c r="D2047" s="521" t="s">
        <v>1068</v>
      </c>
      <c r="E2047" s="522">
        <v>201612</v>
      </c>
      <c r="F2047" s="523">
        <v>987.74</v>
      </c>
      <c r="G2047" s="521">
        <v>4.5</v>
      </c>
      <c r="H2047" s="524">
        <v>1.3083000000000001E-3</v>
      </c>
      <c r="I2047" s="523">
        <v>5.82</v>
      </c>
      <c r="J2047" s="448">
        <v>15.51</v>
      </c>
      <c r="N2047" s="590"/>
      <c r="O2047" s="590"/>
      <c r="R2047" s="440"/>
    </row>
    <row r="2048" spans="1:18" s="559" customFormat="1">
      <c r="A2048" s="521" t="s">
        <v>318</v>
      </c>
      <c r="B2048" s="522" t="s">
        <v>858</v>
      </c>
      <c r="C2048" s="522" t="s">
        <v>329</v>
      </c>
      <c r="D2048" s="521" t="s">
        <v>859</v>
      </c>
      <c r="E2048" s="522">
        <v>201612</v>
      </c>
      <c r="F2048" s="523">
        <v>-90.77</v>
      </c>
      <c r="G2048" s="521">
        <v>4.5</v>
      </c>
      <c r="H2048" s="524">
        <v>1.3083000000000001E-3</v>
      </c>
      <c r="I2048" s="523">
        <v>-0.53</v>
      </c>
      <c r="J2048" s="448">
        <v>-1.43</v>
      </c>
      <c r="N2048" s="590"/>
      <c r="O2048" s="590"/>
      <c r="R2048" s="440"/>
    </row>
    <row r="2049" spans="1:18" s="559" customFormat="1">
      <c r="A2049" s="521" t="s">
        <v>318</v>
      </c>
      <c r="B2049" s="522" t="s">
        <v>858</v>
      </c>
      <c r="C2049" s="522" t="s">
        <v>329</v>
      </c>
      <c r="D2049" s="521" t="s">
        <v>859</v>
      </c>
      <c r="E2049" s="522">
        <v>201612</v>
      </c>
      <c r="F2049" s="523">
        <v>-70.510000000000005</v>
      </c>
      <c r="G2049" s="521">
        <v>4.5</v>
      </c>
      <c r="H2049" s="524">
        <v>1.3083000000000001E-3</v>
      </c>
      <c r="I2049" s="523">
        <v>-0.42</v>
      </c>
      <c r="J2049" s="448">
        <v>-1.1100000000000001</v>
      </c>
      <c r="N2049" s="590"/>
      <c r="O2049" s="590"/>
      <c r="R2049" s="440"/>
    </row>
    <row r="2050" spans="1:18" s="559" customFormat="1">
      <c r="A2050" s="521" t="s">
        <v>318</v>
      </c>
      <c r="B2050" s="522" t="s">
        <v>808</v>
      </c>
      <c r="C2050" s="522" t="s">
        <v>329</v>
      </c>
      <c r="D2050" s="521" t="s">
        <v>809</v>
      </c>
      <c r="E2050" s="522">
        <v>201612</v>
      </c>
      <c r="F2050" s="523">
        <v>-46.7</v>
      </c>
      <c r="G2050" s="521">
        <v>4.5</v>
      </c>
      <c r="H2050" s="524">
        <v>1.3083000000000001E-3</v>
      </c>
      <c r="I2050" s="523">
        <v>-0.27</v>
      </c>
      <c r="J2050" s="448">
        <v>-0.73</v>
      </c>
      <c r="N2050" s="590"/>
      <c r="O2050" s="590"/>
      <c r="R2050" s="440"/>
    </row>
    <row r="2051" spans="1:18" s="559" customFormat="1">
      <c r="A2051" s="521" t="s">
        <v>318</v>
      </c>
      <c r="B2051" s="522" t="s">
        <v>808</v>
      </c>
      <c r="C2051" s="522" t="s">
        <v>329</v>
      </c>
      <c r="D2051" s="521" t="s">
        <v>809</v>
      </c>
      <c r="E2051" s="522">
        <v>201612</v>
      </c>
      <c r="F2051" s="523">
        <v>-33.96</v>
      </c>
      <c r="G2051" s="521">
        <v>4.5</v>
      </c>
      <c r="H2051" s="524">
        <v>1.3083000000000001E-3</v>
      </c>
      <c r="I2051" s="523">
        <v>-0.2</v>
      </c>
      <c r="J2051" s="448">
        <v>-0.53</v>
      </c>
      <c r="N2051" s="590"/>
      <c r="O2051" s="590"/>
      <c r="R2051" s="440"/>
    </row>
    <row r="2052" spans="1:18" s="559" customFormat="1">
      <c r="A2052" s="521" t="s">
        <v>322</v>
      </c>
      <c r="B2052" s="522" t="s">
        <v>667</v>
      </c>
      <c r="C2052" s="522" t="s">
        <v>329</v>
      </c>
      <c r="D2052" s="521" t="s">
        <v>668</v>
      </c>
      <c r="E2052" s="522">
        <v>201612</v>
      </c>
      <c r="F2052" s="523">
        <v>-3.68</v>
      </c>
      <c r="G2052" s="521">
        <v>4.5</v>
      </c>
      <c r="H2052" s="524">
        <v>1.1999999999999999E-3</v>
      </c>
      <c r="I2052" s="523">
        <v>-0.02</v>
      </c>
      <c r="J2052" s="448">
        <v>-0.05</v>
      </c>
      <c r="N2052" s="590"/>
      <c r="O2052" s="590"/>
      <c r="R2052" s="440"/>
    </row>
    <row r="2053" spans="1:18" s="559" customFormat="1">
      <c r="A2053" s="521" t="s">
        <v>318</v>
      </c>
      <c r="B2053" s="522" t="s">
        <v>667</v>
      </c>
      <c r="C2053" s="522" t="s">
        <v>329</v>
      </c>
      <c r="D2053" s="521" t="s">
        <v>668</v>
      </c>
      <c r="E2053" s="522">
        <v>201612</v>
      </c>
      <c r="F2053" s="523">
        <v>-50.23</v>
      </c>
      <c r="G2053" s="521">
        <v>4.5</v>
      </c>
      <c r="H2053" s="524">
        <v>1.3083000000000001E-3</v>
      </c>
      <c r="I2053" s="523">
        <v>-0.3</v>
      </c>
      <c r="J2053" s="448">
        <v>-0.79</v>
      </c>
      <c r="N2053" s="590"/>
      <c r="O2053" s="590"/>
      <c r="R2053" s="440"/>
    </row>
    <row r="2054" spans="1:18" s="559" customFormat="1">
      <c r="A2054" s="521" t="s">
        <v>318</v>
      </c>
      <c r="B2054" s="522" t="s">
        <v>667</v>
      </c>
      <c r="C2054" s="522" t="s">
        <v>329</v>
      </c>
      <c r="D2054" s="521" t="s">
        <v>668</v>
      </c>
      <c r="E2054" s="522">
        <v>201612</v>
      </c>
      <c r="F2054" s="523">
        <v>-26.75</v>
      </c>
      <c r="G2054" s="521">
        <v>4.5</v>
      </c>
      <c r="H2054" s="524">
        <v>1.3083000000000001E-3</v>
      </c>
      <c r="I2054" s="523">
        <v>-0.16</v>
      </c>
      <c r="J2054" s="448">
        <v>-0.42</v>
      </c>
      <c r="N2054" s="590"/>
      <c r="O2054" s="590"/>
      <c r="R2054" s="440"/>
    </row>
    <row r="2055" spans="1:18" s="559" customFormat="1">
      <c r="A2055" s="521" t="s">
        <v>318</v>
      </c>
      <c r="B2055" s="522" t="s">
        <v>1033</v>
      </c>
      <c r="C2055" s="522" t="s">
        <v>330</v>
      </c>
      <c r="D2055" s="521" t="s">
        <v>1034</v>
      </c>
      <c r="E2055" s="522">
        <v>201612</v>
      </c>
      <c r="F2055" s="523">
        <v>26.22</v>
      </c>
      <c r="G2055" s="521">
        <v>4.5</v>
      </c>
      <c r="H2055" s="524">
        <v>1.3083000000000001E-3</v>
      </c>
      <c r="I2055" s="523">
        <v>0.15</v>
      </c>
      <c r="J2055" s="448">
        <v>0.41</v>
      </c>
      <c r="N2055" s="590"/>
      <c r="O2055" s="590"/>
      <c r="R2055" s="440"/>
    </row>
    <row r="2056" spans="1:18" s="559" customFormat="1">
      <c r="A2056" s="521" t="s">
        <v>318</v>
      </c>
      <c r="B2056" s="522" t="s">
        <v>1033</v>
      </c>
      <c r="C2056" s="522" t="s">
        <v>330</v>
      </c>
      <c r="D2056" s="521" t="s">
        <v>1034</v>
      </c>
      <c r="E2056" s="522">
        <v>201612</v>
      </c>
      <c r="F2056" s="523">
        <v>477.91</v>
      </c>
      <c r="G2056" s="521">
        <v>4.5</v>
      </c>
      <c r="H2056" s="524">
        <v>1.3083000000000001E-3</v>
      </c>
      <c r="I2056" s="523">
        <v>2.81</v>
      </c>
      <c r="J2056" s="448">
        <v>7.5</v>
      </c>
      <c r="N2056" s="590"/>
      <c r="O2056" s="590"/>
      <c r="R2056" s="440"/>
    </row>
    <row r="2057" spans="1:18" s="559" customFormat="1">
      <c r="A2057" s="521" t="s">
        <v>318</v>
      </c>
      <c r="B2057" s="522" t="s">
        <v>832</v>
      </c>
      <c r="C2057" s="522" t="s">
        <v>330</v>
      </c>
      <c r="D2057" s="521" t="s">
        <v>833</v>
      </c>
      <c r="E2057" s="522">
        <v>201612</v>
      </c>
      <c r="F2057" s="523">
        <v>0.13</v>
      </c>
      <c r="G2057" s="521">
        <v>4.5</v>
      </c>
      <c r="H2057" s="524">
        <v>1.3083000000000001E-3</v>
      </c>
      <c r="I2057" s="523">
        <v>0</v>
      </c>
      <c r="J2057" s="448">
        <v>0</v>
      </c>
      <c r="N2057" s="590"/>
      <c r="O2057" s="590"/>
      <c r="R2057" s="440"/>
    </row>
    <row r="2058" spans="1:18" s="559" customFormat="1">
      <c r="A2058" s="521" t="s">
        <v>318</v>
      </c>
      <c r="B2058" s="522" t="s">
        <v>832</v>
      </c>
      <c r="C2058" s="522" t="s">
        <v>330</v>
      </c>
      <c r="D2058" s="521" t="s">
        <v>833</v>
      </c>
      <c r="E2058" s="522">
        <v>201612</v>
      </c>
      <c r="F2058" s="523">
        <v>6.18</v>
      </c>
      <c r="G2058" s="521">
        <v>4.5</v>
      </c>
      <c r="H2058" s="524">
        <v>1.3083000000000001E-3</v>
      </c>
      <c r="I2058" s="523">
        <v>0.04</v>
      </c>
      <c r="J2058" s="448">
        <v>0.1</v>
      </c>
      <c r="N2058" s="590"/>
      <c r="O2058" s="590"/>
      <c r="R2058" s="440"/>
    </row>
    <row r="2059" spans="1:18" s="559" customFormat="1">
      <c r="A2059" s="521" t="s">
        <v>318</v>
      </c>
      <c r="B2059" s="522" t="s">
        <v>947</v>
      </c>
      <c r="C2059" s="522" t="s">
        <v>330</v>
      </c>
      <c r="D2059" s="521" t="s">
        <v>948</v>
      </c>
      <c r="E2059" s="522">
        <v>201612</v>
      </c>
      <c r="F2059" s="523">
        <v>7.51</v>
      </c>
      <c r="G2059" s="521">
        <v>4.5</v>
      </c>
      <c r="H2059" s="524">
        <v>1.3083000000000001E-3</v>
      </c>
      <c r="I2059" s="523">
        <v>0.04</v>
      </c>
      <c r="J2059" s="448">
        <v>0.12</v>
      </c>
      <c r="N2059" s="590"/>
      <c r="O2059" s="590"/>
      <c r="R2059" s="440"/>
    </row>
    <row r="2060" spans="1:18" s="559" customFormat="1">
      <c r="A2060" s="521" t="s">
        <v>318</v>
      </c>
      <c r="B2060" s="522" t="s">
        <v>947</v>
      </c>
      <c r="C2060" s="522" t="s">
        <v>330</v>
      </c>
      <c r="D2060" s="521" t="s">
        <v>948</v>
      </c>
      <c r="E2060" s="522">
        <v>201612</v>
      </c>
      <c r="F2060" s="523">
        <v>209.41</v>
      </c>
      <c r="G2060" s="521">
        <v>4.5</v>
      </c>
      <c r="H2060" s="524">
        <v>1.3083000000000001E-3</v>
      </c>
      <c r="I2060" s="523">
        <v>1.23</v>
      </c>
      <c r="J2060" s="448">
        <v>3.29</v>
      </c>
      <c r="N2060" s="590"/>
      <c r="O2060" s="590"/>
      <c r="R2060" s="440"/>
    </row>
    <row r="2061" spans="1:18" s="559" customFormat="1">
      <c r="A2061" s="521" t="s">
        <v>318</v>
      </c>
      <c r="B2061" s="522" t="s">
        <v>834</v>
      </c>
      <c r="C2061" s="522" t="s">
        <v>330</v>
      </c>
      <c r="D2061" s="521" t="s">
        <v>835</v>
      </c>
      <c r="E2061" s="522">
        <v>201612</v>
      </c>
      <c r="F2061" s="523">
        <v>-456957.15</v>
      </c>
      <c r="G2061" s="521">
        <v>4.5</v>
      </c>
      <c r="H2061" s="524">
        <v>1.3083000000000001E-3</v>
      </c>
      <c r="I2061" s="523">
        <v>-2690.27</v>
      </c>
      <c r="J2061" s="448">
        <v>-7174.04</v>
      </c>
      <c r="N2061" s="590"/>
      <c r="O2061" s="590"/>
      <c r="R2061" s="440"/>
    </row>
    <row r="2062" spans="1:18" s="559" customFormat="1">
      <c r="A2062" s="521" t="s">
        <v>318</v>
      </c>
      <c r="B2062" s="522" t="s">
        <v>834</v>
      </c>
      <c r="C2062" s="522" t="s">
        <v>330</v>
      </c>
      <c r="D2062" s="521" t="s">
        <v>835</v>
      </c>
      <c r="E2062" s="522">
        <v>201612</v>
      </c>
      <c r="F2062" s="523">
        <v>-55531</v>
      </c>
      <c r="G2062" s="521">
        <v>4.5</v>
      </c>
      <c r="H2062" s="524">
        <v>1.3083000000000001E-3</v>
      </c>
      <c r="I2062" s="523">
        <v>-326.93</v>
      </c>
      <c r="J2062" s="448">
        <v>-871.81</v>
      </c>
      <c r="N2062" s="590"/>
      <c r="O2062" s="590"/>
      <c r="R2062" s="440"/>
    </row>
    <row r="2063" spans="1:18" s="559" customFormat="1">
      <c r="A2063" s="521" t="s">
        <v>318</v>
      </c>
      <c r="B2063" s="522" t="s">
        <v>951</v>
      </c>
      <c r="C2063" s="522" t="s">
        <v>330</v>
      </c>
      <c r="D2063" s="521" t="s">
        <v>952</v>
      </c>
      <c r="E2063" s="522">
        <v>201612</v>
      </c>
      <c r="F2063" s="523">
        <v>-138.94</v>
      </c>
      <c r="G2063" s="521">
        <v>4.5</v>
      </c>
      <c r="H2063" s="524">
        <v>1.3083000000000001E-3</v>
      </c>
      <c r="I2063" s="523">
        <v>-0.82</v>
      </c>
      <c r="J2063" s="448">
        <v>-2.1800000000000002</v>
      </c>
      <c r="N2063" s="590"/>
      <c r="O2063" s="590"/>
      <c r="R2063" s="440"/>
    </row>
    <row r="2064" spans="1:18" s="559" customFormat="1">
      <c r="A2064" s="521" t="s">
        <v>318</v>
      </c>
      <c r="B2064" s="522" t="s">
        <v>951</v>
      </c>
      <c r="C2064" s="522" t="s">
        <v>330</v>
      </c>
      <c r="D2064" s="521" t="s">
        <v>952</v>
      </c>
      <c r="E2064" s="522">
        <v>201612</v>
      </c>
      <c r="F2064" s="523">
        <v>-4.46</v>
      </c>
      <c r="G2064" s="521">
        <v>4.5</v>
      </c>
      <c r="H2064" s="524">
        <v>1.3083000000000001E-3</v>
      </c>
      <c r="I2064" s="523">
        <v>-0.03</v>
      </c>
      <c r="J2064" s="448">
        <v>-7.0000000000000007E-2</v>
      </c>
      <c r="N2064" s="590"/>
      <c r="O2064" s="590"/>
      <c r="R2064" s="440"/>
    </row>
    <row r="2065" spans="1:18" s="559" customFormat="1">
      <c r="A2065" s="521" t="s">
        <v>318</v>
      </c>
      <c r="B2065" s="522" t="s">
        <v>953</v>
      </c>
      <c r="C2065" s="522" t="s">
        <v>330</v>
      </c>
      <c r="D2065" s="521" t="s">
        <v>954</v>
      </c>
      <c r="E2065" s="522">
        <v>201612</v>
      </c>
      <c r="F2065" s="523">
        <v>5326</v>
      </c>
      <c r="G2065" s="521">
        <v>4.5</v>
      </c>
      <c r="H2065" s="524">
        <v>1.3083000000000001E-3</v>
      </c>
      <c r="I2065" s="523">
        <v>31.36</v>
      </c>
      <c r="J2065" s="448">
        <v>83.62</v>
      </c>
      <c r="N2065" s="590"/>
      <c r="O2065" s="590"/>
      <c r="R2065" s="440"/>
    </row>
    <row r="2066" spans="1:18" s="559" customFormat="1">
      <c r="A2066" s="521" t="s">
        <v>318</v>
      </c>
      <c r="B2066" s="522" t="s">
        <v>953</v>
      </c>
      <c r="C2066" s="522" t="s">
        <v>330</v>
      </c>
      <c r="D2066" s="521" t="s">
        <v>954</v>
      </c>
      <c r="E2066" s="522">
        <v>201612</v>
      </c>
      <c r="F2066" s="523">
        <v>12515.84</v>
      </c>
      <c r="G2066" s="521">
        <v>4.5</v>
      </c>
      <c r="H2066" s="524">
        <v>1.3083000000000001E-3</v>
      </c>
      <c r="I2066" s="523">
        <v>73.69</v>
      </c>
      <c r="J2066" s="448">
        <v>196.49</v>
      </c>
      <c r="N2066" s="590"/>
      <c r="O2066" s="590"/>
      <c r="R2066" s="440"/>
    </row>
    <row r="2067" spans="1:18" s="559" customFormat="1">
      <c r="A2067" s="521" t="s">
        <v>318</v>
      </c>
      <c r="B2067" s="522" t="s">
        <v>955</v>
      </c>
      <c r="C2067" s="522" t="s">
        <v>330</v>
      </c>
      <c r="D2067" s="521" t="s">
        <v>956</v>
      </c>
      <c r="E2067" s="522">
        <v>201612</v>
      </c>
      <c r="F2067" s="523">
        <v>0.38</v>
      </c>
      <c r="G2067" s="521">
        <v>4.5</v>
      </c>
      <c r="H2067" s="524">
        <v>1.3083000000000001E-3</v>
      </c>
      <c r="I2067" s="523">
        <v>0</v>
      </c>
      <c r="J2067" s="448">
        <v>0.01</v>
      </c>
      <c r="N2067" s="590"/>
      <c r="O2067" s="590"/>
      <c r="R2067" s="440"/>
    </row>
    <row r="2068" spans="1:18" s="559" customFormat="1">
      <c r="A2068" s="521" t="s">
        <v>318</v>
      </c>
      <c r="B2068" s="522" t="s">
        <v>955</v>
      </c>
      <c r="C2068" s="522" t="s">
        <v>330</v>
      </c>
      <c r="D2068" s="521" t="s">
        <v>956</v>
      </c>
      <c r="E2068" s="522">
        <v>201612</v>
      </c>
      <c r="F2068" s="523">
        <v>11.42</v>
      </c>
      <c r="G2068" s="521">
        <v>4.5</v>
      </c>
      <c r="H2068" s="524">
        <v>1.3083000000000001E-3</v>
      </c>
      <c r="I2068" s="523">
        <v>7.0000000000000007E-2</v>
      </c>
      <c r="J2068" s="448">
        <v>0.18</v>
      </c>
      <c r="N2068" s="590"/>
      <c r="O2068" s="590"/>
      <c r="R2068" s="440"/>
    </row>
    <row r="2069" spans="1:18" s="559" customFormat="1">
      <c r="A2069" s="521" t="s">
        <v>318</v>
      </c>
      <c r="B2069" s="522" t="s">
        <v>672</v>
      </c>
      <c r="C2069" s="522" t="s">
        <v>330</v>
      </c>
      <c r="D2069" s="521" t="s">
        <v>673</v>
      </c>
      <c r="E2069" s="522">
        <v>201612</v>
      </c>
      <c r="F2069" s="523">
        <v>-92.08</v>
      </c>
      <c r="G2069" s="521">
        <v>4.5</v>
      </c>
      <c r="H2069" s="524">
        <v>1.3083000000000001E-3</v>
      </c>
      <c r="I2069" s="523">
        <v>-0.54</v>
      </c>
      <c r="J2069" s="448">
        <v>-1.45</v>
      </c>
      <c r="N2069" s="590"/>
      <c r="O2069" s="590"/>
      <c r="R2069" s="440"/>
    </row>
    <row r="2070" spans="1:18" s="559" customFormat="1">
      <c r="A2070" s="521" t="s">
        <v>318</v>
      </c>
      <c r="B2070" s="522" t="s">
        <v>814</v>
      </c>
      <c r="C2070" s="522" t="s">
        <v>330</v>
      </c>
      <c r="D2070" s="521" t="s">
        <v>815</v>
      </c>
      <c r="E2070" s="522">
        <v>201612</v>
      </c>
      <c r="F2070" s="523">
        <v>72441.429999999993</v>
      </c>
      <c r="G2070" s="521">
        <v>4.5</v>
      </c>
      <c r="H2070" s="524">
        <v>1.3083000000000001E-3</v>
      </c>
      <c r="I2070" s="523">
        <v>426.49</v>
      </c>
      <c r="J2070" s="448">
        <v>1137.3</v>
      </c>
      <c r="N2070" s="590"/>
      <c r="O2070" s="590"/>
      <c r="R2070" s="440"/>
    </row>
    <row r="2071" spans="1:18" s="559" customFormat="1">
      <c r="A2071" s="521" t="s">
        <v>318</v>
      </c>
      <c r="B2071" s="522" t="s">
        <v>814</v>
      </c>
      <c r="C2071" s="522" t="s">
        <v>330</v>
      </c>
      <c r="D2071" s="521" t="s">
        <v>815</v>
      </c>
      <c r="E2071" s="522">
        <v>201612</v>
      </c>
      <c r="F2071" s="523">
        <v>75297.440000000002</v>
      </c>
      <c r="G2071" s="521">
        <v>4.5</v>
      </c>
      <c r="H2071" s="524">
        <v>1.3083000000000001E-3</v>
      </c>
      <c r="I2071" s="523">
        <v>443.3</v>
      </c>
      <c r="J2071" s="448">
        <v>1182.1400000000001</v>
      </c>
      <c r="N2071" s="590"/>
      <c r="O2071" s="590"/>
      <c r="R2071" s="440"/>
    </row>
    <row r="2072" spans="1:18" s="559" customFormat="1">
      <c r="A2072" s="521" t="s">
        <v>318</v>
      </c>
      <c r="B2072" s="522" t="s">
        <v>961</v>
      </c>
      <c r="C2072" s="522" t="s">
        <v>330</v>
      </c>
      <c r="D2072" s="521" t="s">
        <v>962</v>
      </c>
      <c r="E2072" s="522">
        <v>201612</v>
      </c>
      <c r="F2072" s="523">
        <v>-126.79</v>
      </c>
      <c r="G2072" s="521">
        <v>4.5</v>
      </c>
      <c r="H2072" s="524">
        <v>1.3083000000000001E-3</v>
      </c>
      <c r="I2072" s="523">
        <v>-0.75</v>
      </c>
      <c r="J2072" s="448">
        <v>-1.99</v>
      </c>
      <c r="N2072" s="590"/>
      <c r="O2072" s="590"/>
      <c r="R2072" s="440"/>
    </row>
    <row r="2073" spans="1:18" s="559" customFormat="1">
      <c r="A2073" s="521" t="s">
        <v>318</v>
      </c>
      <c r="B2073" s="522" t="s">
        <v>961</v>
      </c>
      <c r="C2073" s="522" t="s">
        <v>330</v>
      </c>
      <c r="D2073" s="521" t="s">
        <v>962</v>
      </c>
      <c r="E2073" s="522">
        <v>201612</v>
      </c>
      <c r="F2073" s="523">
        <v>-7.9</v>
      </c>
      <c r="G2073" s="521">
        <v>4.5</v>
      </c>
      <c r="H2073" s="524">
        <v>1.3083000000000001E-3</v>
      </c>
      <c r="I2073" s="523">
        <v>-0.05</v>
      </c>
      <c r="J2073" s="448">
        <v>-0.12</v>
      </c>
      <c r="N2073" s="590"/>
      <c r="O2073" s="590"/>
      <c r="R2073" s="440"/>
    </row>
    <row r="2074" spans="1:18" s="559" customFormat="1">
      <c r="A2074" s="521" t="s">
        <v>318</v>
      </c>
      <c r="B2074" s="522" t="s">
        <v>963</v>
      </c>
      <c r="C2074" s="522" t="s">
        <v>330</v>
      </c>
      <c r="D2074" s="521" t="s">
        <v>964</v>
      </c>
      <c r="E2074" s="522">
        <v>201612</v>
      </c>
      <c r="F2074" s="523">
        <v>8.17</v>
      </c>
      <c r="G2074" s="521">
        <v>4.5</v>
      </c>
      <c r="H2074" s="524">
        <v>1.3083000000000001E-3</v>
      </c>
      <c r="I2074" s="523">
        <v>0.05</v>
      </c>
      <c r="J2074" s="448">
        <v>0.13</v>
      </c>
      <c r="N2074" s="590"/>
      <c r="O2074" s="590"/>
      <c r="R2074" s="440"/>
    </row>
    <row r="2075" spans="1:18" s="559" customFormat="1">
      <c r="A2075" s="521" t="s">
        <v>318</v>
      </c>
      <c r="B2075" s="522" t="s">
        <v>963</v>
      </c>
      <c r="C2075" s="522" t="s">
        <v>330</v>
      </c>
      <c r="D2075" s="521" t="s">
        <v>964</v>
      </c>
      <c r="E2075" s="522">
        <v>201612</v>
      </c>
      <c r="F2075" s="523">
        <v>105.05</v>
      </c>
      <c r="G2075" s="521">
        <v>4.5</v>
      </c>
      <c r="H2075" s="524">
        <v>1.3083000000000001E-3</v>
      </c>
      <c r="I2075" s="523">
        <v>0.62</v>
      </c>
      <c r="J2075" s="448">
        <v>1.65</v>
      </c>
      <c r="N2075" s="590"/>
      <c r="O2075" s="590"/>
      <c r="R2075" s="440"/>
    </row>
    <row r="2076" spans="1:18" s="559" customFormat="1">
      <c r="A2076" s="521" t="s">
        <v>318</v>
      </c>
      <c r="B2076" s="522" t="s">
        <v>842</v>
      </c>
      <c r="C2076" s="522" t="s">
        <v>330</v>
      </c>
      <c r="D2076" s="521" t="s">
        <v>843</v>
      </c>
      <c r="E2076" s="522">
        <v>201612</v>
      </c>
      <c r="F2076" s="523">
        <v>-950025.59</v>
      </c>
      <c r="G2076" s="521">
        <v>4.5</v>
      </c>
      <c r="H2076" s="524">
        <v>1.3083000000000001E-3</v>
      </c>
      <c r="I2076" s="523">
        <v>-5593.13</v>
      </c>
      <c r="J2076" s="448">
        <v>-14915.02</v>
      </c>
      <c r="N2076" s="590"/>
      <c r="O2076" s="590"/>
      <c r="R2076" s="440"/>
    </row>
    <row r="2077" spans="1:18" s="559" customFormat="1">
      <c r="A2077" s="521" t="s">
        <v>318</v>
      </c>
      <c r="B2077" s="522" t="s">
        <v>842</v>
      </c>
      <c r="C2077" s="522" t="s">
        <v>330</v>
      </c>
      <c r="D2077" s="521" t="s">
        <v>843</v>
      </c>
      <c r="E2077" s="522">
        <v>201612</v>
      </c>
      <c r="F2077" s="523">
        <v>-65717.08</v>
      </c>
      <c r="G2077" s="521">
        <v>4.5</v>
      </c>
      <c r="H2077" s="524">
        <v>1.3083000000000001E-3</v>
      </c>
      <c r="I2077" s="523">
        <v>-386.9</v>
      </c>
      <c r="J2077" s="448">
        <v>-1031.73</v>
      </c>
      <c r="N2077" s="590"/>
      <c r="O2077" s="590"/>
      <c r="R2077" s="440"/>
    </row>
    <row r="2078" spans="1:18" s="559" customFormat="1">
      <c r="A2078" s="521" t="s">
        <v>318</v>
      </c>
      <c r="B2078" s="522" t="s">
        <v>842</v>
      </c>
      <c r="C2078" s="522" t="s">
        <v>330</v>
      </c>
      <c r="D2078" s="521" t="s">
        <v>843</v>
      </c>
      <c r="E2078" s="522">
        <v>201612</v>
      </c>
      <c r="F2078" s="523">
        <v>180514.63</v>
      </c>
      <c r="G2078" s="521">
        <v>4.5</v>
      </c>
      <c r="H2078" s="524">
        <v>1.3083000000000001E-3</v>
      </c>
      <c r="I2078" s="523">
        <v>1062.75</v>
      </c>
      <c r="J2078" s="448">
        <v>2834.01</v>
      </c>
      <c r="N2078" s="590"/>
      <c r="O2078" s="590"/>
      <c r="R2078" s="440"/>
    </row>
    <row r="2079" spans="1:18" s="559" customFormat="1">
      <c r="A2079" s="521" t="s">
        <v>318</v>
      </c>
      <c r="B2079" s="522" t="s">
        <v>842</v>
      </c>
      <c r="C2079" s="522" t="s">
        <v>330</v>
      </c>
      <c r="D2079" s="521" t="s">
        <v>843</v>
      </c>
      <c r="E2079" s="522">
        <v>201612</v>
      </c>
      <c r="F2079" s="523">
        <v>835768.31</v>
      </c>
      <c r="G2079" s="521">
        <v>4.5</v>
      </c>
      <c r="H2079" s="524">
        <v>1.3083000000000001E-3</v>
      </c>
      <c r="I2079" s="523">
        <v>4920.46</v>
      </c>
      <c r="J2079" s="448">
        <v>13121.23</v>
      </c>
      <c r="N2079" s="590"/>
      <c r="O2079" s="590"/>
      <c r="R2079" s="440"/>
    </row>
    <row r="2080" spans="1:18" s="559" customFormat="1">
      <c r="A2080" s="521" t="s">
        <v>318</v>
      </c>
      <c r="B2080" s="522" t="s">
        <v>844</v>
      </c>
      <c r="C2080" s="522" t="s">
        <v>329</v>
      </c>
      <c r="D2080" s="521" t="s">
        <v>845</v>
      </c>
      <c r="E2080" s="522">
        <v>201612</v>
      </c>
      <c r="F2080" s="523">
        <v>-414.62</v>
      </c>
      <c r="G2080" s="521">
        <v>4.5</v>
      </c>
      <c r="H2080" s="524">
        <v>1.3083000000000001E-3</v>
      </c>
      <c r="I2080" s="523">
        <v>-2.44</v>
      </c>
      <c r="J2080" s="448">
        <v>-6.51</v>
      </c>
      <c r="N2080" s="590"/>
      <c r="O2080" s="590"/>
      <c r="R2080" s="440"/>
    </row>
    <row r="2081" spans="1:18" s="559" customFormat="1">
      <c r="A2081" s="521" t="s">
        <v>318</v>
      </c>
      <c r="B2081" s="522" t="s">
        <v>844</v>
      </c>
      <c r="C2081" s="522" t="s">
        <v>329</v>
      </c>
      <c r="D2081" s="521" t="s">
        <v>845</v>
      </c>
      <c r="E2081" s="522">
        <v>201612</v>
      </c>
      <c r="F2081" s="523">
        <v>-322.36</v>
      </c>
      <c r="G2081" s="521">
        <v>4.5</v>
      </c>
      <c r="H2081" s="524">
        <v>1.3083000000000001E-3</v>
      </c>
      <c r="I2081" s="523">
        <v>-1.9</v>
      </c>
      <c r="J2081" s="448">
        <v>-5.0599999999999996</v>
      </c>
      <c r="N2081" s="590"/>
      <c r="O2081" s="590"/>
      <c r="R2081" s="440"/>
    </row>
    <row r="2082" spans="1:18" s="559" customFormat="1">
      <c r="A2082" s="521" t="s">
        <v>318</v>
      </c>
      <c r="B2082" s="522" t="s">
        <v>1035</v>
      </c>
      <c r="C2082" s="522" t="s">
        <v>329</v>
      </c>
      <c r="D2082" s="521" t="s">
        <v>1036</v>
      </c>
      <c r="E2082" s="522">
        <v>201612</v>
      </c>
      <c r="F2082" s="523">
        <v>-78.45</v>
      </c>
      <c r="G2082" s="521">
        <v>4.5</v>
      </c>
      <c r="H2082" s="524">
        <v>1.3083000000000001E-3</v>
      </c>
      <c r="I2082" s="523">
        <v>-0.46</v>
      </c>
      <c r="J2082" s="448">
        <v>-1.23</v>
      </c>
      <c r="N2082" s="590"/>
      <c r="O2082" s="590"/>
      <c r="R2082" s="440"/>
    </row>
    <row r="2083" spans="1:18" s="559" customFormat="1">
      <c r="A2083" s="521" t="s">
        <v>318</v>
      </c>
      <c r="B2083" s="522" t="s">
        <v>1035</v>
      </c>
      <c r="C2083" s="522" t="s">
        <v>329</v>
      </c>
      <c r="D2083" s="521" t="s">
        <v>1036</v>
      </c>
      <c r="E2083" s="522">
        <v>201612</v>
      </c>
      <c r="F2083" s="523">
        <v>-2.21</v>
      </c>
      <c r="G2083" s="521">
        <v>4.5</v>
      </c>
      <c r="H2083" s="524">
        <v>1.3083000000000001E-3</v>
      </c>
      <c r="I2083" s="523">
        <v>-0.01</v>
      </c>
      <c r="J2083" s="448">
        <v>-0.03</v>
      </c>
      <c r="N2083" s="590"/>
      <c r="O2083" s="590"/>
      <c r="R2083" s="440"/>
    </row>
    <row r="2084" spans="1:18" s="559" customFormat="1">
      <c r="A2084" s="521" t="s">
        <v>318</v>
      </c>
      <c r="B2084" s="522" t="s">
        <v>862</v>
      </c>
      <c r="C2084" s="522" t="s">
        <v>330</v>
      </c>
      <c r="D2084" s="521" t="s">
        <v>863</v>
      </c>
      <c r="E2084" s="522">
        <v>201612</v>
      </c>
      <c r="F2084" s="523">
        <v>-89463.92</v>
      </c>
      <c r="G2084" s="521">
        <v>4.5</v>
      </c>
      <c r="H2084" s="524">
        <v>1.3083000000000001E-3</v>
      </c>
      <c r="I2084" s="523">
        <v>-526.71</v>
      </c>
      <c r="J2084" s="448">
        <v>-1404.55</v>
      </c>
      <c r="N2084" s="590"/>
      <c r="O2084" s="590"/>
      <c r="R2084" s="440"/>
    </row>
    <row r="2085" spans="1:18" s="559" customFormat="1">
      <c r="A2085" s="521" t="s">
        <v>318</v>
      </c>
      <c r="B2085" s="522" t="s">
        <v>862</v>
      </c>
      <c r="C2085" s="522" t="s">
        <v>330</v>
      </c>
      <c r="D2085" s="521" t="s">
        <v>863</v>
      </c>
      <c r="E2085" s="522">
        <v>201612</v>
      </c>
      <c r="F2085" s="523">
        <v>2852.43</v>
      </c>
      <c r="G2085" s="521">
        <v>4.5</v>
      </c>
      <c r="H2085" s="524">
        <v>1.3083000000000001E-3</v>
      </c>
      <c r="I2085" s="523">
        <v>16.79</v>
      </c>
      <c r="J2085" s="448">
        <v>44.78</v>
      </c>
      <c r="N2085" s="590"/>
      <c r="O2085" s="590"/>
      <c r="R2085" s="440"/>
    </row>
    <row r="2086" spans="1:18" s="559" customFormat="1">
      <c r="A2086" s="521" t="s">
        <v>318</v>
      </c>
      <c r="B2086" s="522" t="s">
        <v>967</v>
      </c>
      <c r="C2086" s="522" t="s">
        <v>330</v>
      </c>
      <c r="D2086" s="521" t="s">
        <v>968</v>
      </c>
      <c r="E2086" s="522">
        <v>201612</v>
      </c>
      <c r="F2086" s="523">
        <v>7.95</v>
      </c>
      <c r="G2086" s="521">
        <v>4.5</v>
      </c>
      <c r="H2086" s="524">
        <v>1.3083000000000001E-3</v>
      </c>
      <c r="I2086" s="523">
        <v>0.05</v>
      </c>
      <c r="J2086" s="448">
        <v>0.12</v>
      </c>
      <c r="N2086" s="590"/>
      <c r="O2086" s="590"/>
      <c r="R2086" s="440"/>
    </row>
    <row r="2087" spans="1:18" s="559" customFormat="1">
      <c r="A2087" s="521" t="s">
        <v>318</v>
      </c>
      <c r="B2087" s="522" t="s">
        <v>967</v>
      </c>
      <c r="C2087" s="522" t="s">
        <v>330</v>
      </c>
      <c r="D2087" s="521" t="s">
        <v>968</v>
      </c>
      <c r="E2087" s="522">
        <v>201612</v>
      </c>
      <c r="F2087" s="523">
        <v>210.4</v>
      </c>
      <c r="G2087" s="521">
        <v>4.5</v>
      </c>
      <c r="H2087" s="524">
        <v>1.3083000000000001E-3</v>
      </c>
      <c r="I2087" s="523">
        <v>1.24</v>
      </c>
      <c r="J2087" s="448">
        <v>3.3</v>
      </c>
      <c r="N2087" s="590"/>
      <c r="O2087" s="590"/>
      <c r="R2087" s="440"/>
    </row>
    <row r="2088" spans="1:18" s="559" customFormat="1">
      <c r="A2088" s="521" t="s">
        <v>318</v>
      </c>
      <c r="B2088" s="522" t="s">
        <v>682</v>
      </c>
      <c r="C2088" s="522" t="s">
        <v>330</v>
      </c>
      <c r="D2088" s="521" t="s">
        <v>683</v>
      </c>
      <c r="E2088" s="522">
        <v>201612</v>
      </c>
      <c r="F2088" s="523">
        <v>356.49</v>
      </c>
      <c r="G2088" s="521">
        <v>4.5</v>
      </c>
      <c r="H2088" s="524">
        <v>1.3083000000000001E-3</v>
      </c>
      <c r="I2088" s="523">
        <v>2.1</v>
      </c>
      <c r="J2088" s="448">
        <v>5.6</v>
      </c>
      <c r="N2088" s="590"/>
      <c r="O2088" s="590"/>
      <c r="R2088" s="440"/>
    </row>
    <row r="2089" spans="1:18" s="559" customFormat="1">
      <c r="A2089" s="521" t="s">
        <v>318</v>
      </c>
      <c r="B2089" s="522" t="s">
        <v>682</v>
      </c>
      <c r="C2089" s="522" t="s">
        <v>330</v>
      </c>
      <c r="D2089" s="521" t="s">
        <v>683</v>
      </c>
      <c r="E2089" s="522">
        <v>201612</v>
      </c>
      <c r="F2089" s="523">
        <v>8545.99</v>
      </c>
      <c r="G2089" s="521">
        <v>4.5</v>
      </c>
      <c r="H2089" s="524">
        <v>1.3083000000000001E-3</v>
      </c>
      <c r="I2089" s="523">
        <v>50.31</v>
      </c>
      <c r="J2089" s="448">
        <v>134.16999999999999</v>
      </c>
      <c r="N2089" s="590"/>
      <c r="O2089" s="590"/>
      <c r="R2089" s="440"/>
    </row>
    <row r="2090" spans="1:18" s="559" customFormat="1">
      <c r="A2090" s="521" t="s">
        <v>318</v>
      </c>
      <c r="B2090" s="522" t="s">
        <v>846</v>
      </c>
      <c r="C2090" s="522" t="s">
        <v>330</v>
      </c>
      <c r="D2090" s="521" t="s">
        <v>847</v>
      </c>
      <c r="E2090" s="522">
        <v>201612</v>
      </c>
      <c r="F2090" s="523">
        <v>38.85</v>
      </c>
      <c r="G2090" s="521">
        <v>4.5</v>
      </c>
      <c r="H2090" s="524">
        <v>1.3083000000000001E-3</v>
      </c>
      <c r="I2090" s="523">
        <v>0.23</v>
      </c>
      <c r="J2090" s="448">
        <v>0.61</v>
      </c>
      <c r="N2090" s="590"/>
      <c r="O2090" s="590"/>
      <c r="R2090" s="440"/>
    </row>
    <row r="2091" spans="1:18" s="559" customFormat="1">
      <c r="A2091" s="521" t="s">
        <v>318</v>
      </c>
      <c r="B2091" s="522" t="s">
        <v>846</v>
      </c>
      <c r="C2091" s="522" t="s">
        <v>330</v>
      </c>
      <c r="D2091" s="521" t="s">
        <v>847</v>
      </c>
      <c r="E2091" s="522">
        <v>201612</v>
      </c>
      <c r="F2091" s="523">
        <v>406.21</v>
      </c>
      <c r="G2091" s="521">
        <v>4.5</v>
      </c>
      <c r="H2091" s="524">
        <v>1.3083000000000001E-3</v>
      </c>
      <c r="I2091" s="523">
        <v>2.39</v>
      </c>
      <c r="J2091" s="448">
        <v>6.38</v>
      </c>
      <c r="N2091" s="590"/>
      <c r="O2091" s="590"/>
      <c r="R2091" s="440"/>
    </row>
    <row r="2092" spans="1:18" s="559" customFormat="1">
      <c r="A2092" s="521" t="s">
        <v>322</v>
      </c>
      <c r="B2092" s="522" t="s">
        <v>1106</v>
      </c>
      <c r="C2092" s="522" t="s">
        <v>330</v>
      </c>
      <c r="D2092" s="521" t="s">
        <v>1107</v>
      </c>
      <c r="E2092" s="522">
        <v>201612</v>
      </c>
      <c r="F2092" s="523">
        <v>621.71</v>
      </c>
      <c r="G2092" s="521">
        <v>4.5</v>
      </c>
      <c r="H2092" s="524">
        <v>1.1999999999999999E-3</v>
      </c>
      <c r="I2092" s="523">
        <v>3.36</v>
      </c>
      <c r="J2092" s="448">
        <v>8.9499999999999993</v>
      </c>
      <c r="N2092" s="590"/>
      <c r="O2092" s="590"/>
      <c r="R2092" s="440"/>
    </row>
    <row r="2093" spans="1:18" s="559" customFormat="1">
      <c r="A2093" s="521" t="s">
        <v>318</v>
      </c>
      <c r="B2093" s="522" t="s">
        <v>1106</v>
      </c>
      <c r="C2093" s="522" t="s">
        <v>330</v>
      </c>
      <c r="D2093" s="521" t="s">
        <v>1107</v>
      </c>
      <c r="E2093" s="522">
        <v>201612</v>
      </c>
      <c r="F2093" s="523">
        <v>15673.6</v>
      </c>
      <c r="G2093" s="521">
        <v>4.5</v>
      </c>
      <c r="H2093" s="524">
        <v>1.3083000000000001E-3</v>
      </c>
      <c r="I2093" s="523">
        <v>92.28</v>
      </c>
      <c r="J2093" s="448">
        <v>246.07</v>
      </c>
      <c r="N2093" s="590"/>
      <c r="O2093" s="590"/>
      <c r="R2093" s="440"/>
    </row>
    <row r="2094" spans="1:18" s="559" customFormat="1">
      <c r="A2094" s="521" t="s">
        <v>318</v>
      </c>
      <c r="B2094" s="522" t="s">
        <v>1106</v>
      </c>
      <c r="C2094" s="522" t="s">
        <v>330</v>
      </c>
      <c r="D2094" s="521" t="s">
        <v>1107</v>
      </c>
      <c r="E2094" s="522">
        <v>201612</v>
      </c>
      <c r="F2094" s="523">
        <v>194730.47</v>
      </c>
      <c r="G2094" s="521">
        <v>4.5</v>
      </c>
      <c r="H2094" s="524">
        <v>1.3083000000000001E-3</v>
      </c>
      <c r="I2094" s="523">
        <v>1146.45</v>
      </c>
      <c r="J2094" s="448">
        <v>3057.19</v>
      </c>
      <c r="N2094" s="590"/>
      <c r="O2094" s="590"/>
      <c r="R2094" s="440"/>
    </row>
    <row r="2095" spans="1:18" s="559" customFormat="1">
      <c r="A2095" s="521" t="s">
        <v>318</v>
      </c>
      <c r="B2095" s="522" t="s">
        <v>848</v>
      </c>
      <c r="C2095" s="522" t="s">
        <v>329</v>
      </c>
      <c r="D2095" s="521" t="s">
        <v>849</v>
      </c>
      <c r="E2095" s="522">
        <v>201612</v>
      </c>
      <c r="F2095" s="523">
        <v>44.67</v>
      </c>
      <c r="G2095" s="521">
        <v>4.5</v>
      </c>
      <c r="H2095" s="524">
        <v>1.3083000000000001E-3</v>
      </c>
      <c r="I2095" s="523">
        <v>0.26</v>
      </c>
      <c r="J2095" s="448">
        <v>0.7</v>
      </c>
      <c r="N2095" s="590"/>
      <c r="O2095" s="590"/>
      <c r="R2095" s="440"/>
    </row>
    <row r="2096" spans="1:18" s="559" customFormat="1">
      <c r="A2096" s="521" t="s">
        <v>318</v>
      </c>
      <c r="B2096" s="522" t="s">
        <v>848</v>
      </c>
      <c r="C2096" s="522" t="s">
        <v>329</v>
      </c>
      <c r="D2096" s="521" t="s">
        <v>849</v>
      </c>
      <c r="E2096" s="522">
        <v>201612</v>
      </c>
      <c r="F2096" s="523">
        <v>189.5</v>
      </c>
      <c r="G2096" s="521">
        <v>4.5</v>
      </c>
      <c r="H2096" s="524">
        <v>1.3083000000000001E-3</v>
      </c>
      <c r="I2096" s="523">
        <v>1.1200000000000001</v>
      </c>
      <c r="J2096" s="448">
        <v>2.98</v>
      </c>
      <c r="N2096" s="590"/>
      <c r="O2096" s="590"/>
      <c r="R2096" s="440"/>
    </row>
    <row r="2097" spans="1:18" s="559" customFormat="1">
      <c r="A2097" s="521" t="s">
        <v>318</v>
      </c>
      <c r="B2097" s="522" t="s">
        <v>971</v>
      </c>
      <c r="C2097" s="522" t="s">
        <v>329</v>
      </c>
      <c r="D2097" s="521" t="s">
        <v>972</v>
      </c>
      <c r="E2097" s="522">
        <v>201612</v>
      </c>
      <c r="F2097" s="523">
        <v>1.45</v>
      </c>
      <c r="G2097" s="521">
        <v>4.5</v>
      </c>
      <c r="H2097" s="524">
        <v>1.3083000000000001E-3</v>
      </c>
      <c r="I2097" s="523">
        <v>0.01</v>
      </c>
      <c r="J2097" s="448">
        <v>0.02</v>
      </c>
      <c r="N2097" s="590"/>
      <c r="O2097" s="590"/>
      <c r="R2097" s="440"/>
    </row>
    <row r="2098" spans="1:18" s="559" customFormat="1">
      <c r="A2098" s="521" t="s">
        <v>318</v>
      </c>
      <c r="B2098" s="522" t="s">
        <v>971</v>
      </c>
      <c r="C2098" s="522" t="s">
        <v>329</v>
      </c>
      <c r="D2098" s="521" t="s">
        <v>972</v>
      </c>
      <c r="E2098" s="522">
        <v>201612</v>
      </c>
      <c r="F2098" s="523">
        <v>15.92</v>
      </c>
      <c r="G2098" s="521">
        <v>4.5</v>
      </c>
      <c r="H2098" s="524">
        <v>1.3083000000000001E-3</v>
      </c>
      <c r="I2098" s="523">
        <v>0.09</v>
      </c>
      <c r="J2098" s="448">
        <v>0.25</v>
      </c>
      <c r="N2098" s="590"/>
      <c r="O2098" s="590"/>
      <c r="R2098" s="440"/>
    </row>
    <row r="2099" spans="1:18" s="559" customFormat="1">
      <c r="A2099" s="521" t="s">
        <v>322</v>
      </c>
      <c r="B2099" s="522" t="s">
        <v>822</v>
      </c>
      <c r="C2099" s="522" t="s">
        <v>330</v>
      </c>
      <c r="D2099" s="521" t="s">
        <v>823</v>
      </c>
      <c r="E2099" s="522">
        <v>201612</v>
      </c>
      <c r="F2099" s="523">
        <v>-6.07</v>
      </c>
      <c r="G2099" s="521">
        <v>4.5</v>
      </c>
      <c r="H2099" s="524">
        <v>1.1999999999999999E-3</v>
      </c>
      <c r="I2099" s="523">
        <v>-0.03</v>
      </c>
      <c r="J2099" s="448">
        <v>-0.09</v>
      </c>
      <c r="N2099" s="590"/>
      <c r="O2099" s="590"/>
      <c r="R2099" s="440"/>
    </row>
    <row r="2100" spans="1:18" s="559" customFormat="1">
      <c r="A2100" s="521" t="s">
        <v>322</v>
      </c>
      <c r="B2100" s="522" t="s">
        <v>822</v>
      </c>
      <c r="C2100" s="522" t="s">
        <v>330</v>
      </c>
      <c r="D2100" s="521" t="s">
        <v>823</v>
      </c>
      <c r="E2100" s="522">
        <v>201612</v>
      </c>
      <c r="F2100" s="523">
        <v>-0.01</v>
      </c>
      <c r="G2100" s="521">
        <v>4.5</v>
      </c>
      <c r="H2100" s="524">
        <v>1.1999999999999999E-3</v>
      </c>
      <c r="I2100" s="523">
        <v>0</v>
      </c>
      <c r="J2100" s="448">
        <v>0</v>
      </c>
      <c r="N2100" s="590"/>
      <c r="O2100" s="590"/>
      <c r="R2100" s="440"/>
    </row>
    <row r="2101" spans="1:18" s="559" customFormat="1">
      <c r="A2101" s="521" t="s">
        <v>318</v>
      </c>
      <c r="B2101" s="522" t="s">
        <v>822</v>
      </c>
      <c r="C2101" s="522" t="s">
        <v>330</v>
      </c>
      <c r="D2101" s="521" t="s">
        <v>823</v>
      </c>
      <c r="E2101" s="522">
        <v>201612</v>
      </c>
      <c r="F2101" s="523">
        <v>-49.15</v>
      </c>
      <c r="G2101" s="521">
        <v>4.5</v>
      </c>
      <c r="H2101" s="524">
        <v>1.3083000000000001E-3</v>
      </c>
      <c r="I2101" s="523">
        <v>-0.28999999999999998</v>
      </c>
      <c r="J2101" s="448">
        <v>-0.77</v>
      </c>
      <c r="N2101" s="590"/>
      <c r="O2101" s="590"/>
      <c r="R2101" s="440"/>
    </row>
    <row r="2102" spans="1:18" s="559" customFormat="1">
      <c r="A2102" s="521" t="s">
        <v>318</v>
      </c>
      <c r="B2102" s="522" t="s">
        <v>822</v>
      </c>
      <c r="C2102" s="522" t="s">
        <v>330</v>
      </c>
      <c r="D2102" s="521" t="s">
        <v>823</v>
      </c>
      <c r="E2102" s="522">
        <v>201612</v>
      </c>
      <c r="F2102" s="523">
        <v>-38.590000000000003</v>
      </c>
      <c r="G2102" s="521">
        <v>4.5</v>
      </c>
      <c r="H2102" s="524">
        <v>1.3083000000000001E-3</v>
      </c>
      <c r="I2102" s="523">
        <v>-0.23</v>
      </c>
      <c r="J2102" s="448">
        <v>-0.61</v>
      </c>
      <c r="N2102" s="590"/>
      <c r="O2102" s="590"/>
      <c r="R2102" s="440"/>
    </row>
    <row r="2103" spans="1:18" s="559" customFormat="1">
      <c r="A2103" s="521" t="s">
        <v>318</v>
      </c>
      <c r="B2103" s="522" t="s">
        <v>822</v>
      </c>
      <c r="C2103" s="522" t="s">
        <v>330</v>
      </c>
      <c r="D2103" s="521" t="s">
        <v>823</v>
      </c>
      <c r="E2103" s="522">
        <v>201612</v>
      </c>
      <c r="F2103" s="523">
        <v>-2.93</v>
      </c>
      <c r="G2103" s="521">
        <v>4.5</v>
      </c>
      <c r="H2103" s="524">
        <v>1.3083000000000001E-3</v>
      </c>
      <c r="I2103" s="523">
        <v>-0.02</v>
      </c>
      <c r="J2103" s="448">
        <v>-0.05</v>
      </c>
      <c r="N2103" s="590"/>
      <c r="O2103" s="590"/>
      <c r="R2103" s="440"/>
    </row>
    <row r="2104" spans="1:18" s="559" customFormat="1">
      <c r="A2104" s="521" t="s">
        <v>318</v>
      </c>
      <c r="B2104" s="522" t="s">
        <v>973</v>
      </c>
      <c r="C2104" s="522" t="s">
        <v>330</v>
      </c>
      <c r="D2104" s="521" t="s">
        <v>974</v>
      </c>
      <c r="E2104" s="522">
        <v>201612</v>
      </c>
      <c r="F2104" s="523">
        <v>84.24</v>
      </c>
      <c r="G2104" s="521">
        <v>4.5</v>
      </c>
      <c r="H2104" s="524">
        <v>1.3083000000000001E-3</v>
      </c>
      <c r="I2104" s="523">
        <v>0.5</v>
      </c>
      <c r="J2104" s="448">
        <v>1.32</v>
      </c>
      <c r="N2104" s="590"/>
      <c r="O2104" s="590"/>
      <c r="R2104" s="440"/>
    </row>
    <row r="2105" spans="1:18" s="559" customFormat="1">
      <c r="A2105" s="521" t="s">
        <v>318</v>
      </c>
      <c r="B2105" s="522" t="s">
        <v>973</v>
      </c>
      <c r="C2105" s="522" t="s">
        <v>330</v>
      </c>
      <c r="D2105" s="521" t="s">
        <v>974</v>
      </c>
      <c r="E2105" s="522">
        <v>201612</v>
      </c>
      <c r="F2105" s="523">
        <v>2162.9699999999998</v>
      </c>
      <c r="G2105" s="521">
        <v>4.5</v>
      </c>
      <c r="H2105" s="524">
        <v>1.3083000000000001E-3</v>
      </c>
      <c r="I2105" s="523">
        <v>12.73</v>
      </c>
      <c r="J2105" s="448">
        <v>33.96</v>
      </c>
      <c r="N2105" s="590"/>
      <c r="O2105" s="590"/>
      <c r="R2105" s="440"/>
    </row>
    <row r="2106" spans="1:18" s="559" customFormat="1">
      <c r="A2106" s="521" t="s">
        <v>318</v>
      </c>
      <c r="B2106" s="522" t="s">
        <v>868</v>
      </c>
      <c r="C2106" s="522" t="s">
        <v>330</v>
      </c>
      <c r="D2106" s="521" t="s">
        <v>869</v>
      </c>
      <c r="E2106" s="522">
        <v>201612</v>
      </c>
      <c r="F2106" s="523">
        <v>78.11</v>
      </c>
      <c r="G2106" s="521">
        <v>4.5</v>
      </c>
      <c r="H2106" s="524">
        <v>1.3083000000000001E-3</v>
      </c>
      <c r="I2106" s="523">
        <v>0.46</v>
      </c>
      <c r="J2106" s="448">
        <v>1.23</v>
      </c>
      <c r="N2106" s="590"/>
      <c r="O2106" s="590"/>
      <c r="R2106" s="440"/>
    </row>
    <row r="2107" spans="1:18" s="559" customFormat="1">
      <c r="A2107" s="521" t="s">
        <v>318</v>
      </c>
      <c r="B2107" s="522" t="s">
        <v>868</v>
      </c>
      <c r="C2107" s="522" t="s">
        <v>330</v>
      </c>
      <c r="D2107" s="521" t="s">
        <v>869</v>
      </c>
      <c r="E2107" s="522">
        <v>201612</v>
      </c>
      <c r="F2107" s="523">
        <v>355.91</v>
      </c>
      <c r="G2107" s="521">
        <v>4.5</v>
      </c>
      <c r="H2107" s="524">
        <v>1.3083000000000001E-3</v>
      </c>
      <c r="I2107" s="523">
        <v>2.1</v>
      </c>
      <c r="J2107" s="448">
        <v>5.59</v>
      </c>
      <c r="N2107" s="590"/>
      <c r="O2107" s="590"/>
      <c r="R2107" s="440"/>
    </row>
    <row r="2108" spans="1:18" s="559" customFormat="1">
      <c r="A2108" s="521" t="s">
        <v>318</v>
      </c>
      <c r="B2108" s="522" t="s">
        <v>1108</v>
      </c>
      <c r="C2108" s="522" t="s">
        <v>330</v>
      </c>
      <c r="D2108" s="521" t="s">
        <v>1109</v>
      </c>
      <c r="E2108" s="522">
        <v>201612</v>
      </c>
      <c r="F2108" s="523">
        <v>6083.13</v>
      </c>
      <c r="G2108" s="521">
        <v>4.5</v>
      </c>
      <c r="H2108" s="524">
        <v>1.3083000000000001E-3</v>
      </c>
      <c r="I2108" s="523">
        <v>35.81</v>
      </c>
      <c r="J2108" s="448">
        <v>95.5</v>
      </c>
      <c r="N2108" s="590"/>
      <c r="O2108" s="590"/>
      <c r="R2108" s="440"/>
    </row>
    <row r="2109" spans="1:18" s="559" customFormat="1">
      <c r="A2109" s="521" t="s">
        <v>318</v>
      </c>
      <c r="B2109" s="522" t="s">
        <v>1108</v>
      </c>
      <c r="C2109" s="522" t="s">
        <v>330</v>
      </c>
      <c r="D2109" s="521" t="s">
        <v>1109</v>
      </c>
      <c r="E2109" s="522">
        <v>201612</v>
      </c>
      <c r="F2109" s="523">
        <v>206561.57</v>
      </c>
      <c r="G2109" s="521">
        <v>4.5</v>
      </c>
      <c r="H2109" s="524">
        <v>1.3083000000000001E-3</v>
      </c>
      <c r="I2109" s="523">
        <v>1216.0999999999999</v>
      </c>
      <c r="J2109" s="448">
        <v>3242.93</v>
      </c>
      <c r="N2109" s="590"/>
      <c r="O2109" s="590"/>
      <c r="R2109" s="440"/>
    </row>
    <row r="2110" spans="1:18" s="559" customFormat="1">
      <c r="A2110" s="521" t="s">
        <v>318</v>
      </c>
      <c r="B2110" s="522" t="s">
        <v>1037</v>
      </c>
      <c r="C2110" s="522" t="s">
        <v>329</v>
      </c>
      <c r="D2110" s="521" t="s">
        <v>1038</v>
      </c>
      <c r="E2110" s="522">
        <v>201612</v>
      </c>
      <c r="F2110" s="523">
        <v>-964.24</v>
      </c>
      <c r="G2110" s="521">
        <v>4.5</v>
      </c>
      <c r="H2110" s="524">
        <v>1.3083000000000001E-3</v>
      </c>
      <c r="I2110" s="523">
        <v>-5.68</v>
      </c>
      <c r="J2110" s="448">
        <v>-15.14</v>
      </c>
      <c r="N2110" s="590"/>
      <c r="O2110" s="590"/>
      <c r="R2110" s="440"/>
    </row>
    <row r="2111" spans="1:18" s="559" customFormat="1">
      <c r="A2111" s="521" t="s">
        <v>318</v>
      </c>
      <c r="B2111" s="522" t="s">
        <v>1037</v>
      </c>
      <c r="C2111" s="522" t="s">
        <v>329</v>
      </c>
      <c r="D2111" s="521" t="s">
        <v>1038</v>
      </c>
      <c r="E2111" s="522">
        <v>201612</v>
      </c>
      <c r="F2111" s="523">
        <v>-72.819999999999993</v>
      </c>
      <c r="G2111" s="521">
        <v>4.5</v>
      </c>
      <c r="H2111" s="524">
        <v>1.3083000000000001E-3</v>
      </c>
      <c r="I2111" s="523">
        <v>-0.43</v>
      </c>
      <c r="J2111" s="448">
        <v>-1.1399999999999999</v>
      </c>
      <c r="N2111" s="590"/>
      <c r="O2111" s="590"/>
      <c r="R2111" s="440"/>
    </row>
    <row r="2112" spans="1:18" s="559" customFormat="1">
      <c r="A2112" s="521" t="s">
        <v>318</v>
      </c>
      <c r="B2112" s="522" t="s">
        <v>850</v>
      </c>
      <c r="C2112" s="522" t="s">
        <v>329</v>
      </c>
      <c r="D2112" s="521" t="s">
        <v>851</v>
      </c>
      <c r="E2112" s="522">
        <v>201612</v>
      </c>
      <c r="F2112" s="523">
        <v>29.44</v>
      </c>
      <c r="G2112" s="521">
        <v>4.5</v>
      </c>
      <c r="H2112" s="524">
        <v>1.3083000000000001E-3</v>
      </c>
      <c r="I2112" s="523">
        <v>0.17</v>
      </c>
      <c r="J2112" s="448">
        <v>0.46</v>
      </c>
      <c r="N2112" s="590"/>
      <c r="O2112" s="590"/>
      <c r="R2112" s="440"/>
    </row>
    <row r="2113" spans="1:18" s="559" customFormat="1">
      <c r="A2113" s="521" t="s">
        <v>318</v>
      </c>
      <c r="B2113" s="522" t="s">
        <v>850</v>
      </c>
      <c r="C2113" s="522" t="s">
        <v>329</v>
      </c>
      <c r="D2113" s="521" t="s">
        <v>851</v>
      </c>
      <c r="E2113" s="522">
        <v>201612</v>
      </c>
      <c r="F2113" s="523">
        <v>357.86</v>
      </c>
      <c r="G2113" s="521">
        <v>4.5</v>
      </c>
      <c r="H2113" s="524">
        <v>1.3083000000000001E-3</v>
      </c>
      <c r="I2113" s="523">
        <v>2.11</v>
      </c>
      <c r="J2113" s="448">
        <v>5.62</v>
      </c>
      <c r="N2113" s="590"/>
      <c r="O2113" s="590"/>
      <c r="R2113" s="440"/>
    </row>
    <row r="2114" spans="1:18" s="559" customFormat="1">
      <c r="A2114" s="521" t="s">
        <v>318</v>
      </c>
      <c r="B2114" s="522" t="s">
        <v>1069</v>
      </c>
      <c r="C2114" s="522" t="s">
        <v>330</v>
      </c>
      <c r="D2114" s="521" t="s">
        <v>1105</v>
      </c>
      <c r="E2114" s="522">
        <v>201612</v>
      </c>
      <c r="F2114" s="523">
        <v>398.74</v>
      </c>
      <c r="G2114" s="521">
        <v>4.5</v>
      </c>
      <c r="H2114" s="524">
        <v>1.3083000000000001E-3</v>
      </c>
      <c r="I2114" s="523">
        <v>2.35</v>
      </c>
      <c r="J2114" s="448">
        <v>6.26</v>
      </c>
      <c r="N2114" s="590"/>
      <c r="O2114" s="590"/>
      <c r="R2114" s="440"/>
    </row>
    <row r="2115" spans="1:18" s="559" customFormat="1">
      <c r="A2115" s="521" t="s">
        <v>318</v>
      </c>
      <c r="B2115" s="522" t="s">
        <v>1069</v>
      </c>
      <c r="C2115" s="522" t="s">
        <v>330</v>
      </c>
      <c r="D2115" s="521" t="s">
        <v>1105</v>
      </c>
      <c r="E2115" s="522">
        <v>201612</v>
      </c>
      <c r="F2115" s="523">
        <v>8808.9699999999993</v>
      </c>
      <c r="G2115" s="521">
        <v>4.5</v>
      </c>
      <c r="H2115" s="524">
        <v>1.3083000000000001E-3</v>
      </c>
      <c r="I2115" s="523">
        <v>51.86</v>
      </c>
      <c r="J2115" s="448">
        <v>138.30000000000001</v>
      </c>
      <c r="N2115" s="590"/>
      <c r="O2115" s="590"/>
      <c r="R2115" s="440"/>
    </row>
    <row r="2116" spans="1:18" s="559" customFormat="1">
      <c r="A2116" s="521" t="s">
        <v>318</v>
      </c>
      <c r="B2116" s="522" t="s">
        <v>975</v>
      </c>
      <c r="C2116" s="522" t="s">
        <v>330</v>
      </c>
      <c r="D2116" s="521" t="s">
        <v>976</v>
      </c>
      <c r="E2116" s="522">
        <v>201612</v>
      </c>
      <c r="F2116" s="523">
        <v>-170.62</v>
      </c>
      <c r="G2116" s="521">
        <v>4.5</v>
      </c>
      <c r="H2116" s="524">
        <v>1.3083000000000001E-3</v>
      </c>
      <c r="I2116" s="523">
        <v>-1</v>
      </c>
      <c r="J2116" s="448">
        <v>-2.68</v>
      </c>
      <c r="N2116" s="590"/>
      <c r="O2116" s="590"/>
      <c r="R2116" s="440"/>
    </row>
    <row r="2117" spans="1:18" s="559" customFormat="1">
      <c r="A2117" s="521" t="s">
        <v>318</v>
      </c>
      <c r="B2117" s="522" t="s">
        <v>975</v>
      </c>
      <c r="C2117" s="522" t="s">
        <v>330</v>
      </c>
      <c r="D2117" s="521" t="s">
        <v>976</v>
      </c>
      <c r="E2117" s="522">
        <v>201612</v>
      </c>
      <c r="F2117" s="523">
        <v>-2.4900000000000002</v>
      </c>
      <c r="G2117" s="521">
        <v>4.5</v>
      </c>
      <c r="H2117" s="524">
        <v>1.3083000000000001E-3</v>
      </c>
      <c r="I2117" s="523">
        <v>-0.01</v>
      </c>
      <c r="J2117" s="448">
        <v>-0.04</v>
      </c>
      <c r="N2117" s="590"/>
      <c r="O2117" s="590"/>
      <c r="R2117" s="440"/>
    </row>
    <row r="2118" spans="1:18" s="559" customFormat="1">
      <c r="A2118" s="521" t="s">
        <v>318</v>
      </c>
      <c r="B2118" s="522" t="s">
        <v>852</v>
      </c>
      <c r="C2118" s="522" t="s">
        <v>330</v>
      </c>
      <c r="D2118" s="521" t="s">
        <v>853</v>
      </c>
      <c r="E2118" s="522">
        <v>201612</v>
      </c>
      <c r="F2118" s="523">
        <v>56.08</v>
      </c>
      <c r="G2118" s="521">
        <v>4.5</v>
      </c>
      <c r="H2118" s="524">
        <v>1.3083000000000001E-3</v>
      </c>
      <c r="I2118" s="523">
        <v>0.33</v>
      </c>
      <c r="J2118" s="448">
        <v>0.88</v>
      </c>
      <c r="N2118" s="590"/>
      <c r="O2118" s="590"/>
      <c r="R2118" s="440"/>
    </row>
    <row r="2119" spans="1:18" s="559" customFormat="1">
      <c r="A2119" s="521" t="s">
        <v>318</v>
      </c>
      <c r="B2119" s="522" t="s">
        <v>852</v>
      </c>
      <c r="C2119" s="522" t="s">
        <v>330</v>
      </c>
      <c r="D2119" s="521" t="s">
        <v>853</v>
      </c>
      <c r="E2119" s="522">
        <v>201612</v>
      </c>
      <c r="F2119" s="523">
        <v>655.22</v>
      </c>
      <c r="G2119" s="521">
        <v>4.5</v>
      </c>
      <c r="H2119" s="524">
        <v>1.3083000000000001E-3</v>
      </c>
      <c r="I2119" s="523">
        <v>3.86</v>
      </c>
      <c r="J2119" s="448">
        <v>10.29</v>
      </c>
      <c r="N2119" s="590"/>
      <c r="O2119" s="590"/>
      <c r="R2119" s="440"/>
    </row>
    <row r="2120" spans="1:18" s="559" customFormat="1">
      <c r="A2120" s="521" t="s">
        <v>318</v>
      </c>
      <c r="B2120" s="522" t="s">
        <v>870</v>
      </c>
      <c r="C2120" s="522" t="s">
        <v>330</v>
      </c>
      <c r="D2120" s="521" t="s">
        <v>871</v>
      </c>
      <c r="E2120" s="522">
        <v>201612</v>
      </c>
      <c r="F2120" s="523">
        <v>-518.27</v>
      </c>
      <c r="G2120" s="521">
        <v>4.5</v>
      </c>
      <c r="H2120" s="524">
        <v>1.3083000000000001E-3</v>
      </c>
      <c r="I2120" s="523">
        <v>-3.05</v>
      </c>
      <c r="J2120" s="448">
        <v>-8.14</v>
      </c>
      <c r="N2120" s="590"/>
      <c r="O2120" s="590"/>
      <c r="R2120" s="440"/>
    </row>
    <row r="2121" spans="1:18" s="559" customFormat="1">
      <c r="A2121" s="521" t="s">
        <v>318</v>
      </c>
      <c r="B2121" s="522" t="s">
        <v>870</v>
      </c>
      <c r="C2121" s="522" t="s">
        <v>330</v>
      </c>
      <c r="D2121" s="521" t="s">
        <v>871</v>
      </c>
      <c r="E2121" s="522">
        <v>201612</v>
      </c>
      <c r="F2121" s="523">
        <v>-461.5</v>
      </c>
      <c r="G2121" s="521">
        <v>4.5</v>
      </c>
      <c r="H2121" s="524">
        <v>1.3083000000000001E-3</v>
      </c>
      <c r="I2121" s="523">
        <v>-2.72</v>
      </c>
      <c r="J2121" s="448">
        <v>-7.25</v>
      </c>
      <c r="N2121" s="590"/>
      <c r="O2121" s="590"/>
      <c r="R2121" s="440"/>
    </row>
    <row r="2122" spans="1:18" s="559" customFormat="1">
      <c r="A2122" s="521" t="s">
        <v>318</v>
      </c>
      <c r="B2122" s="522" t="s">
        <v>1039</v>
      </c>
      <c r="C2122" s="522" t="s">
        <v>330</v>
      </c>
      <c r="D2122" s="521" t="s">
        <v>1040</v>
      </c>
      <c r="E2122" s="522">
        <v>201612</v>
      </c>
      <c r="F2122" s="523">
        <v>72.84</v>
      </c>
      <c r="G2122" s="521">
        <v>4.5</v>
      </c>
      <c r="H2122" s="524">
        <v>1.3083000000000001E-3</v>
      </c>
      <c r="I2122" s="523">
        <v>0.43</v>
      </c>
      <c r="J2122" s="448">
        <v>1.1399999999999999</v>
      </c>
      <c r="N2122" s="590"/>
      <c r="O2122" s="590"/>
      <c r="R2122" s="440"/>
    </row>
    <row r="2123" spans="1:18" s="559" customFormat="1">
      <c r="A2123" s="521" t="s">
        <v>318</v>
      </c>
      <c r="B2123" s="522" t="s">
        <v>1039</v>
      </c>
      <c r="C2123" s="522" t="s">
        <v>330</v>
      </c>
      <c r="D2123" s="521" t="s">
        <v>1040</v>
      </c>
      <c r="E2123" s="522">
        <v>201612</v>
      </c>
      <c r="F2123" s="523">
        <v>1478.2</v>
      </c>
      <c r="G2123" s="521">
        <v>4.5</v>
      </c>
      <c r="H2123" s="524">
        <v>1.3083000000000001E-3</v>
      </c>
      <c r="I2123" s="523">
        <v>8.6999999999999993</v>
      </c>
      <c r="J2123" s="448">
        <v>23.21</v>
      </c>
      <c r="N2123" s="590"/>
      <c r="O2123" s="590"/>
      <c r="R2123" s="440"/>
    </row>
    <row r="2124" spans="1:18" s="559" customFormat="1">
      <c r="A2124" s="521" t="s">
        <v>318</v>
      </c>
      <c r="B2124" s="522" t="s">
        <v>872</v>
      </c>
      <c r="C2124" s="522" t="s">
        <v>330</v>
      </c>
      <c r="D2124" s="521" t="s">
        <v>873</v>
      </c>
      <c r="E2124" s="522">
        <v>201612</v>
      </c>
      <c r="F2124" s="523">
        <v>-86.06</v>
      </c>
      <c r="G2124" s="521">
        <v>4.5</v>
      </c>
      <c r="H2124" s="524">
        <v>1.3083000000000001E-3</v>
      </c>
      <c r="I2124" s="523">
        <v>-0.51</v>
      </c>
      <c r="J2124" s="448">
        <v>-1.35</v>
      </c>
      <c r="N2124" s="590"/>
      <c r="O2124" s="590"/>
      <c r="R2124" s="440"/>
    </row>
    <row r="2125" spans="1:18" s="559" customFormat="1">
      <c r="A2125" s="521" t="s">
        <v>318</v>
      </c>
      <c r="B2125" s="522" t="s">
        <v>872</v>
      </c>
      <c r="C2125" s="522" t="s">
        <v>330</v>
      </c>
      <c r="D2125" s="521" t="s">
        <v>873</v>
      </c>
      <c r="E2125" s="522">
        <v>201612</v>
      </c>
      <c r="F2125" s="523">
        <v>-54.65</v>
      </c>
      <c r="G2125" s="521">
        <v>4.5</v>
      </c>
      <c r="H2125" s="524">
        <v>1.3083000000000001E-3</v>
      </c>
      <c r="I2125" s="523">
        <v>-0.32</v>
      </c>
      <c r="J2125" s="448">
        <v>-0.86</v>
      </c>
      <c r="N2125" s="590"/>
      <c r="O2125" s="590"/>
      <c r="R2125" s="440"/>
    </row>
    <row r="2126" spans="1:18" s="559" customFormat="1">
      <c r="A2126" s="521" t="s">
        <v>318</v>
      </c>
      <c r="B2126" s="522" t="s">
        <v>977</v>
      </c>
      <c r="C2126" s="522" t="s">
        <v>330</v>
      </c>
      <c r="D2126" s="521" t="s">
        <v>978</v>
      </c>
      <c r="E2126" s="522">
        <v>201612</v>
      </c>
      <c r="F2126" s="523">
        <v>2.34</v>
      </c>
      <c r="G2126" s="521">
        <v>4.5</v>
      </c>
      <c r="H2126" s="524">
        <v>1.3083000000000001E-3</v>
      </c>
      <c r="I2126" s="523">
        <v>0.01</v>
      </c>
      <c r="J2126" s="448">
        <v>0.04</v>
      </c>
      <c r="N2126" s="590"/>
      <c r="O2126" s="590"/>
      <c r="R2126" s="440"/>
    </row>
    <row r="2127" spans="1:18" s="559" customFormat="1">
      <c r="A2127" s="521" t="s">
        <v>318</v>
      </c>
      <c r="B2127" s="522" t="s">
        <v>977</v>
      </c>
      <c r="C2127" s="522" t="s">
        <v>330</v>
      </c>
      <c r="D2127" s="521" t="s">
        <v>978</v>
      </c>
      <c r="E2127" s="522">
        <v>201612</v>
      </c>
      <c r="F2127" s="523">
        <v>36.9</v>
      </c>
      <c r="G2127" s="521">
        <v>4.5</v>
      </c>
      <c r="H2127" s="524">
        <v>1.3083000000000001E-3</v>
      </c>
      <c r="I2127" s="523">
        <v>0.22</v>
      </c>
      <c r="J2127" s="448">
        <v>0.57999999999999996</v>
      </c>
      <c r="N2127" s="590"/>
      <c r="O2127" s="590"/>
      <c r="R2127" s="440"/>
    </row>
    <row r="2128" spans="1:18" s="559" customFormat="1">
      <c r="A2128" s="521" t="s">
        <v>318</v>
      </c>
      <c r="B2128" s="522" t="s">
        <v>1041</v>
      </c>
      <c r="C2128" s="522" t="s">
        <v>330</v>
      </c>
      <c r="D2128" s="521" t="s">
        <v>1042</v>
      </c>
      <c r="E2128" s="522">
        <v>201612</v>
      </c>
      <c r="F2128" s="523">
        <v>-79.11</v>
      </c>
      <c r="G2128" s="521">
        <v>4.5</v>
      </c>
      <c r="H2128" s="524">
        <v>1.3083000000000001E-3</v>
      </c>
      <c r="I2128" s="523">
        <v>-0.47</v>
      </c>
      <c r="J2128" s="448">
        <v>-1.24</v>
      </c>
      <c r="N2128" s="590"/>
      <c r="O2128" s="590"/>
      <c r="R2128" s="440"/>
    </row>
    <row r="2129" spans="1:18" s="559" customFormat="1">
      <c r="A2129" s="521" t="s">
        <v>318</v>
      </c>
      <c r="B2129" s="522" t="s">
        <v>1041</v>
      </c>
      <c r="C2129" s="522" t="s">
        <v>330</v>
      </c>
      <c r="D2129" s="521" t="s">
        <v>1042</v>
      </c>
      <c r="E2129" s="522">
        <v>201612</v>
      </c>
      <c r="F2129" s="523">
        <v>-5.9</v>
      </c>
      <c r="G2129" s="521">
        <v>4.5</v>
      </c>
      <c r="H2129" s="524">
        <v>1.3083000000000001E-3</v>
      </c>
      <c r="I2129" s="523">
        <v>-0.03</v>
      </c>
      <c r="J2129" s="448">
        <v>-0.09</v>
      </c>
      <c r="N2129" s="590"/>
      <c r="O2129" s="590"/>
      <c r="R2129" s="440"/>
    </row>
    <row r="2130" spans="1:18" s="559" customFormat="1">
      <c r="A2130" s="521" t="s">
        <v>318</v>
      </c>
      <c r="B2130" s="522" t="s">
        <v>979</v>
      </c>
      <c r="C2130" s="522" t="s">
        <v>330</v>
      </c>
      <c r="D2130" s="521" t="s">
        <v>980</v>
      </c>
      <c r="E2130" s="522">
        <v>201612</v>
      </c>
      <c r="F2130" s="523">
        <v>143.44999999999999</v>
      </c>
      <c r="G2130" s="521">
        <v>4.5</v>
      </c>
      <c r="H2130" s="524">
        <v>1.3083000000000001E-3</v>
      </c>
      <c r="I2130" s="523">
        <v>0.84</v>
      </c>
      <c r="J2130" s="448">
        <v>2.25</v>
      </c>
      <c r="N2130" s="590"/>
      <c r="O2130" s="590"/>
      <c r="R2130" s="440"/>
    </row>
    <row r="2131" spans="1:18" s="559" customFormat="1">
      <c r="A2131" s="521" t="s">
        <v>318</v>
      </c>
      <c r="B2131" s="522" t="s">
        <v>979</v>
      </c>
      <c r="C2131" s="522" t="s">
        <v>330</v>
      </c>
      <c r="D2131" s="521" t="s">
        <v>980</v>
      </c>
      <c r="E2131" s="522">
        <v>201612</v>
      </c>
      <c r="F2131" s="523">
        <v>2919.8</v>
      </c>
      <c r="G2131" s="521">
        <v>4.5</v>
      </c>
      <c r="H2131" s="524">
        <v>1.3083000000000001E-3</v>
      </c>
      <c r="I2131" s="523">
        <v>17.190000000000001</v>
      </c>
      <c r="J2131" s="448">
        <v>45.84</v>
      </c>
      <c r="N2131" s="590"/>
      <c r="O2131" s="590"/>
      <c r="R2131" s="440"/>
    </row>
    <row r="2132" spans="1:18" s="559" customFormat="1">
      <c r="A2132" s="521" t="s">
        <v>318</v>
      </c>
      <c r="B2132" s="522" t="s">
        <v>981</v>
      </c>
      <c r="C2132" s="522" t="s">
        <v>330</v>
      </c>
      <c r="D2132" s="521" t="s">
        <v>1014</v>
      </c>
      <c r="E2132" s="522">
        <v>201612</v>
      </c>
      <c r="F2132" s="523">
        <v>10.25</v>
      </c>
      <c r="G2132" s="521">
        <v>4.5</v>
      </c>
      <c r="H2132" s="524">
        <v>1.3083000000000001E-3</v>
      </c>
      <c r="I2132" s="523">
        <v>0.06</v>
      </c>
      <c r="J2132" s="448">
        <v>0.16</v>
      </c>
      <c r="N2132" s="590"/>
      <c r="O2132" s="590"/>
      <c r="R2132" s="440"/>
    </row>
    <row r="2133" spans="1:18" s="559" customFormat="1">
      <c r="A2133" s="521" t="s">
        <v>318</v>
      </c>
      <c r="B2133" s="522" t="s">
        <v>981</v>
      </c>
      <c r="C2133" s="522" t="s">
        <v>330</v>
      </c>
      <c r="D2133" s="521" t="s">
        <v>1014</v>
      </c>
      <c r="E2133" s="522">
        <v>201612</v>
      </c>
      <c r="F2133" s="523">
        <v>56.23</v>
      </c>
      <c r="G2133" s="521">
        <v>4.5</v>
      </c>
      <c r="H2133" s="524">
        <v>1.3083000000000001E-3</v>
      </c>
      <c r="I2133" s="523">
        <v>0.33</v>
      </c>
      <c r="J2133" s="448">
        <v>0.88</v>
      </c>
      <c r="N2133" s="590"/>
      <c r="O2133" s="590"/>
      <c r="R2133" s="440"/>
    </row>
    <row r="2134" spans="1:18" s="559" customFormat="1">
      <c r="A2134" s="521" t="s">
        <v>318</v>
      </c>
      <c r="B2134" s="522" t="s">
        <v>981</v>
      </c>
      <c r="C2134" s="522" t="s">
        <v>330</v>
      </c>
      <c r="D2134" s="521" t="s">
        <v>1014</v>
      </c>
      <c r="E2134" s="522">
        <v>201612</v>
      </c>
      <c r="F2134" s="523">
        <v>1110.28</v>
      </c>
      <c r="G2134" s="521">
        <v>4.5</v>
      </c>
      <c r="H2134" s="524">
        <v>1.3083000000000001E-3</v>
      </c>
      <c r="I2134" s="523">
        <v>6.54</v>
      </c>
      <c r="J2134" s="448">
        <v>17.43</v>
      </c>
      <c r="N2134" s="590"/>
      <c r="O2134" s="590"/>
      <c r="R2134" s="440"/>
    </row>
    <row r="2135" spans="1:18" s="559" customFormat="1">
      <c r="A2135" s="521" t="s">
        <v>318</v>
      </c>
      <c r="B2135" s="522" t="s">
        <v>874</v>
      </c>
      <c r="C2135" s="522" t="s">
        <v>330</v>
      </c>
      <c r="D2135" s="521" t="s">
        <v>875</v>
      </c>
      <c r="E2135" s="522">
        <v>201612</v>
      </c>
      <c r="F2135" s="523">
        <v>0.5</v>
      </c>
      <c r="G2135" s="521">
        <v>4.5</v>
      </c>
      <c r="H2135" s="524">
        <v>1.3083000000000001E-3</v>
      </c>
      <c r="I2135" s="523">
        <v>0</v>
      </c>
      <c r="J2135" s="448">
        <v>0.01</v>
      </c>
      <c r="N2135" s="590"/>
      <c r="O2135" s="590"/>
      <c r="R2135" s="440"/>
    </row>
    <row r="2136" spans="1:18" s="559" customFormat="1">
      <c r="A2136" s="521" t="s">
        <v>318</v>
      </c>
      <c r="B2136" s="522" t="s">
        <v>874</v>
      </c>
      <c r="C2136" s="522" t="s">
        <v>330</v>
      </c>
      <c r="D2136" s="521" t="s">
        <v>875</v>
      </c>
      <c r="E2136" s="522">
        <v>201612</v>
      </c>
      <c r="F2136" s="523">
        <v>69.569999999999993</v>
      </c>
      <c r="G2136" s="521">
        <v>4.5</v>
      </c>
      <c r="H2136" s="524">
        <v>1.3083000000000001E-3</v>
      </c>
      <c r="I2136" s="523">
        <v>0.41</v>
      </c>
      <c r="J2136" s="448">
        <v>1.0900000000000001</v>
      </c>
      <c r="N2136" s="590"/>
      <c r="O2136" s="590"/>
      <c r="R2136" s="440"/>
    </row>
    <row r="2137" spans="1:18" s="559" customFormat="1">
      <c r="A2137" s="521" t="s">
        <v>318</v>
      </c>
      <c r="B2137" s="522" t="s">
        <v>983</v>
      </c>
      <c r="C2137" s="522" t="s">
        <v>330</v>
      </c>
      <c r="D2137" s="521" t="s">
        <v>984</v>
      </c>
      <c r="E2137" s="522">
        <v>201612</v>
      </c>
      <c r="F2137" s="523">
        <v>3.39</v>
      </c>
      <c r="G2137" s="521">
        <v>4.5</v>
      </c>
      <c r="H2137" s="524">
        <v>1.3083000000000001E-3</v>
      </c>
      <c r="I2137" s="523">
        <v>0.02</v>
      </c>
      <c r="J2137" s="448">
        <v>0.05</v>
      </c>
      <c r="N2137" s="590"/>
      <c r="O2137" s="590"/>
      <c r="R2137" s="440"/>
    </row>
    <row r="2138" spans="1:18" s="559" customFormat="1">
      <c r="A2138" s="521" t="s">
        <v>318</v>
      </c>
      <c r="B2138" s="522" t="s">
        <v>983</v>
      </c>
      <c r="C2138" s="522" t="s">
        <v>330</v>
      </c>
      <c r="D2138" s="521" t="s">
        <v>984</v>
      </c>
      <c r="E2138" s="522">
        <v>201612</v>
      </c>
      <c r="F2138" s="523">
        <v>94.56</v>
      </c>
      <c r="G2138" s="521">
        <v>4.5</v>
      </c>
      <c r="H2138" s="524">
        <v>1.3083000000000001E-3</v>
      </c>
      <c r="I2138" s="523">
        <v>0.56000000000000005</v>
      </c>
      <c r="J2138" s="448">
        <v>1.48</v>
      </c>
      <c r="N2138" s="590"/>
      <c r="O2138" s="590"/>
      <c r="R2138" s="440"/>
    </row>
    <row r="2139" spans="1:18" s="559" customFormat="1">
      <c r="A2139" s="521" t="s">
        <v>318</v>
      </c>
      <c r="B2139" s="522" t="s">
        <v>1043</v>
      </c>
      <c r="C2139" s="522" t="s">
        <v>330</v>
      </c>
      <c r="D2139" s="521" t="s">
        <v>1044</v>
      </c>
      <c r="E2139" s="522">
        <v>201612</v>
      </c>
      <c r="F2139" s="523">
        <v>-7.4</v>
      </c>
      <c r="G2139" s="521">
        <v>4.5</v>
      </c>
      <c r="H2139" s="524">
        <v>1.3083000000000001E-3</v>
      </c>
      <c r="I2139" s="523">
        <v>-0.04</v>
      </c>
      <c r="J2139" s="448">
        <v>-0.12</v>
      </c>
      <c r="N2139" s="590"/>
      <c r="O2139" s="590"/>
      <c r="R2139" s="440"/>
    </row>
    <row r="2140" spans="1:18" s="559" customFormat="1">
      <c r="A2140" s="521" t="s">
        <v>318</v>
      </c>
      <c r="B2140" s="522" t="s">
        <v>1043</v>
      </c>
      <c r="C2140" s="522" t="s">
        <v>330</v>
      </c>
      <c r="D2140" s="521" t="s">
        <v>1044</v>
      </c>
      <c r="E2140" s="522">
        <v>201612</v>
      </c>
      <c r="F2140" s="523">
        <v>-0.41</v>
      </c>
      <c r="G2140" s="521">
        <v>4.5</v>
      </c>
      <c r="H2140" s="524">
        <v>1.3083000000000001E-3</v>
      </c>
      <c r="I2140" s="523">
        <v>0</v>
      </c>
      <c r="J2140" s="448">
        <v>-0.01</v>
      </c>
      <c r="N2140" s="590"/>
      <c r="O2140" s="590"/>
      <c r="R2140" s="440"/>
    </row>
    <row r="2141" spans="1:18" s="559" customFormat="1">
      <c r="A2141" s="521" t="s">
        <v>318</v>
      </c>
      <c r="B2141" s="522" t="s">
        <v>876</v>
      </c>
      <c r="C2141" s="522" t="s">
        <v>330</v>
      </c>
      <c r="D2141" s="521" t="s">
        <v>877</v>
      </c>
      <c r="E2141" s="522">
        <v>201612</v>
      </c>
      <c r="F2141" s="523">
        <v>-23.65</v>
      </c>
      <c r="G2141" s="521">
        <v>4.5</v>
      </c>
      <c r="H2141" s="524">
        <v>1.3083000000000001E-3</v>
      </c>
      <c r="I2141" s="523">
        <v>-0.14000000000000001</v>
      </c>
      <c r="J2141" s="448">
        <v>-0.37</v>
      </c>
      <c r="N2141" s="590"/>
      <c r="O2141" s="590"/>
      <c r="R2141" s="440"/>
    </row>
    <row r="2142" spans="1:18" s="559" customFormat="1">
      <c r="A2142" s="521" t="s">
        <v>318</v>
      </c>
      <c r="B2142" s="522" t="s">
        <v>876</v>
      </c>
      <c r="C2142" s="522" t="s">
        <v>330</v>
      </c>
      <c r="D2142" s="521" t="s">
        <v>877</v>
      </c>
      <c r="E2142" s="522">
        <v>201612</v>
      </c>
      <c r="F2142" s="523">
        <v>-1.33</v>
      </c>
      <c r="G2142" s="521">
        <v>4.5</v>
      </c>
      <c r="H2142" s="524">
        <v>1.3083000000000001E-3</v>
      </c>
      <c r="I2142" s="523">
        <v>-0.01</v>
      </c>
      <c r="J2142" s="448">
        <v>-0.02</v>
      </c>
      <c r="N2142" s="590"/>
      <c r="O2142" s="590"/>
      <c r="R2142" s="440"/>
    </row>
    <row r="2143" spans="1:18" s="559" customFormat="1">
      <c r="A2143" s="521" t="s">
        <v>318</v>
      </c>
      <c r="B2143" s="522" t="s">
        <v>1045</v>
      </c>
      <c r="C2143" s="522" t="s">
        <v>330</v>
      </c>
      <c r="D2143" s="521" t="s">
        <v>1046</v>
      </c>
      <c r="E2143" s="522">
        <v>201612</v>
      </c>
      <c r="F2143" s="523">
        <v>-89.32</v>
      </c>
      <c r="G2143" s="521">
        <v>4.5</v>
      </c>
      <c r="H2143" s="524">
        <v>1.3083000000000001E-3</v>
      </c>
      <c r="I2143" s="523">
        <v>-0.53</v>
      </c>
      <c r="J2143" s="448">
        <v>-1.4</v>
      </c>
      <c r="N2143" s="590"/>
      <c r="O2143" s="590"/>
      <c r="R2143" s="440"/>
    </row>
    <row r="2144" spans="1:18" s="559" customFormat="1">
      <c r="A2144" s="521" t="s">
        <v>318</v>
      </c>
      <c r="B2144" s="522" t="s">
        <v>1045</v>
      </c>
      <c r="C2144" s="522" t="s">
        <v>330</v>
      </c>
      <c r="D2144" s="521" t="s">
        <v>1046</v>
      </c>
      <c r="E2144" s="522">
        <v>201612</v>
      </c>
      <c r="F2144" s="523">
        <v>-5</v>
      </c>
      <c r="G2144" s="521">
        <v>4.5</v>
      </c>
      <c r="H2144" s="524">
        <v>1.3083000000000001E-3</v>
      </c>
      <c r="I2144" s="523">
        <v>-0.03</v>
      </c>
      <c r="J2144" s="448">
        <v>-0.08</v>
      </c>
      <c r="N2144" s="590"/>
      <c r="O2144" s="590"/>
      <c r="R2144" s="440"/>
    </row>
    <row r="2145" spans="1:18" s="559" customFormat="1">
      <c r="A2145" s="521" t="s">
        <v>318</v>
      </c>
      <c r="B2145" s="522" t="s">
        <v>985</v>
      </c>
      <c r="C2145" s="522" t="s">
        <v>330</v>
      </c>
      <c r="D2145" s="521" t="s">
        <v>986</v>
      </c>
      <c r="E2145" s="522">
        <v>201612</v>
      </c>
      <c r="F2145" s="523">
        <v>33.700000000000003</v>
      </c>
      <c r="G2145" s="521">
        <v>4.5</v>
      </c>
      <c r="H2145" s="524">
        <v>1.3083000000000001E-3</v>
      </c>
      <c r="I2145" s="523">
        <v>0.2</v>
      </c>
      <c r="J2145" s="448">
        <v>0.53</v>
      </c>
      <c r="N2145" s="590"/>
      <c r="O2145" s="590"/>
      <c r="R2145" s="440"/>
    </row>
    <row r="2146" spans="1:18" s="559" customFormat="1">
      <c r="A2146" s="521" t="s">
        <v>318</v>
      </c>
      <c r="B2146" s="522" t="s">
        <v>985</v>
      </c>
      <c r="C2146" s="522" t="s">
        <v>330</v>
      </c>
      <c r="D2146" s="521" t="s">
        <v>986</v>
      </c>
      <c r="E2146" s="522">
        <v>201612</v>
      </c>
      <c r="F2146" s="523">
        <v>1053.18</v>
      </c>
      <c r="G2146" s="521">
        <v>4.5</v>
      </c>
      <c r="H2146" s="524">
        <v>1.3083000000000001E-3</v>
      </c>
      <c r="I2146" s="523">
        <v>6.2</v>
      </c>
      <c r="J2146" s="448">
        <v>16.53</v>
      </c>
      <c r="N2146" s="590"/>
      <c r="O2146" s="590"/>
      <c r="R2146" s="440"/>
    </row>
    <row r="2147" spans="1:18" s="559" customFormat="1">
      <c r="A2147" s="521" t="s">
        <v>318</v>
      </c>
      <c r="B2147" s="522" t="s">
        <v>878</v>
      </c>
      <c r="C2147" s="522" t="s">
        <v>330</v>
      </c>
      <c r="D2147" s="521" t="s">
        <v>879</v>
      </c>
      <c r="E2147" s="522">
        <v>201612</v>
      </c>
      <c r="F2147" s="523">
        <v>-807.02</v>
      </c>
      <c r="G2147" s="521">
        <v>4.5</v>
      </c>
      <c r="H2147" s="524">
        <v>1.3083000000000001E-3</v>
      </c>
      <c r="I2147" s="523">
        <v>-4.75</v>
      </c>
      <c r="J2147" s="448">
        <v>-12.67</v>
      </c>
      <c r="N2147" s="590"/>
      <c r="O2147" s="590"/>
      <c r="R2147" s="440"/>
    </row>
    <row r="2148" spans="1:18" s="559" customFormat="1">
      <c r="A2148" s="521" t="s">
        <v>318</v>
      </c>
      <c r="B2148" s="522" t="s">
        <v>878</v>
      </c>
      <c r="C2148" s="522" t="s">
        <v>330</v>
      </c>
      <c r="D2148" s="521" t="s">
        <v>879</v>
      </c>
      <c r="E2148" s="522">
        <v>201612</v>
      </c>
      <c r="F2148" s="523">
        <v>-39.880000000000003</v>
      </c>
      <c r="G2148" s="521">
        <v>4.5</v>
      </c>
      <c r="H2148" s="524">
        <v>1.3083000000000001E-3</v>
      </c>
      <c r="I2148" s="523">
        <v>-0.23</v>
      </c>
      <c r="J2148" s="448">
        <v>-0.63</v>
      </c>
      <c r="N2148" s="590"/>
      <c r="O2148" s="590"/>
      <c r="R2148" s="440"/>
    </row>
    <row r="2149" spans="1:18" s="559" customFormat="1">
      <c r="A2149" s="521" t="s">
        <v>318</v>
      </c>
      <c r="B2149" s="522" t="s">
        <v>987</v>
      </c>
      <c r="C2149" s="522" t="s">
        <v>330</v>
      </c>
      <c r="D2149" s="521" t="s">
        <v>988</v>
      </c>
      <c r="E2149" s="522">
        <v>201612</v>
      </c>
      <c r="F2149" s="523">
        <v>-1.38</v>
      </c>
      <c r="G2149" s="521">
        <v>4.5</v>
      </c>
      <c r="H2149" s="524">
        <v>1.3083000000000001E-3</v>
      </c>
      <c r="I2149" s="523">
        <v>-0.01</v>
      </c>
      <c r="J2149" s="448">
        <v>-0.02</v>
      </c>
      <c r="N2149" s="590"/>
      <c r="O2149" s="590"/>
      <c r="R2149" s="440"/>
    </row>
    <row r="2150" spans="1:18" s="559" customFormat="1">
      <c r="A2150" s="521" t="s">
        <v>318</v>
      </c>
      <c r="B2150" s="522" t="s">
        <v>987</v>
      </c>
      <c r="C2150" s="522" t="s">
        <v>330</v>
      </c>
      <c r="D2150" s="521" t="s">
        <v>988</v>
      </c>
      <c r="E2150" s="522">
        <v>201612</v>
      </c>
      <c r="F2150" s="523">
        <v>-0.06</v>
      </c>
      <c r="G2150" s="521">
        <v>4.5</v>
      </c>
      <c r="H2150" s="524">
        <v>1.3083000000000001E-3</v>
      </c>
      <c r="I2150" s="523">
        <v>0</v>
      </c>
      <c r="J2150" s="448">
        <v>0</v>
      </c>
      <c r="N2150" s="590"/>
      <c r="O2150" s="590"/>
      <c r="R2150" s="440"/>
    </row>
    <row r="2151" spans="1:18" s="559" customFormat="1">
      <c r="A2151" s="521" t="s">
        <v>318</v>
      </c>
      <c r="B2151" s="522" t="s">
        <v>989</v>
      </c>
      <c r="C2151" s="522" t="s">
        <v>330</v>
      </c>
      <c r="D2151" s="521" t="s">
        <v>990</v>
      </c>
      <c r="E2151" s="522">
        <v>201612</v>
      </c>
      <c r="F2151" s="523">
        <v>-30.34</v>
      </c>
      <c r="G2151" s="521">
        <v>4.5</v>
      </c>
      <c r="H2151" s="524">
        <v>1.3083000000000001E-3</v>
      </c>
      <c r="I2151" s="523">
        <v>-0.18</v>
      </c>
      <c r="J2151" s="448">
        <v>-0.48</v>
      </c>
      <c r="N2151" s="590"/>
      <c r="O2151" s="590"/>
      <c r="R2151" s="440"/>
    </row>
    <row r="2152" spans="1:18" s="559" customFormat="1">
      <c r="A2152" s="521" t="s">
        <v>318</v>
      </c>
      <c r="B2152" s="522" t="s">
        <v>989</v>
      </c>
      <c r="C2152" s="522" t="s">
        <v>330</v>
      </c>
      <c r="D2152" s="521" t="s">
        <v>990</v>
      </c>
      <c r="E2152" s="522">
        <v>201612</v>
      </c>
      <c r="F2152" s="523">
        <v>-1.26</v>
      </c>
      <c r="G2152" s="521">
        <v>4.5</v>
      </c>
      <c r="H2152" s="524">
        <v>1.3083000000000001E-3</v>
      </c>
      <c r="I2152" s="523">
        <v>-0.01</v>
      </c>
      <c r="J2152" s="448">
        <v>-0.02</v>
      </c>
      <c r="N2152" s="590"/>
      <c r="O2152" s="590"/>
      <c r="R2152" s="440"/>
    </row>
    <row r="2153" spans="1:18" s="559" customFormat="1">
      <c r="A2153" s="521" t="s">
        <v>318</v>
      </c>
      <c r="B2153" s="522" t="s">
        <v>991</v>
      </c>
      <c r="C2153" s="522" t="s">
        <v>330</v>
      </c>
      <c r="D2153" s="521" t="s">
        <v>992</v>
      </c>
      <c r="E2153" s="522">
        <v>201612</v>
      </c>
      <c r="F2153" s="523">
        <v>27.76</v>
      </c>
      <c r="G2153" s="521">
        <v>4.5</v>
      </c>
      <c r="H2153" s="524">
        <v>1.3083000000000001E-3</v>
      </c>
      <c r="I2153" s="523">
        <v>0.16</v>
      </c>
      <c r="J2153" s="448">
        <v>0.44</v>
      </c>
      <c r="N2153" s="590"/>
      <c r="O2153" s="590"/>
      <c r="R2153" s="440"/>
    </row>
    <row r="2154" spans="1:18" s="559" customFormat="1">
      <c r="A2154" s="521" t="s">
        <v>318</v>
      </c>
      <c r="B2154" s="522" t="s">
        <v>991</v>
      </c>
      <c r="C2154" s="522" t="s">
        <v>330</v>
      </c>
      <c r="D2154" s="521" t="s">
        <v>992</v>
      </c>
      <c r="E2154" s="522">
        <v>201612</v>
      </c>
      <c r="F2154" s="523">
        <v>100.01</v>
      </c>
      <c r="G2154" s="521">
        <v>4.5</v>
      </c>
      <c r="H2154" s="524">
        <v>1.3083000000000001E-3</v>
      </c>
      <c r="I2154" s="523">
        <v>0.59</v>
      </c>
      <c r="J2154" s="448">
        <v>1.57</v>
      </c>
      <c r="N2154" s="590"/>
      <c r="O2154" s="590"/>
      <c r="R2154" s="440"/>
    </row>
    <row r="2155" spans="1:18" s="559" customFormat="1">
      <c r="A2155" s="521" t="s">
        <v>318</v>
      </c>
      <c r="B2155" s="522" t="s">
        <v>880</v>
      </c>
      <c r="C2155" s="522" t="s">
        <v>330</v>
      </c>
      <c r="D2155" s="521" t="s">
        <v>881</v>
      </c>
      <c r="E2155" s="522">
        <v>201612</v>
      </c>
      <c r="F2155" s="523">
        <v>68.09</v>
      </c>
      <c r="G2155" s="521">
        <v>4.5</v>
      </c>
      <c r="H2155" s="524">
        <v>1.3083000000000001E-3</v>
      </c>
      <c r="I2155" s="523">
        <v>0.4</v>
      </c>
      <c r="J2155" s="448">
        <v>1.07</v>
      </c>
      <c r="N2155" s="590"/>
      <c r="O2155" s="590"/>
      <c r="R2155" s="440"/>
    </row>
    <row r="2156" spans="1:18" s="559" customFormat="1">
      <c r="A2156" s="521" t="s">
        <v>318</v>
      </c>
      <c r="B2156" s="522" t="s">
        <v>880</v>
      </c>
      <c r="C2156" s="522" t="s">
        <v>330</v>
      </c>
      <c r="D2156" s="521" t="s">
        <v>881</v>
      </c>
      <c r="E2156" s="522">
        <v>201612</v>
      </c>
      <c r="F2156" s="523">
        <v>382.06</v>
      </c>
      <c r="G2156" s="521">
        <v>4.5</v>
      </c>
      <c r="H2156" s="524">
        <v>1.3083000000000001E-3</v>
      </c>
      <c r="I2156" s="523">
        <v>2.25</v>
      </c>
      <c r="J2156" s="448">
        <v>6</v>
      </c>
      <c r="N2156" s="590"/>
      <c r="O2156" s="590"/>
      <c r="R2156" s="440"/>
    </row>
    <row r="2157" spans="1:18" s="559" customFormat="1">
      <c r="A2157" s="521" t="s">
        <v>318</v>
      </c>
      <c r="B2157" s="522" t="s">
        <v>993</v>
      </c>
      <c r="C2157" s="522" t="s">
        <v>330</v>
      </c>
      <c r="D2157" s="521" t="s">
        <v>994</v>
      </c>
      <c r="E2157" s="522">
        <v>201612</v>
      </c>
      <c r="F2157" s="523">
        <v>3.35</v>
      </c>
      <c r="G2157" s="521">
        <v>4.5</v>
      </c>
      <c r="H2157" s="524">
        <v>1.3083000000000001E-3</v>
      </c>
      <c r="I2157" s="523">
        <v>0.02</v>
      </c>
      <c r="J2157" s="448">
        <v>0.05</v>
      </c>
      <c r="N2157" s="590"/>
      <c r="O2157" s="590"/>
      <c r="R2157" s="440"/>
    </row>
    <row r="2158" spans="1:18" s="559" customFormat="1">
      <c r="A2158" s="521" t="s">
        <v>318</v>
      </c>
      <c r="B2158" s="522" t="s">
        <v>993</v>
      </c>
      <c r="C2158" s="522" t="s">
        <v>330</v>
      </c>
      <c r="D2158" s="521" t="s">
        <v>994</v>
      </c>
      <c r="E2158" s="522">
        <v>201612</v>
      </c>
      <c r="F2158" s="523">
        <v>66.52</v>
      </c>
      <c r="G2158" s="521">
        <v>4.5</v>
      </c>
      <c r="H2158" s="524">
        <v>1.3083000000000001E-3</v>
      </c>
      <c r="I2158" s="523">
        <v>0.39</v>
      </c>
      <c r="J2158" s="448">
        <v>1.04</v>
      </c>
      <c r="N2158" s="590"/>
      <c r="O2158" s="590"/>
      <c r="R2158" s="440"/>
    </row>
    <row r="2159" spans="1:18" s="559" customFormat="1">
      <c r="A2159" s="521" t="s">
        <v>318</v>
      </c>
      <c r="B2159" s="522" t="s">
        <v>882</v>
      </c>
      <c r="C2159" s="522" t="s">
        <v>330</v>
      </c>
      <c r="D2159" s="521" t="s">
        <v>995</v>
      </c>
      <c r="E2159" s="522">
        <v>201612</v>
      </c>
      <c r="F2159" s="523">
        <v>-93976.95</v>
      </c>
      <c r="G2159" s="521">
        <v>4.5</v>
      </c>
      <c r="H2159" s="524">
        <v>1.3083000000000001E-3</v>
      </c>
      <c r="I2159" s="523">
        <v>-553.28</v>
      </c>
      <c r="J2159" s="448">
        <v>-1475.4</v>
      </c>
      <c r="N2159" s="590"/>
      <c r="O2159" s="590"/>
      <c r="R2159" s="440"/>
    </row>
    <row r="2160" spans="1:18" s="559" customFormat="1">
      <c r="A2160" s="521" t="s">
        <v>318</v>
      </c>
      <c r="B2160" s="522" t="s">
        <v>882</v>
      </c>
      <c r="C2160" s="522" t="s">
        <v>330</v>
      </c>
      <c r="D2160" s="521" t="s">
        <v>995</v>
      </c>
      <c r="E2160" s="522">
        <v>201612</v>
      </c>
      <c r="F2160" s="523">
        <v>251.37</v>
      </c>
      <c r="G2160" s="521">
        <v>4.5</v>
      </c>
      <c r="H2160" s="524">
        <v>1.3083000000000001E-3</v>
      </c>
      <c r="I2160" s="523">
        <v>1.48</v>
      </c>
      <c r="J2160" s="448">
        <v>3.95</v>
      </c>
      <c r="N2160" s="590"/>
      <c r="O2160" s="590"/>
      <c r="R2160" s="440"/>
    </row>
    <row r="2161" spans="1:18" s="559" customFormat="1">
      <c r="A2161" s="521" t="s">
        <v>318</v>
      </c>
      <c r="B2161" s="522" t="s">
        <v>882</v>
      </c>
      <c r="C2161" s="522" t="s">
        <v>330</v>
      </c>
      <c r="D2161" s="521" t="s">
        <v>995</v>
      </c>
      <c r="E2161" s="522">
        <v>201612</v>
      </c>
      <c r="F2161" s="523">
        <v>93118.65</v>
      </c>
      <c r="G2161" s="521">
        <v>4.5</v>
      </c>
      <c r="H2161" s="524">
        <v>1.3083000000000001E-3</v>
      </c>
      <c r="I2161" s="523">
        <v>548.22</v>
      </c>
      <c r="J2161" s="448">
        <v>1461.93</v>
      </c>
      <c r="N2161" s="590"/>
      <c r="O2161" s="590"/>
      <c r="R2161" s="440"/>
    </row>
    <row r="2162" spans="1:18" s="559" customFormat="1">
      <c r="A2162" s="521" t="s">
        <v>318</v>
      </c>
      <c r="B2162" s="522" t="s">
        <v>996</v>
      </c>
      <c r="C2162" s="522" t="s">
        <v>330</v>
      </c>
      <c r="D2162" s="521" t="s">
        <v>997</v>
      </c>
      <c r="E2162" s="522">
        <v>201612</v>
      </c>
      <c r="F2162" s="523">
        <v>84.84</v>
      </c>
      <c r="G2162" s="521">
        <v>4.5</v>
      </c>
      <c r="H2162" s="524">
        <v>1.3083000000000001E-3</v>
      </c>
      <c r="I2162" s="523">
        <v>0.5</v>
      </c>
      <c r="J2162" s="448">
        <v>1.33</v>
      </c>
      <c r="N2162" s="590"/>
      <c r="O2162" s="590"/>
      <c r="R2162" s="440"/>
    </row>
    <row r="2163" spans="1:18" s="559" customFormat="1">
      <c r="A2163" s="521" t="s">
        <v>318</v>
      </c>
      <c r="B2163" s="522" t="s">
        <v>996</v>
      </c>
      <c r="C2163" s="522" t="s">
        <v>330</v>
      </c>
      <c r="D2163" s="521" t="s">
        <v>997</v>
      </c>
      <c r="E2163" s="522">
        <v>201612</v>
      </c>
      <c r="F2163" s="523">
        <v>2350.87</v>
      </c>
      <c r="G2163" s="521">
        <v>4.5</v>
      </c>
      <c r="H2163" s="524">
        <v>1.3083000000000001E-3</v>
      </c>
      <c r="I2163" s="523">
        <v>13.84</v>
      </c>
      <c r="J2163" s="448">
        <v>36.909999999999997</v>
      </c>
      <c r="N2163" s="590"/>
      <c r="O2163" s="590"/>
      <c r="R2163" s="440"/>
    </row>
    <row r="2164" spans="1:18" s="559" customFormat="1">
      <c r="A2164" s="521" t="s">
        <v>318</v>
      </c>
      <c r="B2164" s="522" t="s">
        <v>854</v>
      </c>
      <c r="C2164" s="522" t="s">
        <v>330</v>
      </c>
      <c r="D2164" s="521" t="s">
        <v>855</v>
      </c>
      <c r="E2164" s="522">
        <v>201612</v>
      </c>
      <c r="F2164" s="523">
        <v>-312706.87</v>
      </c>
      <c r="G2164" s="521">
        <v>4.5</v>
      </c>
      <c r="H2164" s="524">
        <v>1.3083000000000001E-3</v>
      </c>
      <c r="I2164" s="523">
        <v>-1841.01</v>
      </c>
      <c r="J2164" s="448">
        <v>-4909.37</v>
      </c>
      <c r="N2164" s="590"/>
      <c r="O2164" s="590"/>
      <c r="R2164" s="440"/>
    </row>
    <row r="2165" spans="1:18" s="559" customFormat="1">
      <c r="A2165" s="521" t="s">
        <v>318</v>
      </c>
      <c r="B2165" s="522" t="s">
        <v>854</v>
      </c>
      <c r="C2165" s="522" t="s">
        <v>330</v>
      </c>
      <c r="D2165" s="521" t="s">
        <v>855</v>
      </c>
      <c r="E2165" s="522">
        <v>201612</v>
      </c>
      <c r="F2165" s="523">
        <v>-10722.62</v>
      </c>
      <c r="G2165" s="521">
        <v>4.5</v>
      </c>
      <c r="H2165" s="524">
        <v>1.3083000000000001E-3</v>
      </c>
      <c r="I2165" s="523">
        <v>-63.13</v>
      </c>
      <c r="J2165" s="448">
        <v>-168.34</v>
      </c>
      <c r="N2165" s="590"/>
      <c r="O2165" s="590"/>
      <c r="R2165" s="440"/>
    </row>
    <row r="2166" spans="1:18" s="559" customFormat="1">
      <c r="A2166" s="521" t="s">
        <v>318</v>
      </c>
      <c r="B2166" s="522" t="s">
        <v>854</v>
      </c>
      <c r="C2166" s="522" t="s">
        <v>330</v>
      </c>
      <c r="D2166" s="521" t="s">
        <v>855</v>
      </c>
      <c r="E2166" s="522">
        <v>201612</v>
      </c>
      <c r="F2166" s="523">
        <v>31369.9</v>
      </c>
      <c r="G2166" s="521">
        <v>4.5</v>
      </c>
      <c r="H2166" s="524">
        <v>1.3083000000000001E-3</v>
      </c>
      <c r="I2166" s="523">
        <v>184.69</v>
      </c>
      <c r="J2166" s="448">
        <v>492.49</v>
      </c>
      <c r="N2166" s="590"/>
      <c r="O2166" s="590"/>
      <c r="R2166" s="440"/>
    </row>
    <row r="2167" spans="1:18" s="559" customFormat="1">
      <c r="A2167" s="521" t="s">
        <v>318</v>
      </c>
      <c r="B2167" s="522" t="s">
        <v>854</v>
      </c>
      <c r="C2167" s="522" t="s">
        <v>330</v>
      </c>
      <c r="D2167" s="521" t="s">
        <v>855</v>
      </c>
      <c r="E2167" s="522">
        <v>201612</v>
      </c>
      <c r="F2167" s="523">
        <v>364946.65</v>
      </c>
      <c r="G2167" s="521">
        <v>4.5</v>
      </c>
      <c r="H2167" s="524">
        <v>1.3083000000000001E-3</v>
      </c>
      <c r="I2167" s="523">
        <v>2148.5700000000002</v>
      </c>
      <c r="J2167" s="448">
        <v>5729.52</v>
      </c>
      <c r="N2167" s="590"/>
      <c r="O2167" s="590"/>
      <c r="R2167" s="440"/>
    </row>
    <row r="2168" spans="1:18" s="559" customFormat="1">
      <c r="A2168" s="521" t="s">
        <v>318</v>
      </c>
      <c r="B2168" s="522" t="s">
        <v>1110</v>
      </c>
      <c r="C2168" s="522" t="s">
        <v>330</v>
      </c>
      <c r="D2168" s="521" t="s">
        <v>1111</v>
      </c>
      <c r="E2168" s="522">
        <v>201612</v>
      </c>
      <c r="F2168" s="523">
        <v>10846.25</v>
      </c>
      <c r="G2168" s="521">
        <v>4.5</v>
      </c>
      <c r="H2168" s="524">
        <v>1.3083000000000001E-3</v>
      </c>
      <c r="I2168" s="523">
        <v>63.86</v>
      </c>
      <c r="J2168" s="448">
        <v>170.28</v>
      </c>
      <c r="N2168" s="590"/>
      <c r="O2168" s="590"/>
      <c r="R2168" s="440"/>
    </row>
    <row r="2169" spans="1:18" s="559" customFormat="1">
      <c r="A2169" s="521" t="s">
        <v>318</v>
      </c>
      <c r="B2169" s="522" t="s">
        <v>1110</v>
      </c>
      <c r="C2169" s="522" t="s">
        <v>330</v>
      </c>
      <c r="D2169" s="521" t="s">
        <v>1111</v>
      </c>
      <c r="E2169" s="522">
        <v>201612</v>
      </c>
      <c r="F2169" s="523">
        <v>173981.31</v>
      </c>
      <c r="G2169" s="521">
        <v>4.5</v>
      </c>
      <c r="H2169" s="524">
        <v>1.3083000000000001E-3</v>
      </c>
      <c r="I2169" s="523">
        <v>1024.29</v>
      </c>
      <c r="J2169" s="448">
        <v>2731.44</v>
      </c>
      <c r="N2169" s="590"/>
      <c r="O2169" s="590"/>
      <c r="R2169" s="440"/>
    </row>
    <row r="2170" spans="1:18" s="559" customFormat="1">
      <c r="A2170" s="521" t="s">
        <v>318</v>
      </c>
      <c r="B2170" s="522" t="s">
        <v>1047</v>
      </c>
      <c r="C2170" s="522" t="s">
        <v>329</v>
      </c>
      <c r="D2170" s="521" t="s">
        <v>1048</v>
      </c>
      <c r="E2170" s="522">
        <v>201612</v>
      </c>
      <c r="F2170" s="523">
        <v>295.55</v>
      </c>
      <c r="G2170" s="521">
        <v>4.5</v>
      </c>
      <c r="H2170" s="524">
        <v>1.3083000000000001E-3</v>
      </c>
      <c r="I2170" s="523">
        <v>1.74</v>
      </c>
      <c r="J2170" s="448">
        <v>4.6399999999999997</v>
      </c>
      <c r="N2170" s="590"/>
      <c r="O2170" s="590"/>
      <c r="R2170" s="440"/>
    </row>
    <row r="2171" spans="1:18" s="559" customFormat="1">
      <c r="A2171" s="521" t="s">
        <v>318</v>
      </c>
      <c r="B2171" s="522" t="s">
        <v>1047</v>
      </c>
      <c r="C2171" s="522" t="s">
        <v>329</v>
      </c>
      <c r="D2171" s="521" t="s">
        <v>1048</v>
      </c>
      <c r="E2171" s="522">
        <v>201612</v>
      </c>
      <c r="F2171" s="523">
        <v>935.58</v>
      </c>
      <c r="G2171" s="521">
        <v>4.5</v>
      </c>
      <c r="H2171" s="524">
        <v>1.3083000000000001E-3</v>
      </c>
      <c r="I2171" s="523">
        <v>5.51</v>
      </c>
      <c r="J2171" s="448">
        <v>14.69</v>
      </c>
      <c r="N2171" s="590"/>
      <c r="O2171" s="590"/>
      <c r="R2171" s="440"/>
    </row>
    <row r="2172" spans="1:18" s="559" customFormat="1">
      <c r="A2172" s="521" t="s">
        <v>322</v>
      </c>
      <c r="B2172" s="522" t="s">
        <v>998</v>
      </c>
      <c r="C2172" s="522" t="s">
        <v>329</v>
      </c>
      <c r="D2172" s="521" t="s">
        <v>999</v>
      </c>
      <c r="E2172" s="522">
        <v>201612</v>
      </c>
      <c r="F2172" s="523">
        <v>1085.73</v>
      </c>
      <c r="G2172" s="521">
        <v>4.5</v>
      </c>
      <c r="H2172" s="524">
        <v>1.1999999999999999E-3</v>
      </c>
      <c r="I2172" s="523">
        <v>5.86</v>
      </c>
      <c r="J2172" s="448">
        <v>15.63</v>
      </c>
      <c r="N2172" s="590"/>
      <c r="O2172" s="590"/>
      <c r="R2172" s="440"/>
    </row>
    <row r="2173" spans="1:18" s="559" customFormat="1">
      <c r="A2173" s="521" t="s">
        <v>318</v>
      </c>
      <c r="B2173" s="522" t="s">
        <v>998</v>
      </c>
      <c r="C2173" s="522" t="s">
        <v>329</v>
      </c>
      <c r="D2173" s="521" t="s">
        <v>999</v>
      </c>
      <c r="E2173" s="522">
        <v>201612</v>
      </c>
      <c r="F2173" s="523">
        <v>-19621.009999999998</v>
      </c>
      <c r="G2173" s="521">
        <v>4.5</v>
      </c>
      <c r="H2173" s="524">
        <v>1.3083000000000001E-3</v>
      </c>
      <c r="I2173" s="523">
        <v>-115.52</v>
      </c>
      <c r="J2173" s="448">
        <v>-308.04000000000002</v>
      </c>
      <c r="N2173" s="590"/>
      <c r="O2173" s="590"/>
      <c r="R2173" s="440"/>
    </row>
    <row r="2174" spans="1:18" s="559" customFormat="1">
      <c r="A2174" s="521" t="s">
        <v>318</v>
      </c>
      <c r="B2174" s="522" t="s">
        <v>998</v>
      </c>
      <c r="C2174" s="522" t="s">
        <v>329</v>
      </c>
      <c r="D2174" s="521" t="s">
        <v>999</v>
      </c>
      <c r="E2174" s="522">
        <v>201612</v>
      </c>
      <c r="F2174" s="523">
        <v>18535.28</v>
      </c>
      <c r="G2174" s="521">
        <v>4.5</v>
      </c>
      <c r="H2174" s="524">
        <v>1.3083000000000001E-3</v>
      </c>
      <c r="I2174" s="523">
        <v>109.12</v>
      </c>
      <c r="J2174" s="448">
        <v>291</v>
      </c>
      <c r="N2174" s="590"/>
      <c r="O2174" s="590"/>
      <c r="R2174" s="440"/>
    </row>
    <row r="2175" spans="1:18" s="559" customFormat="1">
      <c r="A2175" s="521" t="s">
        <v>318</v>
      </c>
      <c r="B2175" s="522" t="s">
        <v>1112</v>
      </c>
      <c r="C2175" s="522" t="s">
        <v>330</v>
      </c>
      <c r="D2175" s="521" t="s">
        <v>1113</v>
      </c>
      <c r="E2175" s="522">
        <v>201612</v>
      </c>
      <c r="F2175" s="523">
        <v>9670.19</v>
      </c>
      <c r="G2175" s="521">
        <v>4.5</v>
      </c>
      <c r="H2175" s="524">
        <v>1.3083000000000001E-3</v>
      </c>
      <c r="I2175" s="523">
        <v>56.93</v>
      </c>
      <c r="J2175" s="448">
        <v>151.82</v>
      </c>
      <c r="N2175" s="590"/>
      <c r="O2175" s="590"/>
      <c r="R2175" s="440"/>
    </row>
    <row r="2176" spans="1:18" s="559" customFormat="1">
      <c r="A2176" s="521" t="s">
        <v>318</v>
      </c>
      <c r="B2176" s="522" t="s">
        <v>1112</v>
      </c>
      <c r="C2176" s="522" t="s">
        <v>330</v>
      </c>
      <c r="D2176" s="521" t="s">
        <v>1113</v>
      </c>
      <c r="E2176" s="522">
        <v>201612</v>
      </c>
      <c r="F2176" s="523">
        <v>133136.48000000001</v>
      </c>
      <c r="G2176" s="521">
        <v>4.5</v>
      </c>
      <c r="H2176" s="524">
        <v>1.3083000000000001E-3</v>
      </c>
      <c r="I2176" s="523">
        <v>783.82</v>
      </c>
      <c r="J2176" s="448">
        <v>2090.19</v>
      </c>
      <c r="N2176" s="590"/>
      <c r="O2176" s="590"/>
      <c r="R2176" s="440"/>
    </row>
    <row r="2177" spans="1:18" s="439" customFormat="1">
      <c r="A2177" s="443" t="s">
        <v>318</v>
      </c>
      <c r="B2177" s="444" t="s">
        <v>1114</v>
      </c>
      <c r="C2177" s="444" t="s">
        <v>330</v>
      </c>
      <c r="D2177" s="443" t="s">
        <v>1115</v>
      </c>
      <c r="E2177" s="444">
        <v>201612</v>
      </c>
      <c r="F2177" s="445">
        <v>14460.74</v>
      </c>
      <c r="G2177" s="443">
        <v>4.5</v>
      </c>
      <c r="H2177" s="446">
        <v>1.3083000000000001E-3</v>
      </c>
      <c r="I2177" s="445">
        <v>85.14</v>
      </c>
      <c r="J2177" s="448">
        <v>227.03</v>
      </c>
      <c r="N2177" s="441"/>
      <c r="O2177" s="441"/>
      <c r="R2177" s="440"/>
    </row>
    <row r="2178" spans="1:18" s="439" customFormat="1">
      <c r="A2178" s="443" t="s">
        <v>318</v>
      </c>
      <c r="B2178" s="444" t="s">
        <v>1114</v>
      </c>
      <c r="C2178" s="444" t="s">
        <v>330</v>
      </c>
      <c r="D2178" s="443" t="s">
        <v>1115</v>
      </c>
      <c r="E2178" s="444">
        <v>201612</v>
      </c>
      <c r="F2178" s="445">
        <v>214536.28</v>
      </c>
      <c r="G2178" s="443">
        <v>4.5</v>
      </c>
      <c r="H2178" s="446">
        <v>1.3083000000000001E-3</v>
      </c>
      <c r="I2178" s="445">
        <v>1263.05</v>
      </c>
      <c r="J2178" s="448">
        <v>3368.13</v>
      </c>
      <c r="N2178" s="441"/>
      <c r="O2178" s="441"/>
      <c r="R2178" s="440"/>
    </row>
    <row r="2179" spans="1:18" s="439" customFormat="1">
      <c r="A2179" s="443" t="s">
        <v>318</v>
      </c>
      <c r="B2179" s="444" t="s">
        <v>1004</v>
      </c>
      <c r="C2179" s="442" t="s">
        <v>330</v>
      </c>
      <c r="D2179" s="443" t="s">
        <v>1005</v>
      </c>
      <c r="E2179" s="444">
        <v>201612</v>
      </c>
      <c r="F2179" s="445">
        <v>-103.94</v>
      </c>
      <c r="G2179" s="443">
        <v>4.5</v>
      </c>
      <c r="H2179" s="446">
        <v>1.3083000000000001E-3</v>
      </c>
      <c r="I2179" s="445">
        <v>-0.61</v>
      </c>
      <c r="J2179" s="448">
        <v>-1.63</v>
      </c>
      <c r="N2179" s="441"/>
      <c r="O2179" s="441"/>
      <c r="R2179" s="440"/>
    </row>
    <row r="2180" spans="1:18" s="439" customFormat="1">
      <c r="A2180" s="443" t="s">
        <v>318</v>
      </c>
      <c r="B2180" s="444" t="s">
        <v>1004</v>
      </c>
      <c r="C2180" s="442" t="s">
        <v>330</v>
      </c>
      <c r="D2180" s="443" t="s">
        <v>1005</v>
      </c>
      <c r="E2180" s="444">
        <v>201612</v>
      </c>
      <c r="F2180" s="445">
        <v>79.92</v>
      </c>
      <c r="G2180" s="443">
        <v>4.5</v>
      </c>
      <c r="H2180" s="446">
        <v>1.3083000000000001E-3</v>
      </c>
      <c r="I2180" s="445">
        <v>0.47</v>
      </c>
      <c r="J2180" s="448">
        <v>1.25</v>
      </c>
      <c r="N2180" s="441"/>
      <c r="O2180" s="441"/>
      <c r="R2180" s="440"/>
    </row>
    <row r="2181" spans="1:18" s="439" customFormat="1">
      <c r="A2181" s="443" t="s">
        <v>318</v>
      </c>
      <c r="B2181" s="444" t="s">
        <v>1116</v>
      </c>
      <c r="C2181" s="442" t="s">
        <v>330</v>
      </c>
      <c r="D2181" s="443" t="s">
        <v>1117</v>
      </c>
      <c r="E2181" s="444">
        <v>201612</v>
      </c>
      <c r="F2181" s="445">
        <v>10492.48</v>
      </c>
      <c r="G2181" s="443">
        <v>4.5</v>
      </c>
      <c r="H2181" s="446">
        <v>1.3083000000000001E-3</v>
      </c>
      <c r="I2181" s="445">
        <v>61.77</v>
      </c>
      <c r="J2181" s="448">
        <v>164.73</v>
      </c>
      <c r="N2181" s="441"/>
      <c r="O2181" s="441"/>
      <c r="R2181" s="440"/>
    </row>
    <row r="2182" spans="1:18" s="439" customFormat="1">
      <c r="A2182" s="443" t="s">
        <v>318</v>
      </c>
      <c r="B2182" s="444" t="s">
        <v>1116</v>
      </c>
      <c r="C2182" s="442" t="s">
        <v>330</v>
      </c>
      <c r="D2182" s="443" t="s">
        <v>1117</v>
      </c>
      <c r="E2182" s="444">
        <v>201612</v>
      </c>
      <c r="F2182" s="445">
        <v>135648.13</v>
      </c>
      <c r="G2182" s="443">
        <v>4.5</v>
      </c>
      <c r="H2182" s="446">
        <v>1.3083000000000001E-3</v>
      </c>
      <c r="I2182" s="445">
        <v>798.61</v>
      </c>
      <c r="J2182" s="448">
        <v>2129.62</v>
      </c>
      <c r="N2182" s="441"/>
      <c r="O2182" s="441"/>
      <c r="R2182" s="440"/>
    </row>
    <row r="2183" spans="1:18" s="439" customFormat="1">
      <c r="A2183" s="443" t="s">
        <v>318</v>
      </c>
      <c r="B2183" s="444" t="s">
        <v>1071</v>
      </c>
      <c r="C2183" s="442" t="s">
        <v>330</v>
      </c>
      <c r="D2183" s="443" t="s">
        <v>1072</v>
      </c>
      <c r="E2183" s="444">
        <v>201612</v>
      </c>
      <c r="F2183" s="445">
        <v>335.27</v>
      </c>
      <c r="G2183" s="443">
        <v>4.5</v>
      </c>
      <c r="H2183" s="446">
        <v>1.3083000000000001E-3</v>
      </c>
      <c r="I2183" s="445">
        <v>1.97</v>
      </c>
      <c r="J2183" s="448">
        <v>5.26</v>
      </c>
      <c r="N2183" s="441"/>
      <c r="O2183" s="441"/>
      <c r="R2183" s="440"/>
    </row>
    <row r="2184" spans="1:18" s="439" customFormat="1">
      <c r="A2184" s="443" t="s">
        <v>318</v>
      </c>
      <c r="B2184" s="444" t="s">
        <v>889</v>
      </c>
      <c r="C2184" s="442" t="s">
        <v>414</v>
      </c>
      <c r="D2184" s="443" t="s">
        <v>890</v>
      </c>
      <c r="E2184" s="444">
        <v>201612</v>
      </c>
      <c r="F2184" s="445">
        <v>-13.55</v>
      </c>
      <c r="G2184" s="443">
        <v>4.5</v>
      </c>
      <c r="H2184" s="446">
        <v>1.3083000000000001E-3</v>
      </c>
      <c r="I2184" s="445">
        <v>-0.08</v>
      </c>
      <c r="J2184" s="448">
        <v>-0.21</v>
      </c>
      <c r="N2184" s="441"/>
      <c r="O2184" s="441"/>
      <c r="R2184" s="440"/>
    </row>
    <row r="2185" spans="1:18" s="439" customFormat="1">
      <c r="A2185" s="443" t="s">
        <v>318</v>
      </c>
      <c r="B2185" s="444" t="s">
        <v>889</v>
      </c>
      <c r="C2185" s="442" t="s">
        <v>414</v>
      </c>
      <c r="D2185" s="443" t="s">
        <v>890</v>
      </c>
      <c r="E2185" s="444">
        <v>201612</v>
      </c>
      <c r="F2185" s="445">
        <v>-0.51</v>
      </c>
      <c r="G2185" s="443">
        <v>4.5</v>
      </c>
      <c r="H2185" s="446">
        <v>1.3083000000000001E-3</v>
      </c>
      <c r="I2185" s="445">
        <v>0</v>
      </c>
      <c r="J2185" s="448">
        <v>-0.01</v>
      </c>
      <c r="N2185" s="441"/>
      <c r="O2185" s="441"/>
      <c r="R2185" s="440"/>
    </row>
    <row r="2186" spans="1:18" s="439" customFormat="1">
      <c r="A2186" s="443" t="s">
        <v>318</v>
      </c>
      <c r="B2186" s="444" t="s">
        <v>1006</v>
      </c>
      <c r="C2186" s="442" t="s">
        <v>414</v>
      </c>
      <c r="D2186" s="443" t="s">
        <v>1007</v>
      </c>
      <c r="E2186" s="444">
        <v>201612</v>
      </c>
      <c r="F2186" s="445">
        <v>0.22</v>
      </c>
      <c r="G2186" s="443">
        <v>4.5</v>
      </c>
      <c r="H2186" s="446">
        <v>1.3083000000000001E-3</v>
      </c>
      <c r="I2186" s="445">
        <v>0</v>
      </c>
      <c r="J2186" s="448">
        <v>0</v>
      </c>
      <c r="N2186" s="441"/>
      <c r="O2186" s="441"/>
      <c r="R2186" s="440"/>
    </row>
    <row r="2187" spans="1:18" s="439" customFormat="1">
      <c r="A2187" s="443" t="s">
        <v>318</v>
      </c>
      <c r="B2187" s="444" t="s">
        <v>1006</v>
      </c>
      <c r="C2187" s="444" t="s">
        <v>414</v>
      </c>
      <c r="D2187" s="443" t="s">
        <v>1007</v>
      </c>
      <c r="E2187" s="444">
        <v>201612</v>
      </c>
      <c r="F2187" s="445">
        <v>15.96</v>
      </c>
      <c r="G2187" s="443">
        <v>4.5</v>
      </c>
      <c r="H2187" s="446">
        <v>1.3083000000000001E-3</v>
      </c>
      <c r="I2187" s="445">
        <v>0.09</v>
      </c>
      <c r="J2187" s="448">
        <v>0.25</v>
      </c>
      <c r="N2187" s="441"/>
      <c r="O2187" s="441"/>
      <c r="R2187" s="440"/>
    </row>
    <row r="2188" spans="1:18" s="439" customFormat="1">
      <c r="A2188" s="443" t="s">
        <v>318</v>
      </c>
      <c r="B2188" s="444" t="s">
        <v>1012</v>
      </c>
      <c r="C2188" s="444" t="s">
        <v>331</v>
      </c>
      <c r="D2188" s="443" t="s">
        <v>1013</v>
      </c>
      <c r="E2188" s="444">
        <v>201612</v>
      </c>
      <c r="F2188" s="445">
        <v>-3.32</v>
      </c>
      <c r="G2188" s="443">
        <v>4.5</v>
      </c>
      <c r="H2188" s="446">
        <v>1.3083000000000001E-3</v>
      </c>
      <c r="I2188" s="445">
        <v>-0.02</v>
      </c>
      <c r="J2188" s="448">
        <v>-0.05</v>
      </c>
      <c r="N2188" s="441"/>
      <c r="O2188" s="441"/>
      <c r="R2188" s="440"/>
    </row>
    <row r="2189" spans="1:18" s="439" customFormat="1">
      <c r="A2189" s="443" t="s">
        <v>318</v>
      </c>
      <c r="B2189" s="444" t="s">
        <v>1012</v>
      </c>
      <c r="C2189" s="444" t="s">
        <v>331</v>
      </c>
      <c r="D2189" s="443" t="s">
        <v>1013</v>
      </c>
      <c r="E2189" s="444">
        <v>201612</v>
      </c>
      <c r="F2189" s="445">
        <v>-0.25</v>
      </c>
      <c r="G2189" s="443">
        <v>4.5</v>
      </c>
      <c r="H2189" s="446">
        <v>1.3083000000000001E-3</v>
      </c>
      <c r="I2189" s="445">
        <v>0</v>
      </c>
      <c r="J2189" s="448">
        <v>0</v>
      </c>
      <c r="N2189" s="441"/>
      <c r="O2189" s="441"/>
      <c r="R2189" s="440"/>
    </row>
    <row r="2190" spans="1:18" s="439" customFormat="1">
      <c r="A2190" s="443" t="s">
        <v>318</v>
      </c>
      <c r="B2190" s="444" t="s">
        <v>1073</v>
      </c>
      <c r="C2190" s="444" t="s">
        <v>331</v>
      </c>
      <c r="D2190" s="443" t="s">
        <v>1074</v>
      </c>
      <c r="E2190" s="444">
        <v>201612</v>
      </c>
      <c r="F2190" s="445">
        <v>62.58</v>
      </c>
      <c r="G2190" s="443">
        <v>4.5</v>
      </c>
      <c r="H2190" s="446">
        <v>1.3083000000000001E-3</v>
      </c>
      <c r="I2190" s="445">
        <v>0.37</v>
      </c>
      <c r="J2190" s="448">
        <v>0.98</v>
      </c>
      <c r="N2190" s="441"/>
      <c r="O2190" s="441"/>
      <c r="R2190" s="440"/>
    </row>
    <row r="2191" spans="1:18" s="439" customFormat="1">
      <c r="A2191" s="443" t="s">
        <v>318</v>
      </c>
      <c r="B2191" s="444" t="s">
        <v>1073</v>
      </c>
      <c r="C2191" s="444" t="s">
        <v>331</v>
      </c>
      <c r="D2191" s="443" t="s">
        <v>1074</v>
      </c>
      <c r="E2191" s="444">
        <v>201612</v>
      </c>
      <c r="F2191" s="445">
        <v>652.44000000000005</v>
      </c>
      <c r="G2191" s="443">
        <v>4.5</v>
      </c>
      <c r="H2191" s="446">
        <v>1.3083000000000001E-3</v>
      </c>
      <c r="I2191" s="445">
        <v>3.84</v>
      </c>
      <c r="J2191" s="448">
        <v>10.24</v>
      </c>
      <c r="N2191" s="441"/>
      <c r="O2191" s="441"/>
      <c r="R2191" s="440"/>
    </row>
    <row r="2192" spans="1:18" s="439" customFormat="1">
      <c r="A2192" s="443" t="s">
        <v>318</v>
      </c>
      <c r="B2192" s="444" t="s">
        <v>1049</v>
      </c>
      <c r="C2192" s="444" t="s">
        <v>330</v>
      </c>
      <c r="D2192" s="443" t="s">
        <v>1050</v>
      </c>
      <c r="E2192" s="444">
        <v>201612</v>
      </c>
      <c r="F2192" s="445">
        <v>37.799999999999997</v>
      </c>
      <c r="G2192" s="443">
        <v>4.5</v>
      </c>
      <c r="H2192" s="446">
        <v>1.3083000000000001E-3</v>
      </c>
      <c r="I2192" s="445">
        <v>0.22</v>
      </c>
      <c r="J2192" s="448">
        <v>0.59</v>
      </c>
      <c r="N2192" s="441"/>
      <c r="O2192" s="441"/>
      <c r="R2192" s="440"/>
    </row>
    <row r="2193" spans="1:18" s="439" customFormat="1">
      <c r="A2193" s="443" t="s">
        <v>318</v>
      </c>
      <c r="B2193" s="444" t="s">
        <v>1049</v>
      </c>
      <c r="C2193" s="444" t="s">
        <v>330</v>
      </c>
      <c r="D2193" s="443" t="s">
        <v>1050</v>
      </c>
      <c r="E2193" s="444">
        <v>201612</v>
      </c>
      <c r="F2193" s="445">
        <v>1001.61</v>
      </c>
      <c r="G2193" s="443">
        <v>4.5</v>
      </c>
      <c r="H2193" s="446">
        <v>1.3083000000000001E-3</v>
      </c>
      <c r="I2193" s="445">
        <v>5.9</v>
      </c>
      <c r="J2193" s="448">
        <v>15.72</v>
      </c>
      <c r="N2193" s="441"/>
      <c r="O2193" s="441"/>
      <c r="R2193" s="440"/>
    </row>
    <row r="2194" spans="1:18" s="439" customFormat="1">
      <c r="A2194" s="443" t="s">
        <v>318</v>
      </c>
      <c r="B2194" s="444" t="s">
        <v>1077</v>
      </c>
      <c r="C2194" s="444" t="s">
        <v>330</v>
      </c>
      <c r="D2194" s="443" t="s">
        <v>1078</v>
      </c>
      <c r="E2194" s="444">
        <v>201612</v>
      </c>
      <c r="F2194" s="445">
        <v>152.69</v>
      </c>
      <c r="G2194" s="443">
        <v>4.5</v>
      </c>
      <c r="H2194" s="446">
        <v>1.3083000000000001E-3</v>
      </c>
      <c r="I2194" s="445">
        <v>0.9</v>
      </c>
      <c r="J2194" s="448">
        <v>2.4</v>
      </c>
      <c r="N2194" s="441"/>
      <c r="O2194" s="441"/>
      <c r="R2194" s="440"/>
    </row>
    <row r="2195" spans="1:18" s="439" customFormat="1">
      <c r="A2195" s="443" t="s">
        <v>318</v>
      </c>
      <c r="B2195" s="444" t="s">
        <v>1077</v>
      </c>
      <c r="C2195" s="444" t="s">
        <v>330</v>
      </c>
      <c r="D2195" s="443" t="s">
        <v>1078</v>
      </c>
      <c r="E2195" s="444">
        <v>201612</v>
      </c>
      <c r="F2195" s="445">
        <v>1721.22</v>
      </c>
      <c r="G2195" s="443">
        <v>4.5</v>
      </c>
      <c r="H2195" s="446">
        <v>1.3083000000000001E-3</v>
      </c>
      <c r="I2195" s="445">
        <v>10.130000000000001</v>
      </c>
      <c r="J2195" s="448">
        <v>27.02</v>
      </c>
      <c r="N2195" s="441"/>
      <c r="O2195" s="441"/>
      <c r="R2195" s="440"/>
    </row>
    <row r="2196" spans="1:18" s="439" customFormat="1">
      <c r="A2196" s="443" t="s">
        <v>318</v>
      </c>
      <c r="B2196" s="444" t="s">
        <v>1079</v>
      </c>
      <c r="C2196" s="444" t="s">
        <v>330</v>
      </c>
      <c r="D2196" s="443" t="s">
        <v>1080</v>
      </c>
      <c r="E2196" s="444">
        <v>201612</v>
      </c>
      <c r="F2196" s="445">
        <v>127.1</v>
      </c>
      <c r="G2196" s="443">
        <v>4.5</v>
      </c>
      <c r="H2196" s="446">
        <v>1.3083000000000001E-3</v>
      </c>
      <c r="I2196" s="445">
        <v>0.75</v>
      </c>
      <c r="J2196" s="448">
        <v>2</v>
      </c>
      <c r="N2196" s="441"/>
      <c r="O2196" s="441"/>
      <c r="R2196" s="440"/>
    </row>
    <row r="2197" spans="1:18" s="439" customFormat="1">
      <c r="A2197" s="443" t="s">
        <v>318</v>
      </c>
      <c r="B2197" s="444" t="s">
        <v>1079</v>
      </c>
      <c r="C2197" s="442" t="s">
        <v>330</v>
      </c>
      <c r="D2197" s="443" t="s">
        <v>1080</v>
      </c>
      <c r="E2197" s="444">
        <v>201612</v>
      </c>
      <c r="F2197" s="445">
        <v>1896.27</v>
      </c>
      <c r="G2197" s="443">
        <v>4.5</v>
      </c>
      <c r="H2197" s="446">
        <v>1.3083000000000001E-3</v>
      </c>
      <c r="I2197" s="445">
        <v>11.16</v>
      </c>
      <c r="J2197" s="448">
        <v>29.77</v>
      </c>
      <c r="N2197" s="441"/>
      <c r="O2197" s="441"/>
      <c r="R2197" s="440"/>
    </row>
    <row r="2198" spans="1:18" s="439" customFormat="1">
      <c r="A2198" s="443" t="s">
        <v>318</v>
      </c>
      <c r="B2198" s="444" t="s">
        <v>1118</v>
      </c>
      <c r="C2198" s="444" t="s">
        <v>330</v>
      </c>
      <c r="D2198" s="443" t="s">
        <v>1119</v>
      </c>
      <c r="E2198" s="444">
        <v>201612</v>
      </c>
      <c r="F2198" s="445">
        <v>1314.1</v>
      </c>
      <c r="G2198" s="443">
        <v>4.5</v>
      </c>
      <c r="H2198" s="446">
        <v>1.3083000000000001E-3</v>
      </c>
      <c r="I2198" s="445">
        <v>7.74</v>
      </c>
      <c r="J2198" s="448">
        <v>20.63</v>
      </c>
      <c r="N2198" s="441"/>
      <c r="O2198" s="441"/>
      <c r="R2198" s="440"/>
    </row>
    <row r="2199" spans="1:18" s="439" customFormat="1">
      <c r="A2199" s="443" t="s">
        <v>318</v>
      </c>
      <c r="B2199" s="444" t="s">
        <v>1118</v>
      </c>
      <c r="C2199" s="444" t="s">
        <v>330</v>
      </c>
      <c r="D2199" s="443" t="s">
        <v>1119</v>
      </c>
      <c r="E2199" s="444">
        <v>201612</v>
      </c>
      <c r="F2199" s="445">
        <v>32365.71</v>
      </c>
      <c r="G2199" s="443">
        <v>4.5</v>
      </c>
      <c r="H2199" s="446">
        <v>1.3083000000000001E-3</v>
      </c>
      <c r="I2199" s="445">
        <v>190.55</v>
      </c>
      <c r="J2199" s="448">
        <v>508.13</v>
      </c>
      <c r="N2199" s="441"/>
      <c r="O2199" s="441"/>
      <c r="R2199" s="440"/>
    </row>
    <row r="2200" spans="1:18" s="439" customFormat="1">
      <c r="A2200" s="443" t="s">
        <v>318</v>
      </c>
      <c r="B2200" s="444" t="s">
        <v>1120</v>
      </c>
      <c r="C2200" s="444" t="s">
        <v>330</v>
      </c>
      <c r="D2200" s="443" t="s">
        <v>1121</v>
      </c>
      <c r="E2200" s="444">
        <v>201612</v>
      </c>
      <c r="F2200" s="445">
        <v>10790.88</v>
      </c>
      <c r="G2200" s="443">
        <v>4.5</v>
      </c>
      <c r="H2200" s="446">
        <v>1.3083000000000001E-3</v>
      </c>
      <c r="I2200" s="445">
        <v>63.53</v>
      </c>
      <c r="J2200" s="448">
        <v>169.41</v>
      </c>
      <c r="N2200" s="441"/>
      <c r="O2200" s="441"/>
      <c r="R2200" s="440"/>
    </row>
    <row r="2201" spans="1:18" s="439" customFormat="1">
      <c r="A2201" s="443" t="s">
        <v>318</v>
      </c>
      <c r="B2201" s="444" t="s">
        <v>1120</v>
      </c>
      <c r="C2201" s="444" t="s">
        <v>330</v>
      </c>
      <c r="D2201" s="443" t="s">
        <v>1121</v>
      </c>
      <c r="E2201" s="444">
        <v>201612</v>
      </c>
      <c r="F2201" s="445">
        <v>44537.57</v>
      </c>
      <c r="G2201" s="443">
        <v>4.5</v>
      </c>
      <c r="H2201" s="446">
        <v>1.3083000000000001E-3</v>
      </c>
      <c r="I2201" s="445">
        <v>262.20999999999998</v>
      </c>
      <c r="J2201" s="448">
        <v>699.22</v>
      </c>
      <c r="N2201" s="441"/>
      <c r="O2201" s="441"/>
      <c r="R2201" s="440"/>
    </row>
    <row r="2202" spans="1:18" s="439" customFormat="1">
      <c r="A2202" s="443"/>
      <c r="B2202" s="444"/>
      <c r="C2202" s="444"/>
      <c r="D2202" s="443"/>
      <c r="E2202" s="444"/>
      <c r="F2202" s="445"/>
      <c r="G2202" s="443"/>
      <c r="H2202" s="446"/>
      <c r="I2202" s="445"/>
      <c r="J2202" s="448"/>
      <c r="N2202" s="441"/>
      <c r="O2202" s="441"/>
      <c r="R2202" s="440"/>
    </row>
    <row r="2203" spans="1:18" s="497" customFormat="1">
      <c r="A2203" s="507"/>
      <c r="B2203" s="508"/>
      <c r="C2203" s="508"/>
      <c r="D2203" s="507"/>
      <c r="E2203" s="508"/>
      <c r="F2203" s="509"/>
      <c r="G2203" s="507"/>
      <c r="H2203" s="504"/>
      <c r="I2203" s="505"/>
      <c r="J2203" s="506"/>
    </row>
    <row r="2204" spans="1:18" s="497" customFormat="1">
      <c r="A2204" s="500"/>
      <c r="B2204" s="499"/>
      <c r="C2204" s="499"/>
      <c r="D2204" s="500"/>
      <c r="E2204" s="499"/>
      <c r="F2204" s="155"/>
      <c r="G2204" s="500"/>
      <c r="H2204" s="501"/>
      <c r="I2204" s="502"/>
      <c r="J2204" s="503"/>
    </row>
    <row r="2205" spans="1:18">
      <c r="A2205" s="160"/>
      <c r="B2205" s="161"/>
      <c r="C2205" s="162"/>
      <c r="D2205" s="127"/>
      <c r="E2205" s="162"/>
      <c r="F2205" s="163"/>
      <c r="G2205" s="126"/>
      <c r="H2205" s="156"/>
      <c r="I2205" s="157"/>
      <c r="J2205" s="158"/>
      <c r="Q2205" s="101">
        <f>IF(E2205&lt;=$Q$1,$S$5,#REF!)</f>
        <v>2015</v>
      </c>
    </row>
    <row r="2206" spans="1:18">
      <c r="A2206" s="103"/>
      <c r="B2206" s="114"/>
      <c r="C2206" s="114"/>
      <c r="D2206" s="121"/>
      <c r="E2206" s="164"/>
      <c r="F2206" s="165"/>
      <c r="G2206" s="166"/>
      <c r="H2206" s="132"/>
      <c r="I2206" s="103"/>
      <c r="J2206" s="103"/>
    </row>
    <row r="2207" spans="1:18" ht="13.5" thickBot="1">
      <c r="A2207" s="103"/>
      <c r="B2207" s="114"/>
      <c r="C2207" s="114"/>
      <c r="D2207" s="114"/>
      <c r="E2207" s="164"/>
      <c r="F2207" s="167">
        <f>SUM(F5:F2206)</f>
        <v>29148620.109999996</v>
      </c>
      <c r="G2207" s="166"/>
      <c r="H2207" s="121"/>
      <c r="I2207" s="167">
        <f>SUM(I5:I2206)</f>
        <v>291003.94999999966</v>
      </c>
      <c r="J2207" s="167">
        <f>SUM(J5:J2206)</f>
        <v>457406.71000000084</v>
      </c>
    </row>
    <row r="2208" spans="1:18" ht="13.5" thickTop="1">
      <c r="A2208" s="103"/>
      <c r="B2208" s="114"/>
      <c r="C2208" s="114"/>
      <c r="D2208" s="114"/>
      <c r="E2208" s="164"/>
      <c r="F2208" s="115"/>
      <c r="G2208" s="166"/>
      <c r="H2208" s="121"/>
      <c r="I2208" s="103"/>
      <c r="J2208" s="103"/>
    </row>
    <row r="2209" spans="1:17">
      <c r="A2209" s="67" t="s">
        <v>103</v>
      </c>
    </row>
    <row r="2211" spans="1:17">
      <c r="A2211" s="81" t="s">
        <v>86</v>
      </c>
      <c r="B2211" s="81" t="s">
        <v>87</v>
      </c>
      <c r="C2211" s="81" t="s">
        <v>88</v>
      </c>
      <c r="D2211" s="81"/>
      <c r="E2211" s="146" t="s">
        <v>89</v>
      </c>
      <c r="F2211" s="81" t="s">
        <v>90</v>
      </c>
      <c r="G2211" s="147"/>
      <c r="H2211" s="81" t="s">
        <v>91</v>
      </c>
      <c r="I2211" s="81" t="s">
        <v>92</v>
      </c>
      <c r="J2211" s="81" t="s">
        <v>93</v>
      </c>
    </row>
    <row r="2212" spans="1:17">
      <c r="A2212" s="86" t="s">
        <v>94</v>
      </c>
      <c r="B2212" s="86" t="s">
        <v>95</v>
      </c>
      <c r="C2212" s="86" t="s">
        <v>96</v>
      </c>
      <c r="D2212" s="87" t="s">
        <v>97</v>
      </c>
      <c r="E2212" s="148" t="s">
        <v>98</v>
      </c>
      <c r="F2212" s="86" t="s">
        <v>99</v>
      </c>
      <c r="G2212" s="149" t="s">
        <v>100</v>
      </c>
      <c r="H2212" s="86" t="s">
        <v>101</v>
      </c>
      <c r="I2212" s="86" t="s">
        <v>93</v>
      </c>
      <c r="J2212" s="86" t="s">
        <v>102</v>
      </c>
    </row>
    <row r="2213" spans="1:17">
      <c r="A2213" s="332" t="s">
        <v>318</v>
      </c>
      <c r="B2213" s="333" t="s">
        <v>705</v>
      </c>
      <c r="C2213" s="423" t="s">
        <v>331</v>
      </c>
      <c r="D2213" s="332" t="s">
        <v>1086</v>
      </c>
      <c r="E2213" s="333">
        <v>201601</v>
      </c>
      <c r="F2213" s="334">
        <v>287.45999999999998</v>
      </c>
      <c r="G2213" s="332">
        <v>3</v>
      </c>
      <c r="H2213" s="381">
        <v>1.3083000000000001E-3</v>
      </c>
      <c r="I2213" s="334">
        <v>1.1299999999999999</v>
      </c>
      <c r="J2213" s="334">
        <v>4.51</v>
      </c>
      <c r="Q2213" s="101" t="e">
        <f>IF(E2213&lt;=$Q$1,$S$5,#REF!)</f>
        <v>#REF!</v>
      </c>
    </row>
    <row r="2214" spans="1:17">
      <c r="A2214" s="332" t="s">
        <v>318</v>
      </c>
      <c r="B2214" s="333" t="s">
        <v>627</v>
      </c>
      <c r="C2214" s="423" t="s">
        <v>330</v>
      </c>
      <c r="D2214" s="332" t="s">
        <v>628</v>
      </c>
      <c r="E2214" s="333">
        <v>201601</v>
      </c>
      <c r="F2214" s="334">
        <v>-287.86</v>
      </c>
      <c r="G2214" s="332">
        <v>3</v>
      </c>
      <c r="H2214" s="381">
        <v>1.3083000000000001E-3</v>
      </c>
      <c r="I2214" s="334">
        <v>-1.1299999999999999</v>
      </c>
      <c r="J2214" s="334">
        <v>-4.5199999999999996</v>
      </c>
    </row>
    <row r="2215" spans="1:17">
      <c r="A2215" s="332" t="s">
        <v>318</v>
      </c>
      <c r="B2215" s="333" t="s">
        <v>706</v>
      </c>
      <c r="C2215" s="423" t="s">
        <v>343</v>
      </c>
      <c r="D2215" s="332" t="s">
        <v>707</v>
      </c>
      <c r="E2215" s="333">
        <v>201601</v>
      </c>
      <c r="F2215" s="334">
        <v>-4.7300000000000004</v>
      </c>
      <c r="G2215" s="332">
        <v>3</v>
      </c>
      <c r="H2215" s="381">
        <v>1.3083000000000001E-3</v>
      </c>
      <c r="I2215" s="334">
        <v>-0.02</v>
      </c>
      <c r="J2215" s="334">
        <v>-7.0000000000000007E-2</v>
      </c>
    </row>
    <row r="2216" spans="1:17">
      <c r="A2216" s="521" t="s">
        <v>318</v>
      </c>
      <c r="B2216" s="522" t="s">
        <v>643</v>
      </c>
      <c r="C2216" s="423" t="s">
        <v>330</v>
      </c>
      <c r="D2216" s="521" t="s">
        <v>644</v>
      </c>
      <c r="E2216" s="522">
        <v>201601</v>
      </c>
      <c r="F2216" s="523">
        <v>370.59</v>
      </c>
      <c r="G2216" s="521">
        <v>3</v>
      </c>
      <c r="H2216" s="524">
        <v>1.3083000000000001E-3</v>
      </c>
      <c r="I2216" s="334">
        <v>1.45</v>
      </c>
      <c r="J2216" s="334">
        <v>5.82</v>
      </c>
    </row>
    <row r="2217" spans="1:17">
      <c r="A2217" s="521" t="s">
        <v>318</v>
      </c>
      <c r="B2217" s="522" t="s">
        <v>708</v>
      </c>
      <c r="C2217" s="423" t="s">
        <v>331</v>
      </c>
      <c r="D2217" s="521" t="s">
        <v>709</v>
      </c>
      <c r="E2217" s="522">
        <v>201601</v>
      </c>
      <c r="F2217" s="523">
        <v>3032.4</v>
      </c>
      <c r="G2217" s="521">
        <v>3</v>
      </c>
      <c r="H2217" s="524">
        <v>1.3083000000000001E-3</v>
      </c>
      <c r="I2217" s="334">
        <v>11.9</v>
      </c>
      <c r="J2217" s="334">
        <v>47.61</v>
      </c>
    </row>
    <row r="2218" spans="1:17">
      <c r="A2218" s="332" t="s">
        <v>318</v>
      </c>
      <c r="B2218" s="333" t="s">
        <v>451</v>
      </c>
      <c r="C2218" s="423" t="s">
        <v>330</v>
      </c>
      <c r="D2218" s="332" t="s">
        <v>452</v>
      </c>
      <c r="E2218" s="333">
        <v>201601</v>
      </c>
      <c r="F2218" s="334">
        <v>-0.03</v>
      </c>
      <c r="G2218" s="332">
        <v>3</v>
      </c>
      <c r="H2218" s="381">
        <v>1.3083000000000001E-3</v>
      </c>
      <c r="I2218" s="334">
        <v>0</v>
      </c>
      <c r="J2218" s="334">
        <v>0</v>
      </c>
    </row>
    <row r="2219" spans="1:17" s="559" customFormat="1">
      <c r="A2219" s="521" t="s">
        <v>318</v>
      </c>
      <c r="B2219" s="522" t="s">
        <v>655</v>
      </c>
      <c r="C2219" s="423" t="s">
        <v>330</v>
      </c>
      <c r="D2219" s="521" t="s">
        <v>656</v>
      </c>
      <c r="E2219" s="522">
        <v>201601</v>
      </c>
      <c r="F2219" s="523">
        <v>183207.64</v>
      </c>
      <c r="G2219" s="521">
        <v>3</v>
      </c>
      <c r="H2219" s="524">
        <v>1.3083000000000001E-3</v>
      </c>
      <c r="I2219" s="523">
        <v>719.07</v>
      </c>
      <c r="J2219" s="523">
        <v>2876.29</v>
      </c>
    </row>
    <row r="2220" spans="1:17" s="559" customFormat="1">
      <c r="A2220" s="521" t="s">
        <v>318</v>
      </c>
      <c r="B2220" s="522" t="s">
        <v>594</v>
      </c>
      <c r="C2220" s="423" t="s">
        <v>330</v>
      </c>
      <c r="D2220" s="521" t="s">
        <v>595</v>
      </c>
      <c r="E2220" s="522">
        <v>201601</v>
      </c>
      <c r="F2220" s="523">
        <v>47917.26</v>
      </c>
      <c r="G2220" s="521">
        <v>3</v>
      </c>
      <c r="H2220" s="524">
        <v>1.3083000000000001E-3</v>
      </c>
      <c r="I2220" s="523">
        <v>188.07</v>
      </c>
      <c r="J2220" s="523">
        <v>752.28</v>
      </c>
    </row>
    <row r="2221" spans="1:17" s="559" customFormat="1">
      <c r="A2221" s="521" t="s">
        <v>318</v>
      </c>
      <c r="B2221" s="522" t="s">
        <v>596</v>
      </c>
      <c r="C2221" s="423" t="s">
        <v>330</v>
      </c>
      <c r="D2221" s="521" t="s">
        <v>597</v>
      </c>
      <c r="E2221" s="522">
        <v>201601</v>
      </c>
      <c r="F2221" s="523">
        <v>0.73</v>
      </c>
      <c r="G2221" s="521">
        <v>3</v>
      </c>
      <c r="H2221" s="524">
        <v>1.3083000000000001E-3</v>
      </c>
      <c r="I2221" s="523">
        <v>0</v>
      </c>
      <c r="J2221" s="523">
        <v>0.01</v>
      </c>
    </row>
    <row r="2222" spans="1:17" s="559" customFormat="1">
      <c r="A2222" s="521" t="s">
        <v>318</v>
      </c>
      <c r="B2222" s="522" t="s">
        <v>659</v>
      </c>
      <c r="C2222" s="423" t="s">
        <v>330</v>
      </c>
      <c r="D2222" s="521" t="s">
        <v>660</v>
      </c>
      <c r="E2222" s="522">
        <v>201601</v>
      </c>
      <c r="F2222" s="523">
        <v>-97.28</v>
      </c>
      <c r="G2222" s="521">
        <v>3</v>
      </c>
      <c r="H2222" s="524">
        <v>1.3083000000000001E-3</v>
      </c>
      <c r="I2222" s="523">
        <v>-0.38</v>
      </c>
      <c r="J2222" s="523">
        <v>-1.53</v>
      </c>
    </row>
    <row r="2223" spans="1:17" s="559" customFormat="1">
      <c r="A2223" s="521" t="s">
        <v>318</v>
      </c>
      <c r="B2223" s="522" t="s">
        <v>600</v>
      </c>
      <c r="C2223" s="423" t="s">
        <v>330</v>
      </c>
      <c r="D2223" s="521" t="s">
        <v>601</v>
      </c>
      <c r="E2223" s="522">
        <v>201601</v>
      </c>
      <c r="F2223" s="523">
        <v>0.62</v>
      </c>
      <c r="G2223" s="521">
        <v>3</v>
      </c>
      <c r="H2223" s="524">
        <v>1.3083000000000001E-3</v>
      </c>
      <c r="I2223" s="523">
        <v>0</v>
      </c>
      <c r="J2223" s="523">
        <v>0.01</v>
      </c>
    </row>
    <row r="2224" spans="1:17" s="559" customFormat="1">
      <c r="A2224" s="521" t="s">
        <v>318</v>
      </c>
      <c r="B2224" s="522" t="s">
        <v>554</v>
      </c>
      <c r="C2224" s="423" t="s">
        <v>330</v>
      </c>
      <c r="D2224" s="521" t="s">
        <v>555</v>
      </c>
      <c r="E2224" s="522">
        <v>201601</v>
      </c>
      <c r="F2224" s="523">
        <v>0.09</v>
      </c>
      <c r="G2224" s="521">
        <v>3</v>
      </c>
      <c r="H2224" s="524">
        <v>1.3083000000000001E-3</v>
      </c>
      <c r="I2224" s="523">
        <v>0</v>
      </c>
      <c r="J2224" s="523">
        <v>0</v>
      </c>
    </row>
    <row r="2225" spans="1:10" s="559" customFormat="1">
      <c r="A2225" s="521" t="s">
        <v>318</v>
      </c>
      <c r="B2225" s="522" t="s">
        <v>556</v>
      </c>
      <c r="C2225" s="423" t="s">
        <v>330</v>
      </c>
      <c r="D2225" s="521" t="s">
        <v>557</v>
      </c>
      <c r="E2225" s="522">
        <v>201601</v>
      </c>
      <c r="F2225" s="523">
        <v>0.09</v>
      </c>
      <c r="G2225" s="521">
        <v>3</v>
      </c>
      <c r="H2225" s="524">
        <v>1.3083000000000001E-3</v>
      </c>
      <c r="I2225" s="523">
        <v>0</v>
      </c>
      <c r="J2225" s="523">
        <v>0</v>
      </c>
    </row>
    <row r="2226" spans="1:10" s="559" customFormat="1">
      <c r="A2226" s="521" t="s">
        <v>318</v>
      </c>
      <c r="B2226" s="522" t="s">
        <v>560</v>
      </c>
      <c r="C2226" s="423" t="s">
        <v>330</v>
      </c>
      <c r="D2226" s="521" t="s">
        <v>561</v>
      </c>
      <c r="E2226" s="522">
        <v>201601</v>
      </c>
      <c r="F2226" s="523">
        <v>-0.28000000000000003</v>
      </c>
      <c r="G2226" s="521">
        <v>3</v>
      </c>
      <c r="H2226" s="524">
        <v>1.3083000000000001E-3</v>
      </c>
      <c r="I2226" s="523">
        <v>0</v>
      </c>
      <c r="J2226" s="523">
        <v>0</v>
      </c>
    </row>
    <row r="2227" spans="1:10" s="559" customFormat="1">
      <c r="A2227" s="521" t="s">
        <v>318</v>
      </c>
      <c r="B2227" s="522" t="s">
        <v>602</v>
      </c>
      <c r="C2227" s="423" t="s">
        <v>330</v>
      </c>
      <c r="D2227" s="521" t="s">
        <v>603</v>
      </c>
      <c r="E2227" s="522">
        <v>201601</v>
      </c>
      <c r="F2227" s="523">
        <v>18.18</v>
      </c>
      <c r="G2227" s="521">
        <v>3</v>
      </c>
      <c r="H2227" s="524">
        <v>1.3083000000000001E-3</v>
      </c>
      <c r="I2227" s="523">
        <v>7.0000000000000007E-2</v>
      </c>
      <c r="J2227" s="523">
        <v>0.28999999999999998</v>
      </c>
    </row>
    <row r="2228" spans="1:10" s="559" customFormat="1">
      <c r="A2228" s="521" t="s">
        <v>318</v>
      </c>
      <c r="B2228" s="522" t="s">
        <v>788</v>
      </c>
      <c r="C2228" s="423" t="s">
        <v>330</v>
      </c>
      <c r="D2228" s="521" t="s">
        <v>789</v>
      </c>
      <c r="E2228" s="522">
        <v>201601</v>
      </c>
      <c r="F2228" s="523">
        <v>114083.31</v>
      </c>
      <c r="G2228" s="521">
        <v>3</v>
      </c>
      <c r="H2228" s="524">
        <v>1.3083000000000001E-3</v>
      </c>
      <c r="I2228" s="523">
        <v>447.77</v>
      </c>
      <c r="J2228" s="523">
        <v>1791.06</v>
      </c>
    </row>
    <row r="2229" spans="1:10" s="559" customFormat="1">
      <c r="A2229" s="521" t="s">
        <v>318</v>
      </c>
      <c r="B2229" s="522" t="s">
        <v>564</v>
      </c>
      <c r="C2229" s="423" t="s">
        <v>330</v>
      </c>
      <c r="D2229" s="521" t="s">
        <v>669</v>
      </c>
      <c r="E2229" s="522">
        <v>201601</v>
      </c>
      <c r="F2229" s="523">
        <v>-0.16</v>
      </c>
      <c r="G2229" s="521">
        <v>3</v>
      </c>
      <c r="H2229" s="524">
        <v>1.3083000000000001E-3</v>
      </c>
      <c r="I2229" s="523">
        <v>0</v>
      </c>
      <c r="J2229" s="523">
        <v>0</v>
      </c>
    </row>
    <row r="2230" spans="1:10" s="559" customFormat="1">
      <c r="A2230" s="521" t="s">
        <v>318</v>
      </c>
      <c r="B2230" s="522" t="s">
        <v>670</v>
      </c>
      <c r="C2230" s="423" t="s">
        <v>330</v>
      </c>
      <c r="D2230" s="521" t="s">
        <v>671</v>
      </c>
      <c r="E2230" s="522">
        <v>201601</v>
      </c>
      <c r="F2230" s="523">
        <v>-1157.71</v>
      </c>
      <c r="G2230" s="521">
        <v>3</v>
      </c>
      <c r="H2230" s="524">
        <v>1.3083000000000001E-3</v>
      </c>
      <c r="I2230" s="523">
        <v>-4.54</v>
      </c>
      <c r="J2230" s="523">
        <v>-18.18</v>
      </c>
    </row>
    <row r="2231" spans="1:10" s="559" customFormat="1">
      <c r="A2231" s="521" t="s">
        <v>318</v>
      </c>
      <c r="B2231" s="522" t="s">
        <v>606</v>
      </c>
      <c r="C2231" s="423" t="s">
        <v>330</v>
      </c>
      <c r="D2231" s="521" t="s">
        <v>607</v>
      </c>
      <c r="E2231" s="522">
        <v>201601</v>
      </c>
      <c r="F2231" s="523">
        <v>3.7</v>
      </c>
      <c r="G2231" s="521">
        <v>3</v>
      </c>
      <c r="H2231" s="524">
        <v>1.3083000000000001E-3</v>
      </c>
      <c r="I2231" s="523">
        <v>0.01</v>
      </c>
      <c r="J2231" s="523">
        <v>0.06</v>
      </c>
    </row>
    <row r="2232" spans="1:10" s="559" customFormat="1">
      <c r="A2232" s="521" t="s">
        <v>318</v>
      </c>
      <c r="B2232" s="522" t="s">
        <v>621</v>
      </c>
      <c r="C2232" s="423" t="s">
        <v>331</v>
      </c>
      <c r="D2232" s="521" t="s">
        <v>622</v>
      </c>
      <c r="E2232" s="522">
        <v>201601</v>
      </c>
      <c r="F2232" s="523">
        <v>2248.73</v>
      </c>
      <c r="G2232" s="521">
        <v>3</v>
      </c>
      <c r="H2232" s="524">
        <v>1.3083000000000001E-3</v>
      </c>
      <c r="I2232" s="523">
        <v>8.83</v>
      </c>
      <c r="J2232" s="523">
        <v>35.299999999999997</v>
      </c>
    </row>
    <row r="2233" spans="1:10" s="559" customFormat="1">
      <c r="A2233" s="521" t="s">
        <v>322</v>
      </c>
      <c r="B2233" s="522" t="s">
        <v>621</v>
      </c>
      <c r="C2233" s="423" t="s">
        <v>331</v>
      </c>
      <c r="D2233" s="521" t="s">
        <v>622</v>
      </c>
      <c r="E2233" s="522">
        <v>201601</v>
      </c>
      <c r="F2233" s="523">
        <v>3000.78</v>
      </c>
      <c r="G2233" s="521">
        <v>3</v>
      </c>
      <c r="H2233" s="524">
        <v>1.1999999999999999E-3</v>
      </c>
      <c r="I2233" s="523">
        <v>10.8</v>
      </c>
      <c r="J2233" s="523">
        <v>43.21</v>
      </c>
    </row>
    <row r="2234" spans="1:10" s="559" customFormat="1">
      <c r="A2234" s="521" t="s">
        <v>318</v>
      </c>
      <c r="B2234" s="522" t="s">
        <v>610</v>
      </c>
      <c r="C2234" s="423" t="s">
        <v>330</v>
      </c>
      <c r="D2234" s="521" t="s">
        <v>611</v>
      </c>
      <c r="E2234" s="522">
        <v>201601</v>
      </c>
      <c r="F2234" s="523">
        <v>0.87</v>
      </c>
      <c r="G2234" s="521">
        <v>3</v>
      </c>
      <c r="H2234" s="524">
        <v>1.3083000000000001E-3</v>
      </c>
      <c r="I2234" s="523">
        <v>0</v>
      </c>
      <c r="J2234" s="523">
        <v>0.01</v>
      </c>
    </row>
    <row r="2235" spans="1:10" s="559" customFormat="1">
      <c r="A2235" s="521" t="s">
        <v>318</v>
      </c>
      <c r="B2235" s="522" t="s">
        <v>567</v>
      </c>
      <c r="C2235" s="423" t="s">
        <v>330</v>
      </c>
      <c r="D2235" s="521" t="s">
        <v>568</v>
      </c>
      <c r="E2235" s="522">
        <v>201601</v>
      </c>
      <c r="F2235" s="523">
        <v>3672.61</v>
      </c>
      <c r="G2235" s="521">
        <v>3</v>
      </c>
      <c r="H2235" s="524">
        <v>1.3083000000000001E-3</v>
      </c>
      <c r="I2235" s="523">
        <v>14.41</v>
      </c>
      <c r="J2235" s="523">
        <v>57.66</v>
      </c>
    </row>
    <row r="2236" spans="1:10" s="559" customFormat="1">
      <c r="A2236" s="521" t="s">
        <v>318</v>
      </c>
      <c r="B2236" s="522" t="s">
        <v>790</v>
      </c>
      <c r="C2236" s="423" t="s">
        <v>330</v>
      </c>
      <c r="D2236" s="521" t="s">
        <v>791</v>
      </c>
      <c r="E2236" s="522">
        <v>201601</v>
      </c>
      <c r="F2236" s="523">
        <v>59618.98</v>
      </c>
      <c r="G2236" s="521">
        <v>3</v>
      </c>
      <c r="H2236" s="524">
        <v>1.3083000000000001E-3</v>
      </c>
      <c r="I2236" s="523">
        <v>234</v>
      </c>
      <c r="J2236" s="523">
        <v>935.99</v>
      </c>
    </row>
    <row r="2237" spans="1:10" s="559" customFormat="1">
      <c r="A2237" s="521" t="s">
        <v>318</v>
      </c>
      <c r="B2237" s="522" t="s">
        <v>680</v>
      </c>
      <c r="C2237" s="423" t="s">
        <v>330</v>
      </c>
      <c r="D2237" s="521" t="s">
        <v>681</v>
      </c>
      <c r="E2237" s="522">
        <v>201601</v>
      </c>
      <c r="F2237" s="523">
        <v>1309.8399999999999</v>
      </c>
      <c r="G2237" s="521">
        <v>3</v>
      </c>
      <c r="H2237" s="524">
        <v>1.3083000000000001E-3</v>
      </c>
      <c r="I2237" s="523">
        <v>5.14</v>
      </c>
      <c r="J2237" s="523">
        <v>20.56</v>
      </c>
    </row>
    <row r="2238" spans="1:10" s="559" customFormat="1">
      <c r="A2238" s="521" t="s">
        <v>318</v>
      </c>
      <c r="B2238" s="522" t="s">
        <v>623</v>
      </c>
      <c r="C2238" s="423" t="s">
        <v>331</v>
      </c>
      <c r="D2238" s="521" t="s">
        <v>624</v>
      </c>
      <c r="E2238" s="522">
        <v>201601</v>
      </c>
      <c r="F2238" s="523">
        <v>9744.33</v>
      </c>
      <c r="G2238" s="521">
        <v>3</v>
      </c>
      <c r="H2238" s="524">
        <v>1.3083000000000001E-3</v>
      </c>
      <c r="I2238" s="523">
        <v>38.25</v>
      </c>
      <c r="J2238" s="523">
        <v>152.97999999999999</v>
      </c>
    </row>
    <row r="2239" spans="1:10" s="559" customFormat="1">
      <c r="A2239" s="521" t="s">
        <v>318</v>
      </c>
      <c r="B2239" s="522" t="s">
        <v>684</v>
      </c>
      <c r="C2239" s="423" t="s">
        <v>330</v>
      </c>
      <c r="D2239" s="521" t="s">
        <v>685</v>
      </c>
      <c r="E2239" s="522">
        <v>201601</v>
      </c>
      <c r="F2239" s="523">
        <v>1188.6300000000001</v>
      </c>
      <c r="G2239" s="521">
        <v>3</v>
      </c>
      <c r="H2239" s="524">
        <v>1.3083000000000001E-3</v>
      </c>
      <c r="I2239" s="523">
        <v>4.67</v>
      </c>
      <c r="J2239" s="523">
        <v>18.66</v>
      </c>
    </row>
    <row r="2240" spans="1:10" s="559" customFormat="1">
      <c r="A2240" s="521" t="s">
        <v>318</v>
      </c>
      <c r="B2240" s="522" t="s">
        <v>710</v>
      </c>
      <c r="C2240" s="423" t="s">
        <v>439</v>
      </c>
      <c r="D2240" s="521" t="s">
        <v>711</v>
      </c>
      <c r="E2240" s="522">
        <v>201601</v>
      </c>
      <c r="F2240" s="523">
        <v>360.17</v>
      </c>
      <c r="G2240" s="521">
        <v>3</v>
      </c>
      <c r="H2240" s="524">
        <v>1.3083000000000001E-3</v>
      </c>
      <c r="I2240" s="523">
        <v>1.41</v>
      </c>
      <c r="J2240" s="523">
        <v>5.65</v>
      </c>
    </row>
    <row r="2241" spans="1:10" s="559" customFormat="1">
      <c r="A2241" s="521" t="s">
        <v>318</v>
      </c>
      <c r="B2241" s="522" t="s">
        <v>712</v>
      </c>
      <c r="C2241" s="423" t="s">
        <v>331</v>
      </c>
      <c r="D2241" s="521" t="s">
        <v>713</v>
      </c>
      <c r="E2241" s="522">
        <v>201601</v>
      </c>
      <c r="F2241" s="523">
        <v>-292.33999999999997</v>
      </c>
      <c r="G2241" s="521">
        <v>3</v>
      </c>
      <c r="H2241" s="524">
        <v>1.3083000000000001E-3</v>
      </c>
      <c r="I2241" s="523">
        <v>-1.1499999999999999</v>
      </c>
      <c r="J2241" s="523">
        <v>-4.59</v>
      </c>
    </row>
    <row r="2242" spans="1:10" s="559" customFormat="1">
      <c r="A2242" s="521" t="s">
        <v>318</v>
      </c>
      <c r="B2242" s="522" t="s">
        <v>690</v>
      </c>
      <c r="C2242" s="423" t="s">
        <v>330</v>
      </c>
      <c r="D2242" s="521" t="s">
        <v>691</v>
      </c>
      <c r="E2242" s="522">
        <v>201601</v>
      </c>
      <c r="F2242" s="523">
        <v>-970.73</v>
      </c>
      <c r="G2242" s="521">
        <v>3</v>
      </c>
      <c r="H2242" s="524">
        <v>1.3083000000000001E-3</v>
      </c>
      <c r="I2242" s="523">
        <v>-3.81</v>
      </c>
      <c r="J2242" s="523">
        <v>-15.24</v>
      </c>
    </row>
    <row r="2243" spans="1:10" s="559" customFormat="1">
      <c r="A2243" s="521" t="s">
        <v>318</v>
      </c>
      <c r="B2243" s="522" t="s">
        <v>625</v>
      </c>
      <c r="C2243" s="423" t="s">
        <v>331</v>
      </c>
      <c r="D2243" s="521" t="s">
        <v>626</v>
      </c>
      <c r="E2243" s="522">
        <v>201601</v>
      </c>
      <c r="F2243" s="523">
        <v>0.31</v>
      </c>
      <c r="G2243" s="521">
        <v>3</v>
      </c>
      <c r="H2243" s="524">
        <v>1.3083000000000001E-3</v>
      </c>
      <c r="I2243" s="523">
        <v>0</v>
      </c>
      <c r="J2243" s="523">
        <v>0</v>
      </c>
    </row>
    <row r="2244" spans="1:10" s="559" customFormat="1">
      <c r="A2244" s="521" t="s">
        <v>318</v>
      </c>
      <c r="B2244" s="522" t="s">
        <v>692</v>
      </c>
      <c r="C2244" s="423" t="s">
        <v>330</v>
      </c>
      <c r="D2244" s="521" t="s">
        <v>693</v>
      </c>
      <c r="E2244" s="522">
        <v>201601</v>
      </c>
      <c r="F2244" s="523">
        <v>-899.27</v>
      </c>
      <c r="G2244" s="521">
        <v>3</v>
      </c>
      <c r="H2244" s="524">
        <v>1.3083000000000001E-3</v>
      </c>
      <c r="I2244" s="523">
        <v>-3.53</v>
      </c>
      <c r="J2244" s="523">
        <v>-14.12</v>
      </c>
    </row>
    <row r="2245" spans="1:10" s="559" customFormat="1">
      <c r="A2245" s="521" t="s">
        <v>318</v>
      </c>
      <c r="B2245" s="522" t="s">
        <v>694</v>
      </c>
      <c r="C2245" s="423" t="s">
        <v>330</v>
      </c>
      <c r="D2245" s="521" t="s">
        <v>695</v>
      </c>
      <c r="E2245" s="522">
        <v>201601</v>
      </c>
      <c r="F2245" s="523">
        <v>33.299999999999997</v>
      </c>
      <c r="G2245" s="521">
        <v>3</v>
      </c>
      <c r="H2245" s="524">
        <v>1.3083000000000001E-3</v>
      </c>
      <c r="I2245" s="523">
        <v>0.13</v>
      </c>
      <c r="J2245" s="523">
        <v>0.52</v>
      </c>
    </row>
    <row r="2246" spans="1:10" s="559" customFormat="1">
      <c r="A2246" s="521" t="s">
        <v>318</v>
      </c>
      <c r="B2246" s="522" t="s">
        <v>696</v>
      </c>
      <c r="C2246" s="423" t="s">
        <v>330</v>
      </c>
      <c r="D2246" s="521" t="s">
        <v>697</v>
      </c>
      <c r="E2246" s="522">
        <v>201601</v>
      </c>
      <c r="F2246" s="523">
        <v>-5954.93</v>
      </c>
      <c r="G2246" s="521">
        <v>3</v>
      </c>
      <c r="H2246" s="524">
        <v>1.3083000000000001E-3</v>
      </c>
      <c r="I2246" s="523">
        <v>-23.37</v>
      </c>
      <c r="J2246" s="523">
        <v>-93.49</v>
      </c>
    </row>
    <row r="2247" spans="1:10" s="559" customFormat="1">
      <c r="A2247" s="521" t="s">
        <v>318</v>
      </c>
      <c r="B2247" s="522" t="s">
        <v>700</v>
      </c>
      <c r="C2247" s="423" t="s">
        <v>330</v>
      </c>
      <c r="D2247" s="521" t="s">
        <v>701</v>
      </c>
      <c r="E2247" s="522">
        <v>201601</v>
      </c>
      <c r="F2247" s="523">
        <v>635.51</v>
      </c>
      <c r="G2247" s="521">
        <v>3</v>
      </c>
      <c r="H2247" s="524">
        <v>1.3083000000000001E-3</v>
      </c>
      <c r="I2247" s="523">
        <v>2.4900000000000002</v>
      </c>
      <c r="J2247" s="523">
        <v>9.98</v>
      </c>
    </row>
    <row r="2248" spans="1:10" s="559" customFormat="1">
      <c r="A2248" s="521" t="s">
        <v>318</v>
      </c>
      <c r="B2248" s="522" t="s">
        <v>794</v>
      </c>
      <c r="C2248" s="423" t="s">
        <v>330</v>
      </c>
      <c r="D2248" s="521" t="s">
        <v>795</v>
      </c>
      <c r="E2248" s="522">
        <v>201601</v>
      </c>
      <c r="F2248" s="523">
        <v>15372.28</v>
      </c>
      <c r="G2248" s="521">
        <v>3</v>
      </c>
      <c r="H2248" s="524">
        <v>1.3083000000000001E-3</v>
      </c>
      <c r="I2248" s="523">
        <v>60.33</v>
      </c>
      <c r="J2248" s="523">
        <v>241.34</v>
      </c>
    </row>
    <row r="2249" spans="1:10" s="559" customFormat="1">
      <c r="A2249" s="521" t="s">
        <v>318</v>
      </c>
      <c r="B2249" s="522" t="s">
        <v>702</v>
      </c>
      <c r="C2249" s="423" t="s">
        <v>330</v>
      </c>
      <c r="D2249" s="521" t="s">
        <v>703</v>
      </c>
      <c r="E2249" s="522">
        <v>201601</v>
      </c>
      <c r="F2249" s="523">
        <v>1.9</v>
      </c>
      <c r="G2249" s="521">
        <v>3</v>
      </c>
      <c r="H2249" s="524">
        <v>1.3083000000000001E-3</v>
      </c>
      <c r="I2249" s="523">
        <v>0.01</v>
      </c>
      <c r="J2249" s="523">
        <v>0.03</v>
      </c>
    </row>
    <row r="2250" spans="1:10" s="559" customFormat="1">
      <c r="A2250" s="521"/>
      <c r="B2250" s="522"/>
      <c r="C2250" s="423"/>
      <c r="D2250" s="521"/>
      <c r="E2250" s="522"/>
      <c r="F2250" s="523"/>
      <c r="G2250" s="521"/>
      <c r="H2250" s="524"/>
      <c r="I2250" s="523"/>
      <c r="J2250" s="523"/>
    </row>
    <row r="2251" spans="1:10" s="559" customFormat="1">
      <c r="A2251" s="521" t="s">
        <v>318</v>
      </c>
      <c r="B2251" s="522" t="s">
        <v>627</v>
      </c>
      <c r="C2251" s="423" t="s">
        <v>330</v>
      </c>
      <c r="D2251" s="521" t="s">
        <v>628</v>
      </c>
      <c r="E2251" s="522">
        <v>201602</v>
      </c>
      <c r="F2251" s="523">
        <v>256.74</v>
      </c>
      <c r="G2251" s="521">
        <v>2</v>
      </c>
      <c r="H2251" s="524">
        <v>1.3083000000000001E-3</v>
      </c>
      <c r="I2251" s="523">
        <v>0.67</v>
      </c>
      <c r="J2251" s="523">
        <v>4.03</v>
      </c>
    </row>
    <row r="2252" spans="1:10" s="559" customFormat="1">
      <c r="A2252" s="521" t="s">
        <v>318</v>
      </c>
      <c r="B2252" s="522" t="s">
        <v>706</v>
      </c>
      <c r="C2252" s="423" t="s">
        <v>343</v>
      </c>
      <c r="D2252" s="521" t="s">
        <v>707</v>
      </c>
      <c r="E2252" s="522">
        <v>201602</v>
      </c>
      <c r="F2252" s="523">
        <v>-3.95</v>
      </c>
      <c r="G2252" s="521">
        <v>2</v>
      </c>
      <c r="H2252" s="524">
        <v>1.3083000000000001E-3</v>
      </c>
      <c r="I2252" s="523">
        <v>-0.01</v>
      </c>
      <c r="J2252" s="523">
        <v>-0.06</v>
      </c>
    </row>
    <row r="2253" spans="1:10" s="559" customFormat="1">
      <c r="A2253" s="521" t="s">
        <v>318</v>
      </c>
      <c r="B2253" s="522" t="s">
        <v>546</v>
      </c>
      <c r="C2253" s="423" t="s">
        <v>330</v>
      </c>
      <c r="D2253" s="521" t="s">
        <v>547</v>
      </c>
      <c r="E2253" s="522">
        <v>201602</v>
      </c>
      <c r="F2253" s="523">
        <v>-1.22</v>
      </c>
      <c r="G2253" s="521">
        <v>2</v>
      </c>
      <c r="H2253" s="524">
        <v>1.3083000000000001E-3</v>
      </c>
      <c r="I2253" s="523">
        <v>0</v>
      </c>
      <c r="J2253" s="523">
        <v>-0.02</v>
      </c>
    </row>
    <row r="2254" spans="1:10" s="559" customFormat="1">
      <c r="A2254" s="521" t="s">
        <v>318</v>
      </c>
      <c r="B2254" s="522" t="s">
        <v>643</v>
      </c>
      <c r="C2254" s="423" t="s">
        <v>330</v>
      </c>
      <c r="D2254" s="521" t="s">
        <v>644</v>
      </c>
      <c r="E2254" s="522">
        <v>201602</v>
      </c>
      <c r="F2254" s="523">
        <v>487.96</v>
      </c>
      <c r="G2254" s="521">
        <v>2</v>
      </c>
      <c r="H2254" s="524">
        <v>1.3083000000000001E-3</v>
      </c>
      <c r="I2254" s="523">
        <v>1.28</v>
      </c>
      <c r="J2254" s="523">
        <v>7.66</v>
      </c>
    </row>
    <row r="2255" spans="1:10" s="559" customFormat="1">
      <c r="A2255" s="521" t="s">
        <v>318</v>
      </c>
      <c r="B2255" s="522" t="s">
        <v>708</v>
      </c>
      <c r="C2255" s="423" t="s">
        <v>331</v>
      </c>
      <c r="D2255" s="521" t="s">
        <v>709</v>
      </c>
      <c r="E2255" s="522">
        <v>201602</v>
      </c>
      <c r="F2255" s="523">
        <v>-2068.56</v>
      </c>
      <c r="G2255" s="521">
        <v>2</v>
      </c>
      <c r="H2255" s="524">
        <v>1.3083000000000001E-3</v>
      </c>
      <c r="I2255" s="523">
        <v>-5.41</v>
      </c>
      <c r="J2255" s="523">
        <v>-32.479999999999997</v>
      </c>
    </row>
    <row r="2256" spans="1:10" s="559" customFormat="1">
      <c r="A2256" s="521" t="s">
        <v>318</v>
      </c>
      <c r="B2256" s="522" t="s">
        <v>629</v>
      </c>
      <c r="C2256" s="423" t="s">
        <v>330</v>
      </c>
      <c r="D2256" s="521" t="s">
        <v>630</v>
      </c>
      <c r="E2256" s="522">
        <v>201602</v>
      </c>
      <c r="F2256" s="523">
        <v>116733.33</v>
      </c>
      <c r="G2256" s="521">
        <v>2</v>
      </c>
      <c r="H2256" s="524">
        <v>1.3083000000000001E-3</v>
      </c>
      <c r="I2256" s="523">
        <v>305.44</v>
      </c>
      <c r="J2256" s="523">
        <v>1832.67</v>
      </c>
    </row>
    <row r="2257" spans="1:10" s="559" customFormat="1">
      <c r="A2257" s="521" t="s">
        <v>318</v>
      </c>
      <c r="B2257" s="522" t="s">
        <v>655</v>
      </c>
      <c r="C2257" s="423" t="s">
        <v>330</v>
      </c>
      <c r="D2257" s="521" t="s">
        <v>656</v>
      </c>
      <c r="E2257" s="522">
        <v>201602</v>
      </c>
      <c r="F2257" s="523">
        <v>13.51</v>
      </c>
      <c r="G2257" s="521">
        <v>2</v>
      </c>
      <c r="H2257" s="524">
        <v>1.3083000000000001E-3</v>
      </c>
      <c r="I2257" s="523">
        <v>0.04</v>
      </c>
      <c r="J2257" s="523">
        <v>0.21</v>
      </c>
    </row>
    <row r="2258" spans="1:10" s="559" customFormat="1">
      <c r="A2258" s="521" t="s">
        <v>318</v>
      </c>
      <c r="B2258" s="522" t="s">
        <v>594</v>
      </c>
      <c r="C2258" s="423" t="s">
        <v>330</v>
      </c>
      <c r="D2258" s="521" t="s">
        <v>595</v>
      </c>
      <c r="E2258" s="522">
        <v>201602</v>
      </c>
      <c r="F2258" s="523">
        <v>1.03</v>
      </c>
      <c r="G2258" s="521">
        <v>2</v>
      </c>
      <c r="H2258" s="524">
        <v>1.3083000000000001E-3</v>
      </c>
      <c r="I2258" s="523">
        <v>0</v>
      </c>
      <c r="J2258" s="523">
        <v>0.02</v>
      </c>
    </row>
    <row r="2259" spans="1:10" s="559" customFormat="1">
      <c r="A2259" s="521" t="s">
        <v>318</v>
      </c>
      <c r="B2259" s="522" t="s">
        <v>596</v>
      </c>
      <c r="C2259" s="423" t="s">
        <v>330</v>
      </c>
      <c r="D2259" s="521" t="s">
        <v>597</v>
      </c>
      <c r="E2259" s="522">
        <v>201602</v>
      </c>
      <c r="F2259" s="523">
        <v>0.18</v>
      </c>
      <c r="G2259" s="521">
        <v>2</v>
      </c>
      <c r="H2259" s="524">
        <v>1.3083000000000001E-3</v>
      </c>
      <c r="I2259" s="523">
        <v>0</v>
      </c>
      <c r="J2259" s="523">
        <v>0</v>
      </c>
    </row>
    <row r="2260" spans="1:10" s="559" customFormat="1">
      <c r="A2260" s="521" t="s">
        <v>318</v>
      </c>
      <c r="B2260" s="522" t="s">
        <v>659</v>
      </c>
      <c r="C2260" s="423" t="s">
        <v>330</v>
      </c>
      <c r="D2260" s="521" t="s">
        <v>660</v>
      </c>
      <c r="E2260" s="522">
        <v>201602</v>
      </c>
      <c r="F2260" s="523">
        <v>-184.15</v>
      </c>
      <c r="G2260" s="521">
        <v>2</v>
      </c>
      <c r="H2260" s="524">
        <v>1.3083000000000001E-3</v>
      </c>
      <c r="I2260" s="523">
        <v>-0.48</v>
      </c>
      <c r="J2260" s="523">
        <v>-2.89</v>
      </c>
    </row>
    <row r="2261" spans="1:10" s="559" customFormat="1">
      <c r="A2261" s="521" t="s">
        <v>318</v>
      </c>
      <c r="B2261" s="522" t="s">
        <v>665</v>
      </c>
      <c r="C2261" s="423" t="s">
        <v>330</v>
      </c>
      <c r="D2261" s="521" t="s">
        <v>666</v>
      </c>
      <c r="E2261" s="522">
        <v>201602</v>
      </c>
      <c r="F2261" s="523">
        <v>101230.5</v>
      </c>
      <c r="G2261" s="521">
        <v>2</v>
      </c>
      <c r="H2261" s="524">
        <v>1.3083000000000001E-3</v>
      </c>
      <c r="I2261" s="523">
        <v>264.88</v>
      </c>
      <c r="J2261" s="523">
        <v>1589.28</v>
      </c>
    </row>
    <row r="2262" spans="1:10" s="559" customFormat="1">
      <c r="A2262" s="521" t="s">
        <v>318</v>
      </c>
      <c r="B2262" s="522" t="s">
        <v>803</v>
      </c>
      <c r="C2262" s="423" t="s">
        <v>330</v>
      </c>
      <c r="D2262" s="521" t="s">
        <v>804</v>
      </c>
      <c r="E2262" s="522">
        <v>201602</v>
      </c>
      <c r="F2262" s="523">
        <v>209.55</v>
      </c>
      <c r="G2262" s="521">
        <v>2</v>
      </c>
      <c r="H2262" s="524">
        <v>1.3083000000000001E-3</v>
      </c>
      <c r="I2262" s="523">
        <v>0.55000000000000004</v>
      </c>
      <c r="J2262" s="523">
        <v>3.29</v>
      </c>
    </row>
    <row r="2263" spans="1:10" s="559" customFormat="1">
      <c r="A2263" s="521" t="s">
        <v>318</v>
      </c>
      <c r="B2263" s="522" t="s">
        <v>805</v>
      </c>
      <c r="C2263" s="423" t="s">
        <v>330</v>
      </c>
      <c r="D2263" s="521" t="s">
        <v>806</v>
      </c>
      <c r="E2263" s="522">
        <v>201602</v>
      </c>
      <c r="F2263" s="523">
        <v>102928.9</v>
      </c>
      <c r="G2263" s="521">
        <v>2</v>
      </c>
      <c r="H2263" s="524">
        <v>1.3083000000000001E-3</v>
      </c>
      <c r="I2263" s="523">
        <v>269.32</v>
      </c>
      <c r="J2263" s="523">
        <v>1615.94</v>
      </c>
    </row>
    <row r="2264" spans="1:10" s="559" customFormat="1">
      <c r="A2264" s="521" t="s">
        <v>318</v>
      </c>
      <c r="B2264" s="522" t="s">
        <v>598</v>
      </c>
      <c r="C2264" s="423" t="s">
        <v>330</v>
      </c>
      <c r="D2264" s="521" t="s">
        <v>599</v>
      </c>
      <c r="E2264" s="522">
        <v>201602</v>
      </c>
      <c r="F2264" s="523">
        <v>-23.68</v>
      </c>
      <c r="G2264" s="521">
        <v>2</v>
      </c>
      <c r="H2264" s="524">
        <v>1.3083000000000001E-3</v>
      </c>
      <c r="I2264" s="523">
        <v>-0.06</v>
      </c>
      <c r="J2264" s="523">
        <v>-0.37</v>
      </c>
    </row>
    <row r="2265" spans="1:10" s="559" customFormat="1">
      <c r="A2265" s="521" t="s">
        <v>318</v>
      </c>
      <c r="B2265" s="522" t="s">
        <v>600</v>
      </c>
      <c r="C2265" s="423" t="s">
        <v>330</v>
      </c>
      <c r="D2265" s="521" t="s">
        <v>601</v>
      </c>
      <c r="E2265" s="522">
        <v>201602</v>
      </c>
      <c r="F2265" s="523">
        <v>0.21</v>
      </c>
      <c r="G2265" s="521">
        <v>2</v>
      </c>
      <c r="H2265" s="524">
        <v>1.3083000000000001E-3</v>
      </c>
      <c r="I2265" s="523">
        <v>0</v>
      </c>
      <c r="J2265" s="523">
        <v>0</v>
      </c>
    </row>
    <row r="2266" spans="1:10" s="559" customFormat="1">
      <c r="A2266" s="521" t="s">
        <v>318</v>
      </c>
      <c r="B2266" s="522" t="s">
        <v>554</v>
      </c>
      <c r="C2266" s="423" t="s">
        <v>330</v>
      </c>
      <c r="D2266" s="521" t="s">
        <v>555</v>
      </c>
      <c r="E2266" s="522">
        <v>201602</v>
      </c>
      <c r="F2266" s="523">
        <v>0.02</v>
      </c>
      <c r="G2266" s="521">
        <v>2</v>
      </c>
      <c r="H2266" s="524">
        <v>1.3083000000000001E-3</v>
      </c>
      <c r="I2266" s="523">
        <v>0</v>
      </c>
      <c r="J2266" s="523">
        <v>0</v>
      </c>
    </row>
    <row r="2267" spans="1:10" s="559" customFormat="1">
      <c r="A2267" s="521" t="s">
        <v>318</v>
      </c>
      <c r="B2267" s="522" t="s">
        <v>556</v>
      </c>
      <c r="C2267" s="423" t="s">
        <v>330</v>
      </c>
      <c r="D2267" s="521" t="s">
        <v>557</v>
      </c>
      <c r="E2267" s="522">
        <v>201602</v>
      </c>
      <c r="F2267" s="523">
        <v>9.93</v>
      </c>
      <c r="G2267" s="521">
        <v>2</v>
      </c>
      <c r="H2267" s="524">
        <v>1.3083000000000001E-3</v>
      </c>
      <c r="I2267" s="523">
        <v>0.03</v>
      </c>
      <c r="J2267" s="523">
        <v>0.16</v>
      </c>
    </row>
    <row r="2268" spans="1:10" s="559" customFormat="1">
      <c r="A2268" s="521" t="s">
        <v>318</v>
      </c>
      <c r="B2268" s="522" t="s">
        <v>560</v>
      </c>
      <c r="C2268" s="423" t="s">
        <v>330</v>
      </c>
      <c r="D2268" s="521" t="s">
        <v>561</v>
      </c>
      <c r="E2268" s="522">
        <v>201602</v>
      </c>
      <c r="F2268" s="523">
        <v>-0.08</v>
      </c>
      <c r="G2268" s="521">
        <v>2</v>
      </c>
      <c r="H2268" s="524">
        <v>1.3083000000000001E-3</v>
      </c>
      <c r="I2268" s="523">
        <v>0</v>
      </c>
      <c r="J2268" s="523">
        <v>0</v>
      </c>
    </row>
    <row r="2269" spans="1:10" s="559" customFormat="1">
      <c r="A2269" s="521" t="s">
        <v>318</v>
      </c>
      <c r="B2269" s="522" t="s">
        <v>602</v>
      </c>
      <c r="C2269" s="423" t="s">
        <v>330</v>
      </c>
      <c r="D2269" s="521" t="s">
        <v>603</v>
      </c>
      <c r="E2269" s="522">
        <v>201602</v>
      </c>
      <c r="F2269" s="523">
        <v>17.920000000000002</v>
      </c>
      <c r="G2269" s="521">
        <v>2</v>
      </c>
      <c r="H2269" s="524">
        <v>1.3083000000000001E-3</v>
      </c>
      <c r="I2269" s="523">
        <v>0.05</v>
      </c>
      <c r="J2269" s="523">
        <v>0.28000000000000003</v>
      </c>
    </row>
    <row r="2270" spans="1:10" s="559" customFormat="1">
      <c r="A2270" s="521" t="s">
        <v>318</v>
      </c>
      <c r="B2270" s="522" t="s">
        <v>788</v>
      </c>
      <c r="C2270" s="423" t="s">
        <v>330</v>
      </c>
      <c r="D2270" s="521" t="s">
        <v>789</v>
      </c>
      <c r="E2270" s="522">
        <v>201602</v>
      </c>
      <c r="F2270" s="523">
        <v>167.09</v>
      </c>
      <c r="G2270" s="521">
        <v>2</v>
      </c>
      <c r="H2270" s="524">
        <v>1.3083000000000001E-3</v>
      </c>
      <c r="I2270" s="523">
        <v>0.44</v>
      </c>
      <c r="J2270" s="523">
        <v>2.62</v>
      </c>
    </row>
    <row r="2271" spans="1:10" s="559" customFormat="1">
      <c r="A2271" s="521" t="s">
        <v>318</v>
      </c>
      <c r="B2271" s="522" t="s">
        <v>564</v>
      </c>
      <c r="C2271" s="423" t="s">
        <v>330</v>
      </c>
      <c r="D2271" s="521" t="s">
        <v>669</v>
      </c>
      <c r="E2271" s="522">
        <v>201602</v>
      </c>
      <c r="F2271" s="523">
        <v>-0.06</v>
      </c>
      <c r="G2271" s="521">
        <v>2</v>
      </c>
      <c r="H2271" s="524">
        <v>1.3083000000000001E-3</v>
      </c>
      <c r="I2271" s="523">
        <v>0</v>
      </c>
      <c r="J2271" s="523">
        <v>0</v>
      </c>
    </row>
    <row r="2272" spans="1:10" s="559" customFormat="1">
      <c r="A2272" s="521" t="s">
        <v>318</v>
      </c>
      <c r="B2272" s="522" t="s">
        <v>670</v>
      </c>
      <c r="C2272" s="423" t="s">
        <v>330</v>
      </c>
      <c r="D2272" s="521" t="s">
        <v>671</v>
      </c>
      <c r="E2272" s="522">
        <v>201602</v>
      </c>
      <c r="F2272" s="523">
        <v>1014.63</v>
      </c>
      <c r="G2272" s="521">
        <v>2</v>
      </c>
      <c r="H2272" s="524">
        <v>1.3083000000000001E-3</v>
      </c>
      <c r="I2272" s="523">
        <v>2.65</v>
      </c>
      <c r="J2272" s="523">
        <v>15.93</v>
      </c>
    </row>
    <row r="2273" spans="1:10" s="559" customFormat="1">
      <c r="A2273" s="521" t="s">
        <v>318</v>
      </c>
      <c r="B2273" s="522" t="s">
        <v>604</v>
      </c>
      <c r="C2273" s="423" t="s">
        <v>330</v>
      </c>
      <c r="D2273" s="521" t="s">
        <v>605</v>
      </c>
      <c r="E2273" s="522">
        <v>201602</v>
      </c>
      <c r="F2273" s="523">
        <v>25681.53</v>
      </c>
      <c r="G2273" s="521">
        <v>2</v>
      </c>
      <c r="H2273" s="524">
        <v>1.3083000000000001E-3</v>
      </c>
      <c r="I2273" s="523">
        <v>67.2</v>
      </c>
      <c r="J2273" s="523">
        <v>403.19</v>
      </c>
    </row>
    <row r="2274" spans="1:10" s="559" customFormat="1">
      <c r="A2274" s="521" t="s">
        <v>318</v>
      </c>
      <c r="B2274" s="522" t="s">
        <v>606</v>
      </c>
      <c r="C2274" s="423" t="s">
        <v>330</v>
      </c>
      <c r="D2274" s="521" t="s">
        <v>607</v>
      </c>
      <c r="E2274" s="522">
        <v>201602</v>
      </c>
      <c r="F2274" s="523">
        <v>0.65</v>
      </c>
      <c r="G2274" s="521">
        <v>2</v>
      </c>
      <c r="H2274" s="524">
        <v>1.3083000000000001E-3</v>
      </c>
      <c r="I2274" s="523">
        <v>0</v>
      </c>
      <c r="J2274" s="523">
        <v>0.01</v>
      </c>
    </row>
    <row r="2275" spans="1:10" s="559" customFormat="1">
      <c r="A2275" s="521" t="s">
        <v>318</v>
      </c>
      <c r="B2275" s="522" t="s">
        <v>608</v>
      </c>
      <c r="C2275" s="423" t="s">
        <v>330</v>
      </c>
      <c r="D2275" s="521" t="s">
        <v>609</v>
      </c>
      <c r="E2275" s="522">
        <v>201602</v>
      </c>
      <c r="F2275" s="523">
        <v>8.5</v>
      </c>
      <c r="G2275" s="521">
        <v>2</v>
      </c>
      <c r="H2275" s="524">
        <v>1.3083000000000001E-3</v>
      </c>
      <c r="I2275" s="523">
        <v>0.02</v>
      </c>
      <c r="J2275" s="523">
        <v>0.13</v>
      </c>
    </row>
    <row r="2276" spans="1:10" s="559" customFormat="1">
      <c r="A2276" s="521" t="s">
        <v>318</v>
      </c>
      <c r="B2276" s="522" t="s">
        <v>610</v>
      </c>
      <c r="C2276" s="423" t="s">
        <v>330</v>
      </c>
      <c r="D2276" s="521" t="s">
        <v>611</v>
      </c>
      <c r="E2276" s="522">
        <v>201602</v>
      </c>
      <c r="F2276" s="523">
        <v>0.27</v>
      </c>
      <c r="G2276" s="521">
        <v>2</v>
      </c>
      <c r="H2276" s="524">
        <v>1.3083000000000001E-3</v>
      </c>
      <c r="I2276" s="523">
        <v>0</v>
      </c>
      <c r="J2276" s="523">
        <v>0</v>
      </c>
    </row>
    <row r="2277" spans="1:10" s="559" customFormat="1">
      <c r="A2277" s="521" t="s">
        <v>318</v>
      </c>
      <c r="B2277" s="522" t="s">
        <v>814</v>
      </c>
      <c r="C2277" s="423" t="s">
        <v>330</v>
      </c>
      <c r="D2277" s="521" t="s">
        <v>815</v>
      </c>
      <c r="E2277" s="522">
        <v>201602</v>
      </c>
      <c r="F2277" s="523">
        <v>186038.23</v>
      </c>
      <c r="G2277" s="521">
        <v>2</v>
      </c>
      <c r="H2277" s="524">
        <v>1.3083000000000001E-3</v>
      </c>
      <c r="I2277" s="523">
        <v>486.79</v>
      </c>
      <c r="J2277" s="523">
        <v>2920.73</v>
      </c>
    </row>
    <row r="2278" spans="1:10" s="559" customFormat="1">
      <c r="A2278" s="521" t="s">
        <v>318</v>
      </c>
      <c r="B2278" s="522" t="s">
        <v>790</v>
      </c>
      <c r="C2278" s="423" t="s">
        <v>330</v>
      </c>
      <c r="D2278" s="521" t="s">
        <v>791</v>
      </c>
      <c r="E2278" s="522">
        <v>201602</v>
      </c>
      <c r="F2278" s="523">
        <v>3123.49</v>
      </c>
      <c r="G2278" s="521">
        <v>2</v>
      </c>
      <c r="H2278" s="524">
        <v>1.3083000000000001E-3</v>
      </c>
      <c r="I2278" s="523">
        <v>8.17</v>
      </c>
      <c r="J2278" s="523">
        <v>49.04</v>
      </c>
    </row>
    <row r="2279" spans="1:10" s="559" customFormat="1">
      <c r="A2279" s="521" t="s">
        <v>318</v>
      </c>
      <c r="B2279" s="522" t="s">
        <v>680</v>
      </c>
      <c r="C2279" s="423" t="s">
        <v>330</v>
      </c>
      <c r="D2279" s="521" t="s">
        <v>681</v>
      </c>
      <c r="E2279" s="522">
        <v>201602</v>
      </c>
      <c r="F2279" s="523">
        <v>61.73</v>
      </c>
      <c r="G2279" s="521">
        <v>2</v>
      </c>
      <c r="H2279" s="524">
        <v>1.3083000000000001E-3</v>
      </c>
      <c r="I2279" s="523">
        <v>0.16</v>
      </c>
      <c r="J2279" s="523">
        <v>0.97</v>
      </c>
    </row>
    <row r="2280" spans="1:10" s="559" customFormat="1">
      <c r="A2280" s="521" t="s">
        <v>318</v>
      </c>
      <c r="B2280" s="522" t="s">
        <v>623</v>
      </c>
      <c r="C2280" s="423" t="s">
        <v>331</v>
      </c>
      <c r="D2280" s="521" t="s">
        <v>624</v>
      </c>
      <c r="E2280" s="522">
        <v>201602</v>
      </c>
      <c r="F2280" s="523">
        <v>22752.84</v>
      </c>
      <c r="G2280" s="521">
        <v>2</v>
      </c>
      <c r="H2280" s="524">
        <v>1.3083000000000001E-3</v>
      </c>
      <c r="I2280" s="523">
        <v>59.54</v>
      </c>
      <c r="J2280" s="523">
        <v>357.21</v>
      </c>
    </row>
    <row r="2281" spans="1:10" s="559" customFormat="1">
      <c r="A2281" s="521" t="s">
        <v>318</v>
      </c>
      <c r="B2281" s="522" t="s">
        <v>612</v>
      </c>
      <c r="C2281" s="423" t="s">
        <v>330</v>
      </c>
      <c r="D2281" s="521" t="s">
        <v>613</v>
      </c>
      <c r="E2281" s="522">
        <v>201602</v>
      </c>
      <c r="F2281" s="523">
        <v>222.95</v>
      </c>
      <c r="G2281" s="521">
        <v>2</v>
      </c>
      <c r="H2281" s="524">
        <v>1.3083000000000001E-3</v>
      </c>
      <c r="I2281" s="523">
        <v>0.57999999999999996</v>
      </c>
      <c r="J2281" s="523">
        <v>3.5</v>
      </c>
    </row>
    <row r="2282" spans="1:10" s="559" customFormat="1">
      <c r="A2282" s="521" t="s">
        <v>318</v>
      </c>
      <c r="B2282" s="522" t="s">
        <v>684</v>
      </c>
      <c r="C2282" s="423" t="s">
        <v>330</v>
      </c>
      <c r="D2282" s="521" t="s">
        <v>685</v>
      </c>
      <c r="E2282" s="522">
        <v>201602</v>
      </c>
      <c r="F2282" s="523">
        <v>-2.74</v>
      </c>
      <c r="G2282" s="521">
        <v>2</v>
      </c>
      <c r="H2282" s="524">
        <v>1.3083000000000001E-3</v>
      </c>
      <c r="I2282" s="523">
        <v>-0.01</v>
      </c>
      <c r="J2282" s="523">
        <v>-0.04</v>
      </c>
    </row>
    <row r="2283" spans="1:10" s="559" customFormat="1">
      <c r="A2283" s="521" t="s">
        <v>318</v>
      </c>
      <c r="B2283" s="522" t="s">
        <v>710</v>
      </c>
      <c r="C2283" s="423" t="s">
        <v>439</v>
      </c>
      <c r="D2283" s="521" t="s">
        <v>711</v>
      </c>
      <c r="E2283" s="522">
        <v>201602</v>
      </c>
      <c r="F2283" s="523">
        <v>447.73</v>
      </c>
      <c r="G2283" s="521">
        <v>2</v>
      </c>
      <c r="H2283" s="524">
        <v>1.3083000000000001E-3</v>
      </c>
      <c r="I2283" s="523">
        <v>1.17</v>
      </c>
      <c r="J2283" s="523">
        <v>7.03</v>
      </c>
    </row>
    <row r="2284" spans="1:10" s="559" customFormat="1">
      <c r="A2284" s="521" t="s">
        <v>318</v>
      </c>
      <c r="B2284" s="522" t="s">
        <v>712</v>
      </c>
      <c r="C2284" s="423" t="s">
        <v>331</v>
      </c>
      <c r="D2284" s="521" t="s">
        <v>713</v>
      </c>
      <c r="E2284" s="522">
        <v>201602</v>
      </c>
      <c r="F2284" s="523">
        <v>161.93</v>
      </c>
      <c r="G2284" s="521">
        <v>2</v>
      </c>
      <c r="H2284" s="524">
        <v>1.3083000000000001E-3</v>
      </c>
      <c r="I2284" s="523">
        <v>0.42</v>
      </c>
      <c r="J2284" s="523">
        <v>2.54</v>
      </c>
    </row>
    <row r="2285" spans="1:10" s="559" customFormat="1">
      <c r="A2285" s="521" t="s">
        <v>318</v>
      </c>
      <c r="B2285" s="522" t="s">
        <v>822</v>
      </c>
      <c r="C2285" s="423" t="s">
        <v>330</v>
      </c>
      <c r="D2285" s="521" t="s">
        <v>823</v>
      </c>
      <c r="E2285" s="522">
        <v>201602</v>
      </c>
      <c r="F2285" s="523">
        <v>168988.64</v>
      </c>
      <c r="G2285" s="521">
        <v>2</v>
      </c>
      <c r="H2285" s="524">
        <v>1.3083000000000001E-3</v>
      </c>
      <c r="I2285" s="523">
        <v>442.18</v>
      </c>
      <c r="J2285" s="523">
        <v>2653.05</v>
      </c>
    </row>
    <row r="2286" spans="1:10" s="559" customFormat="1">
      <c r="A2286" s="521" t="s">
        <v>318</v>
      </c>
      <c r="B2286" s="522" t="s">
        <v>690</v>
      </c>
      <c r="C2286" s="423" t="s">
        <v>330</v>
      </c>
      <c r="D2286" s="521" t="s">
        <v>691</v>
      </c>
      <c r="E2286" s="522">
        <v>201602</v>
      </c>
      <c r="F2286" s="523">
        <v>18555.23</v>
      </c>
      <c r="G2286" s="521">
        <v>2</v>
      </c>
      <c r="H2286" s="524">
        <v>1.3083000000000001E-3</v>
      </c>
      <c r="I2286" s="523">
        <v>48.55</v>
      </c>
      <c r="J2286" s="523">
        <v>291.31</v>
      </c>
    </row>
    <row r="2287" spans="1:10" s="559" customFormat="1">
      <c r="A2287" s="521" t="s">
        <v>318</v>
      </c>
      <c r="B2287" s="522" t="s">
        <v>625</v>
      </c>
      <c r="C2287" s="423" t="s">
        <v>331</v>
      </c>
      <c r="D2287" s="521" t="s">
        <v>626</v>
      </c>
      <c r="E2287" s="522">
        <v>201602</v>
      </c>
      <c r="F2287" s="523">
        <v>7.0000000000000007E-2</v>
      </c>
      <c r="G2287" s="521">
        <v>2</v>
      </c>
      <c r="H2287" s="524">
        <v>1.3083000000000001E-3</v>
      </c>
      <c r="I2287" s="523">
        <v>0</v>
      </c>
      <c r="J2287" s="523">
        <v>0</v>
      </c>
    </row>
    <row r="2288" spans="1:10" s="559" customFormat="1">
      <c r="A2288" s="521" t="s">
        <v>318</v>
      </c>
      <c r="B2288" s="522" t="s">
        <v>692</v>
      </c>
      <c r="C2288" s="423" t="s">
        <v>330</v>
      </c>
      <c r="D2288" s="521" t="s">
        <v>693</v>
      </c>
      <c r="E2288" s="522">
        <v>201602</v>
      </c>
      <c r="F2288" s="523">
        <v>21.07</v>
      </c>
      <c r="G2288" s="521">
        <v>2</v>
      </c>
      <c r="H2288" s="524">
        <v>1.3083000000000001E-3</v>
      </c>
      <c r="I2288" s="523">
        <v>0.06</v>
      </c>
      <c r="J2288" s="523">
        <v>0.33</v>
      </c>
    </row>
    <row r="2289" spans="1:10" s="559" customFormat="1">
      <c r="A2289" s="521" t="s">
        <v>318</v>
      </c>
      <c r="B2289" s="522" t="s">
        <v>694</v>
      </c>
      <c r="C2289" s="423" t="s">
        <v>330</v>
      </c>
      <c r="D2289" s="521" t="s">
        <v>695</v>
      </c>
      <c r="E2289" s="522">
        <v>201602</v>
      </c>
      <c r="F2289" s="523">
        <v>0.36</v>
      </c>
      <c r="G2289" s="521">
        <v>2</v>
      </c>
      <c r="H2289" s="524">
        <v>1.3083000000000001E-3</v>
      </c>
      <c r="I2289" s="523">
        <v>0</v>
      </c>
      <c r="J2289" s="523">
        <v>0.01</v>
      </c>
    </row>
    <row r="2290" spans="1:10" s="559" customFormat="1">
      <c r="A2290" s="521" t="s">
        <v>318</v>
      </c>
      <c r="B2290" s="522" t="s">
        <v>696</v>
      </c>
      <c r="C2290" s="423" t="s">
        <v>330</v>
      </c>
      <c r="D2290" s="521" t="s">
        <v>697</v>
      </c>
      <c r="E2290" s="522">
        <v>201602</v>
      </c>
      <c r="F2290" s="523">
        <v>-0.61</v>
      </c>
      <c r="G2290" s="521">
        <v>2</v>
      </c>
      <c r="H2290" s="524">
        <v>1.3083000000000001E-3</v>
      </c>
      <c r="I2290" s="523">
        <v>0</v>
      </c>
      <c r="J2290" s="523">
        <v>-0.01</v>
      </c>
    </row>
    <row r="2291" spans="1:10" s="559" customFormat="1">
      <c r="A2291" s="521" t="s">
        <v>318</v>
      </c>
      <c r="B2291" s="522" t="s">
        <v>700</v>
      </c>
      <c r="C2291" s="423" t="s">
        <v>330</v>
      </c>
      <c r="D2291" s="521" t="s">
        <v>701</v>
      </c>
      <c r="E2291" s="522">
        <v>201602</v>
      </c>
      <c r="F2291" s="523">
        <v>-638.19000000000005</v>
      </c>
      <c r="G2291" s="521">
        <v>2</v>
      </c>
      <c r="H2291" s="524">
        <v>1.3083000000000001E-3</v>
      </c>
      <c r="I2291" s="523">
        <v>-1.67</v>
      </c>
      <c r="J2291" s="523">
        <v>-10.02</v>
      </c>
    </row>
    <row r="2292" spans="1:10" s="559" customFormat="1">
      <c r="A2292" s="521" t="s">
        <v>318</v>
      </c>
      <c r="B2292" s="522" t="s">
        <v>794</v>
      </c>
      <c r="C2292" s="423" t="s">
        <v>439</v>
      </c>
      <c r="D2292" s="521" t="s">
        <v>795</v>
      </c>
      <c r="E2292" s="522">
        <v>201602</v>
      </c>
      <c r="F2292" s="523">
        <v>2759.55</v>
      </c>
      <c r="G2292" s="521">
        <v>2</v>
      </c>
      <c r="H2292" s="524">
        <v>1.3083000000000001E-3</v>
      </c>
      <c r="I2292" s="523">
        <v>7.22</v>
      </c>
      <c r="J2292" s="523">
        <v>43.32</v>
      </c>
    </row>
    <row r="2293" spans="1:10" s="559" customFormat="1">
      <c r="A2293" s="521" t="s">
        <v>318</v>
      </c>
      <c r="B2293" s="522" t="s">
        <v>702</v>
      </c>
      <c r="C2293" s="423" t="s">
        <v>330</v>
      </c>
      <c r="D2293" s="521" t="s">
        <v>703</v>
      </c>
      <c r="E2293" s="522">
        <v>201602</v>
      </c>
      <c r="F2293" s="523">
        <v>0.55000000000000004</v>
      </c>
      <c r="G2293" s="521">
        <v>2</v>
      </c>
      <c r="H2293" s="524">
        <v>1.3083000000000001E-3</v>
      </c>
      <c r="I2293" s="523">
        <v>0</v>
      </c>
      <c r="J2293" s="523">
        <v>0.01</v>
      </c>
    </row>
    <row r="2294" spans="1:10" s="559" customFormat="1">
      <c r="A2294" s="521" t="s">
        <v>318</v>
      </c>
      <c r="B2294" s="522" t="s">
        <v>826</v>
      </c>
      <c r="C2294" s="423" t="s">
        <v>330</v>
      </c>
      <c r="D2294" s="521" t="s">
        <v>827</v>
      </c>
      <c r="E2294" s="522">
        <v>201602</v>
      </c>
      <c r="F2294" s="523">
        <v>66960.83</v>
      </c>
      <c r="G2294" s="521">
        <v>2</v>
      </c>
      <c r="H2294" s="524">
        <v>1.3083000000000001E-3</v>
      </c>
      <c r="I2294" s="523">
        <v>175.21</v>
      </c>
      <c r="J2294" s="523">
        <v>1051.26</v>
      </c>
    </row>
    <row r="2295" spans="1:10" s="559" customFormat="1">
      <c r="A2295" s="521" t="s">
        <v>318</v>
      </c>
      <c r="B2295" s="522" t="s">
        <v>627</v>
      </c>
      <c r="C2295" s="423" t="s">
        <v>330</v>
      </c>
      <c r="D2295" s="521" t="s">
        <v>628</v>
      </c>
      <c r="E2295" s="522">
        <v>201603</v>
      </c>
      <c r="F2295" s="523">
        <v>-251.01</v>
      </c>
      <c r="G2295" s="521">
        <v>13.5</v>
      </c>
      <c r="H2295" s="524">
        <v>1.3083000000000001E-3</v>
      </c>
      <c r="I2295" s="523">
        <v>-4.43</v>
      </c>
      <c r="J2295" s="523">
        <v>-3.94</v>
      </c>
    </row>
    <row r="2296" spans="1:10" s="559" customFormat="1">
      <c r="A2296" s="521" t="s">
        <v>318</v>
      </c>
      <c r="B2296" s="522" t="s">
        <v>706</v>
      </c>
      <c r="C2296" s="423" t="s">
        <v>343</v>
      </c>
      <c r="D2296" s="521" t="s">
        <v>707</v>
      </c>
      <c r="E2296" s="522">
        <v>201603</v>
      </c>
      <c r="F2296" s="523">
        <v>148.63</v>
      </c>
      <c r="G2296" s="521">
        <v>13.5</v>
      </c>
      <c r="H2296" s="524">
        <v>1.3083000000000001E-3</v>
      </c>
      <c r="I2296" s="523">
        <v>2.63</v>
      </c>
      <c r="J2296" s="523">
        <v>2.33</v>
      </c>
    </row>
    <row r="2297" spans="1:10" s="559" customFormat="1">
      <c r="A2297" s="521" t="s">
        <v>318</v>
      </c>
      <c r="B2297" s="522" t="s">
        <v>546</v>
      </c>
      <c r="C2297" s="423" t="s">
        <v>330</v>
      </c>
      <c r="D2297" s="521" t="s">
        <v>547</v>
      </c>
      <c r="E2297" s="522">
        <v>201603</v>
      </c>
      <c r="F2297" s="523">
        <v>0.02</v>
      </c>
      <c r="G2297" s="521">
        <v>13.5</v>
      </c>
      <c r="H2297" s="524">
        <v>1.3083000000000001E-3</v>
      </c>
      <c r="I2297" s="523">
        <v>0</v>
      </c>
      <c r="J2297" s="523">
        <v>0</v>
      </c>
    </row>
    <row r="2298" spans="1:10" s="559" customFormat="1">
      <c r="A2298" s="521" t="s">
        <v>318</v>
      </c>
      <c r="B2298" s="522" t="s">
        <v>643</v>
      </c>
      <c r="C2298" s="423" t="s">
        <v>330</v>
      </c>
      <c r="D2298" s="521" t="s">
        <v>644</v>
      </c>
      <c r="E2298" s="522">
        <v>201603</v>
      </c>
      <c r="F2298" s="523">
        <v>865.29</v>
      </c>
      <c r="G2298" s="521">
        <v>13.5</v>
      </c>
      <c r="H2298" s="524">
        <v>1.3083000000000001E-3</v>
      </c>
      <c r="I2298" s="523">
        <v>15.28</v>
      </c>
      <c r="J2298" s="523">
        <v>13.58</v>
      </c>
    </row>
    <row r="2299" spans="1:10" s="559" customFormat="1">
      <c r="A2299" s="521" t="s">
        <v>318</v>
      </c>
      <c r="B2299" s="522" t="s">
        <v>708</v>
      </c>
      <c r="C2299" s="423" t="s">
        <v>331</v>
      </c>
      <c r="D2299" s="521" t="s">
        <v>709</v>
      </c>
      <c r="E2299" s="522">
        <v>201603</v>
      </c>
      <c r="F2299" s="523">
        <v>-646.29</v>
      </c>
      <c r="G2299" s="521">
        <v>13.5</v>
      </c>
      <c r="H2299" s="524">
        <v>1.3083000000000001E-3</v>
      </c>
      <c r="I2299" s="523">
        <v>-11.41</v>
      </c>
      <c r="J2299" s="523">
        <v>-10.15</v>
      </c>
    </row>
    <row r="2300" spans="1:10" s="559" customFormat="1">
      <c r="A2300" s="521" t="s">
        <v>318</v>
      </c>
      <c r="B2300" s="522" t="s">
        <v>451</v>
      </c>
      <c r="C2300" s="423" t="s">
        <v>330</v>
      </c>
      <c r="D2300" s="521" t="s">
        <v>452</v>
      </c>
      <c r="E2300" s="522">
        <v>201603</v>
      </c>
      <c r="F2300" s="523">
        <v>0.01</v>
      </c>
      <c r="G2300" s="521">
        <v>13.5</v>
      </c>
      <c r="H2300" s="524">
        <v>1.3083000000000001E-3</v>
      </c>
      <c r="I2300" s="523">
        <v>0</v>
      </c>
      <c r="J2300" s="523">
        <v>0</v>
      </c>
    </row>
    <row r="2301" spans="1:10" s="559" customFormat="1">
      <c r="A2301" s="521" t="s">
        <v>318</v>
      </c>
      <c r="B2301" s="522" t="s">
        <v>655</v>
      </c>
      <c r="C2301" s="423" t="s">
        <v>330</v>
      </c>
      <c r="D2301" s="521" t="s">
        <v>656</v>
      </c>
      <c r="E2301" s="522">
        <v>201603</v>
      </c>
      <c r="F2301" s="523">
        <v>-3.32</v>
      </c>
      <c r="G2301" s="521">
        <v>13.5</v>
      </c>
      <c r="H2301" s="524">
        <v>1.3083000000000001E-3</v>
      </c>
      <c r="I2301" s="523">
        <v>-0.06</v>
      </c>
      <c r="J2301" s="523">
        <v>-0.05</v>
      </c>
    </row>
    <row r="2302" spans="1:10" s="559" customFormat="1">
      <c r="A2302" s="521" t="s">
        <v>318</v>
      </c>
      <c r="B2302" s="522" t="s">
        <v>594</v>
      </c>
      <c r="C2302" s="423" t="s">
        <v>330</v>
      </c>
      <c r="D2302" s="521" t="s">
        <v>595</v>
      </c>
      <c r="E2302" s="522">
        <v>201603</v>
      </c>
      <c r="F2302" s="523">
        <v>-0.11</v>
      </c>
      <c r="G2302" s="521">
        <v>13.5</v>
      </c>
      <c r="H2302" s="524">
        <v>1.3083000000000001E-3</v>
      </c>
      <c r="I2302" s="523">
        <v>0</v>
      </c>
      <c r="J2302" s="523">
        <v>0</v>
      </c>
    </row>
    <row r="2303" spans="1:10" s="559" customFormat="1">
      <c r="A2303" s="521" t="s">
        <v>318</v>
      </c>
      <c r="B2303" s="522" t="s">
        <v>596</v>
      </c>
      <c r="C2303" s="423" t="s">
        <v>330</v>
      </c>
      <c r="D2303" s="521" t="s">
        <v>597</v>
      </c>
      <c r="E2303" s="522">
        <v>201603</v>
      </c>
      <c r="F2303" s="523">
        <v>-0.24</v>
      </c>
      <c r="G2303" s="521">
        <v>13.5</v>
      </c>
      <c r="H2303" s="524">
        <v>1.3083000000000001E-3</v>
      </c>
      <c r="I2303" s="523">
        <v>0</v>
      </c>
      <c r="J2303" s="523">
        <v>0</v>
      </c>
    </row>
    <row r="2304" spans="1:10" s="559" customFormat="1">
      <c r="A2304" s="521" t="s">
        <v>318</v>
      </c>
      <c r="B2304" s="522" t="s">
        <v>659</v>
      </c>
      <c r="C2304" s="423" t="s">
        <v>330</v>
      </c>
      <c r="D2304" s="521" t="s">
        <v>660</v>
      </c>
      <c r="E2304" s="522">
        <v>201603</v>
      </c>
      <c r="F2304" s="523">
        <v>273.26</v>
      </c>
      <c r="G2304" s="521">
        <v>13.5</v>
      </c>
      <c r="H2304" s="524">
        <v>1.3083000000000001E-3</v>
      </c>
      <c r="I2304" s="523">
        <v>4.83</v>
      </c>
      <c r="J2304" s="523">
        <v>4.29</v>
      </c>
    </row>
    <row r="2305" spans="1:10" s="559" customFormat="1">
      <c r="A2305" s="521" t="s">
        <v>318</v>
      </c>
      <c r="B2305" s="522" t="s">
        <v>665</v>
      </c>
      <c r="C2305" s="423" t="s">
        <v>330</v>
      </c>
      <c r="D2305" s="521" t="s">
        <v>666</v>
      </c>
      <c r="E2305" s="522">
        <v>201603</v>
      </c>
      <c r="F2305" s="523">
        <v>44.85</v>
      </c>
      <c r="G2305" s="521">
        <v>13.5</v>
      </c>
      <c r="H2305" s="524">
        <v>1.3083000000000001E-3</v>
      </c>
      <c r="I2305" s="523">
        <v>0.79</v>
      </c>
      <c r="J2305" s="523">
        <v>0.7</v>
      </c>
    </row>
    <row r="2306" spans="1:10" s="559" customFormat="1">
      <c r="A2306" s="521" t="s">
        <v>318</v>
      </c>
      <c r="B2306" s="522" t="s">
        <v>803</v>
      </c>
      <c r="C2306" s="423" t="s">
        <v>330</v>
      </c>
      <c r="D2306" s="521" t="s">
        <v>804</v>
      </c>
      <c r="E2306" s="522">
        <v>201603</v>
      </c>
      <c r="F2306" s="523">
        <v>40.69</v>
      </c>
      <c r="G2306" s="521">
        <v>13.5</v>
      </c>
      <c r="H2306" s="524">
        <v>1.3083000000000001E-3</v>
      </c>
      <c r="I2306" s="523">
        <v>0.72</v>
      </c>
      <c r="J2306" s="523">
        <v>0.64</v>
      </c>
    </row>
    <row r="2307" spans="1:10" s="559" customFormat="1">
      <c r="A2307" s="521" t="s">
        <v>318</v>
      </c>
      <c r="B2307" s="522" t="s">
        <v>805</v>
      </c>
      <c r="C2307" s="423" t="s">
        <v>330</v>
      </c>
      <c r="D2307" s="521" t="s">
        <v>806</v>
      </c>
      <c r="E2307" s="522">
        <v>201603</v>
      </c>
      <c r="F2307" s="523">
        <v>4905.01</v>
      </c>
      <c r="G2307" s="521">
        <v>13.5</v>
      </c>
      <c r="H2307" s="524">
        <v>1.3083000000000001E-3</v>
      </c>
      <c r="I2307" s="523">
        <v>86.63</v>
      </c>
      <c r="J2307" s="523">
        <v>77.010000000000005</v>
      </c>
    </row>
    <row r="2308" spans="1:10" s="559" customFormat="1">
      <c r="A2308" s="521" t="s">
        <v>318</v>
      </c>
      <c r="B2308" s="522" t="s">
        <v>598</v>
      </c>
      <c r="C2308" s="423" t="s">
        <v>330</v>
      </c>
      <c r="D2308" s="521" t="s">
        <v>599</v>
      </c>
      <c r="E2308" s="522">
        <v>201603</v>
      </c>
      <c r="F2308" s="523">
        <v>0.05</v>
      </c>
      <c r="G2308" s="521">
        <v>13.5</v>
      </c>
      <c r="H2308" s="524">
        <v>1.3083000000000001E-3</v>
      </c>
      <c r="I2308" s="523">
        <v>0</v>
      </c>
      <c r="J2308" s="523">
        <v>0</v>
      </c>
    </row>
    <row r="2309" spans="1:10" s="559" customFormat="1">
      <c r="A2309" s="521" t="s">
        <v>318</v>
      </c>
      <c r="B2309" s="522" t="s">
        <v>600</v>
      </c>
      <c r="C2309" s="423" t="s">
        <v>330</v>
      </c>
      <c r="D2309" s="521" t="s">
        <v>601</v>
      </c>
      <c r="E2309" s="522">
        <v>201603</v>
      </c>
      <c r="F2309" s="523">
        <v>-0.26</v>
      </c>
      <c r="G2309" s="521">
        <v>13.5</v>
      </c>
      <c r="H2309" s="524">
        <v>1.3083000000000001E-3</v>
      </c>
      <c r="I2309" s="523">
        <v>0</v>
      </c>
      <c r="J2309" s="523">
        <v>0</v>
      </c>
    </row>
    <row r="2310" spans="1:10" s="559" customFormat="1">
      <c r="A2310" s="521" t="s">
        <v>318</v>
      </c>
      <c r="B2310" s="522" t="s">
        <v>554</v>
      </c>
      <c r="C2310" s="423" t="s">
        <v>330</v>
      </c>
      <c r="D2310" s="521" t="s">
        <v>555</v>
      </c>
      <c r="E2310" s="522">
        <v>201603</v>
      </c>
      <c r="F2310" s="523">
        <v>-0.03</v>
      </c>
      <c r="G2310" s="521">
        <v>13.5</v>
      </c>
      <c r="H2310" s="524">
        <v>1.3083000000000001E-3</v>
      </c>
      <c r="I2310" s="523">
        <v>0</v>
      </c>
      <c r="J2310" s="523">
        <v>0</v>
      </c>
    </row>
    <row r="2311" spans="1:10" s="559" customFormat="1">
      <c r="A2311" s="521" t="s">
        <v>318</v>
      </c>
      <c r="B2311" s="522" t="s">
        <v>556</v>
      </c>
      <c r="C2311" s="423" t="s">
        <v>330</v>
      </c>
      <c r="D2311" s="521" t="s">
        <v>557</v>
      </c>
      <c r="E2311" s="522">
        <v>201603</v>
      </c>
      <c r="F2311" s="523">
        <v>-7.0000000000000007E-2</v>
      </c>
      <c r="G2311" s="521">
        <v>13.5</v>
      </c>
      <c r="H2311" s="524">
        <v>1.3083000000000001E-3</v>
      </c>
      <c r="I2311" s="523">
        <v>0</v>
      </c>
      <c r="J2311" s="523">
        <v>0</v>
      </c>
    </row>
    <row r="2312" spans="1:10" s="559" customFormat="1">
      <c r="A2312" s="521" t="s">
        <v>318</v>
      </c>
      <c r="B2312" s="522" t="s">
        <v>560</v>
      </c>
      <c r="C2312" s="423" t="s">
        <v>330</v>
      </c>
      <c r="D2312" s="521" t="s">
        <v>561</v>
      </c>
      <c r="E2312" s="522">
        <v>201603</v>
      </c>
      <c r="F2312" s="523">
        <v>0.12</v>
      </c>
      <c r="G2312" s="521">
        <v>13.5</v>
      </c>
      <c r="H2312" s="524">
        <v>1.3083000000000001E-3</v>
      </c>
      <c r="I2312" s="523">
        <v>0</v>
      </c>
      <c r="J2312" s="523">
        <v>0</v>
      </c>
    </row>
    <row r="2313" spans="1:10" s="559" customFormat="1">
      <c r="A2313" s="521" t="s">
        <v>318</v>
      </c>
      <c r="B2313" s="522" t="s">
        <v>602</v>
      </c>
      <c r="C2313" s="423" t="s">
        <v>330</v>
      </c>
      <c r="D2313" s="521" t="s">
        <v>603</v>
      </c>
      <c r="E2313" s="522">
        <v>201603</v>
      </c>
      <c r="F2313" s="523">
        <v>-0.3</v>
      </c>
      <c r="G2313" s="521">
        <v>13.5</v>
      </c>
      <c r="H2313" s="524">
        <v>1.3083000000000001E-3</v>
      </c>
      <c r="I2313" s="523">
        <v>-0.01</v>
      </c>
      <c r="J2313" s="523">
        <v>0</v>
      </c>
    </row>
    <row r="2314" spans="1:10" s="559" customFormat="1">
      <c r="A2314" s="521" t="s">
        <v>318</v>
      </c>
      <c r="B2314" s="522" t="s">
        <v>788</v>
      </c>
      <c r="C2314" s="423" t="s">
        <v>330</v>
      </c>
      <c r="D2314" s="521" t="s">
        <v>789</v>
      </c>
      <c r="E2314" s="522">
        <v>201603</v>
      </c>
      <c r="F2314" s="523">
        <v>-3116.06</v>
      </c>
      <c r="G2314" s="521">
        <v>13.5</v>
      </c>
      <c r="H2314" s="524">
        <v>1.3083000000000001E-3</v>
      </c>
      <c r="I2314" s="523">
        <v>-55.04</v>
      </c>
      <c r="J2314" s="523">
        <v>-48.92</v>
      </c>
    </row>
    <row r="2315" spans="1:10" s="559" customFormat="1">
      <c r="A2315" s="521" t="s">
        <v>318</v>
      </c>
      <c r="B2315" s="522" t="s">
        <v>564</v>
      </c>
      <c r="C2315" s="423" t="s">
        <v>330</v>
      </c>
      <c r="D2315" s="521" t="s">
        <v>669</v>
      </c>
      <c r="E2315" s="522">
        <v>201603</v>
      </c>
      <c r="F2315" s="523">
        <v>7.0000000000000007E-2</v>
      </c>
      <c r="G2315" s="521">
        <v>13.5</v>
      </c>
      <c r="H2315" s="524">
        <v>1.3083000000000001E-3</v>
      </c>
      <c r="I2315" s="523">
        <v>0</v>
      </c>
      <c r="J2315" s="523">
        <v>0</v>
      </c>
    </row>
    <row r="2316" spans="1:10" s="559" customFormat="1">
      <c r="A2316" s="521" t="s">
        <v>318</v>
      </c>
      <c r="B2316" s="522" t="s">
        <v>832</v>
      </c>
      <c r="C2316" s="423" t="s">
        <v>330</v>
      </c>
      <c r="D2316" s="521" t="s">
        <v>833</v>
      </c>
      <c r="E2316" s="522">
        <v>201603</v>
      </c>
      <c r="F2316" s="523">
        <v>82447.12</v>
      </c>
      <c r="G2316" s="521">
        <v>13.5</v>
      </c>
      <c r="H2316" s="524">
        <v>1.3083000000000001E-3</v>
      </c>
      <c r="I2316" s="523">
        <v>1456.19</v>
      </c>
      <c r="J2316" s="523">
        <v>1294.3900000000001</v>
      </c>
    </row>
    <row r="2317" spans="1:10" s="559" customFormat="1">
      <c r="A2317" s="521" t="s">
        <v>318</v>
      </c>
      <c r="B2317" s="522" t="s">
        <v>670</v>
      </c>
      <c r="C2317" s="423" t="s">
        <v>330</v>
      </c>
      <c r="D2317" s="521" t="s">
        <v>671</v>
      </c>
      <c r="E2317" s="522">
        <v>201603</v>
      </c>
      <c r="F2317" s="523">
        <v>-3727.4</v>
      </c>
      <c r="G2317" s="521">
        <v>13.5</v>
      </c>
      <c r="H2317" s="524">
        <v>1.3083000000000001E-3</v>
      </c>
      <c r="I2317" s="523">
        <v>-65.83</v>
      </c>
      <c r="J2317" s="523">
        <v>-58.52</v>
      </c>
    </row>
    <row r="2318" spans="1:10" s="559" customFormat="1">
      <c r="A2318" s="521" t="s">
        <v>318</v>
      </c>
      <c r="B2318" s="522" t="s">
        <v>606</v>
      </c>
      <c r="C2318" s="423" t="s">
        <v>330</v>
      </c>
      <c r="D2318" s="521" t="s">
        <v>607</v>
      </c>
      <c r="E2318" s="522">
        <v>201603</v>
      </c>
      <c r="F2318" s="523">
        <v>-0.89</v>
      </c>
      <c r="G2318" s="521">
        <v>13.5</v>
      </c>
      <c r="H2318" s="524">
        <v>1.3083000000000001E-3</v>
      </c>
      <c r="I2318" s="523">
        <v>-0.02</v>
      </c>
      <c r="J2318" s="523">
        <v>-0.01</v>
      </c>
    </row>
    <row r="2319" spans="1:10" s="559" customFormat="1">
      <c r="A2319" s="521" t="s">
        <v>318</v>
      </c>
      <c r="B2319" s="522" t="s">
        <v>608</v>
      </c>
      <c r="C2319" s="423" t="s">
        <v>330</v>
      </c>
      <c r="D2319" s="521" t="s">
        <v>609</v>
      </c>
      <c r="E2319" s="522">
        <v>201603</v>
      </c>
      <c r="F2319" s="523">
        <v>-0.08</v>
      </c>
      <c r="G2319" s="521">
        <v>13.5</v>
      </c>
      <c r="H2319" s="524">
        <v>1.3083000000000001E-3</v>
      </c>
      <c r="I2319" s="523">
        <v>0</v>
      </c>
      <c r="J2319" s="523">
        <v>0</v>
      </c>
    </row>
    <row r="2320" spans="1:10" s="559" customFormat="1">
      <c r="A2320" s="521" t="s">
        <v>318</v>
      </c>
      <c r="B2320" s="522" t="s">
        <v>610</v>
      </c>
      <c r="C2320" s="423" t="s">
        <v>330</v>
      </c>
      <c r="D2320" s="521" t="s">
        <v>611</v>
      </c>
      <c r="E2320" s="522">
        <v>201603</v>
      </c>
      <c r="F2320" s="523">
        <v>-0.38</v>
      </c>
      <c r="G2320" s="521">
        <v>13.5</v>
      </c>
      <c r="H2320" s="524">
        <v>1.3083000000000001E-3</v>
      </c>
      <c r="I2320" s="523">
        <v>-0.01</v>
      </c>
      <c r="J2320" s="523">
        <v>-0.01</v>
      </c>
    </row>
    <row r="2321" spans="1:10" s="559" customFormat="1">
      <c r="A2321" s="521" t="s">
        <v>318</v>
      </c>
      <c r="B2321" s="522" t="s">
        <v>814</v>
      </c>
      <c r="C2321" s="423" t="s">
        <v>330</v>
      </c>
      <c r="D2321" s="521" t="s">
        <v>815</v>
      </c>
      <c r="E2321" s="522">
        <v>201603</v>
      </c>
      <c r="F2321" s="523">
        <v>-4444.8599999999997</v>
      </c>
      <c r="G2321" s="521">
        <v>13.5</v>
      </c>
      <c r="H2321" s="524">
        <v>1.3083000000000001E-3</v>
      </c>
      <c r="I2321" s="523">
        <v>-78.510000000000005</v>
      </c>
      <c r="J2321" s="523">
        <v>-69.78</v>
      </c>
    </row>
    <row r="2322" spans="1:10" s="559" customFormat="1">
      <c r="A2322" s="521" t="s">
        <v>318</v>
      </c>
      <c r="B2322" s="522" t="s">
        <v>790</v>
      </c>
      <c r="C2322" s="423" t="s">
        <v>330</v>
      </c>
      <c r="D2322" s="521" t="s">
        <v>791</v>
      </c>
      <c r="E2322" s="522">
        <v>201603</v>
      </c>
      <c r="F2322" s="523">
        <v>-828.68</v>
      </c>
      <c r="G2322" s="521">
        <v>13.5</v>
      </c>
      <c r="H2322" s="524">
        <v>1.3083000000000001E-3</v>
      </c>
      <c r="I2322" s="523">
        <v>-14.64</v>
      </c>
      <c r="J2322" s="523">
        <v>-13.01</v>
      </c>
    </row>
    <row r="2323" spans="1:10" s="559" customFormat="1">
      <c r="A2323" s="521" t="s">
        <v>318</v>
      </c>
      <c r="B2323" s="522" t="s">
        <v>723</v>
      </c>
      <c r="C2323" s="423" t="s">
        <v>331</v>
      </c>
      <c r="D2323" s="521" t="s">
        <v>724</v>
      </c>
      <c r="E2323" s="522">
        <v>201603</v>
      </c>
      <c r="F2323" s="523">
        <v>1144.42</v>
      </c>
      <c r="G2323" s="521">
        <v>13.5</v>
      </c>
      <c r="H2323" s="524">
        <v>1.3083000000000001E-3</v>
      </c>
      <c r="I2323" s="523">
        <v>20.21</v>
      </c>
      <c r="J2323" s="523">
        <v>17.97</v>
      </c>
    </row>
    <row r="2324" spans="1:10" s="559" customFormat="1">
      <c r="A2324" s="521" t="s">
        <v>318</v>
      </c>
      <c r="B2324" s="522" t="s">
        <v>680</v>
      </c>
      <c r="C2324" s="423" t="s">
        <v>330</v>
      </c>
      <c r="D2324" s="521" t="s">
        <v>681</v>
      </c>
      <c r="E2324" s="522">
        <v>201603</v>
      </c>
      <c r="F2324" s="523">
        <v>-24.75</v>
      </c>
      <c r="G2324" s="521">
        <v>13.5</v>
      </c>
      <c r="H2324" s="524">
        <v>1.3083000000000001E-3</v>
      </c>
      <c r="I2324" s="523">
        <v>-0.44</v>
      </c>
      <c r="J2324" s="523">
        <v>-0.39</v>
      </c>
    </row>
    <row r="2325" spans="1:10" s="559" customFormat="1">
      <c r="A2325" s="521" t="s">
        <v>318</v>
      </c>
      <c r="B2325" s="522" t="s">
        <v>623</v>
      </c>
      <c r="C2325" s="423" t="s">
        <v>331</v>
      </c>
      <c r="D2325" s="521" t="s">
        <v>624</v>
      </c>
      <c r="E2325" s="522">
        <v>201603</v>
      </c>
      <c r="F2325" s="523">
        <v>-6070.65</v>
      </c>
      <c r="G2325" s="521">
        <v>13.5</v>
      </c>
      <c r="H2325" s="524">
        <v>1.3083000000000001E-3</v>
      </c>
      <c r="I2325" s="523">
        <v>-107.22</v>
      </c>
      <c r="J2325" s="523">
        <v>-95.31</v>
      </c>
    </row>
    <row r="2326" spans="1:10" s="559" customFormat="1">
      <c r="A2326" s="521" t="s">
        <v>318</v>
      </c>
      <c r="B2326" s="522" t="s">
        <v>684</v>
      </c>
      <c r="C2326" s="423" t="s">
        <v>330</v>
      </c>
      <c r="D2326" s="521" t="s">
        <v>685</v>
      </c>
      <c r="E2326" s="522">
        <v>201603</v>
      </c>
      <c r="F2326" s="523">
        <v>-13.17</v>
      </c>
      <c r="G2326" s="521">
        <v>13.5</v>
      </c>
      <c r="H2326" s="524">
        <v>1.3083000000000001E-3</v>
      </c>
      <c r="I2326" s="523">
        <v>-0.23</v>
      </c>
      <c r="J2326" s="523">
        <v>-0.21</v>
      </c>
    </row>
    <row r="2327" spans="1:10" s="559" customFormat="1">
      <c r="A2327" s="521" t="s">
        <v>318</v>
      </c>
      <c r="B2327" s="522" t="s">
        <v>710</v>
      </c>
      <c r="C2327" s="423" t="s">
        <v>439</v>
      </c>
      <c r="D2327" s="521" t="s">
        <v>711</v>
      </c>
      <c r="E2327" s="522">
        <v>201603</v>
      </c>
      <c r="F2327" s="523">
        <v>-6.18</v>
      </c>
      <c r="G2327" s="521">
        <v>13.5</v>
      </c>
      <c r="H2327" s="524">
        <v>1.3083000000000001E-3</v>
      </c>
      <c r="I2327" s="523">
        <v>-0.11</v>
      </c>
      <c r="J2327" s="523">
        <v>-0.1</v>
      </c>
    </row>
    <row r="2328" spans="1:10" s="559" customFormat="1">
      <c r="A2328" s="521" t="s">
        <v>318</v>
      </c>
      <c r="B2328" s="522" t="s">
        <v>712</v>
      </c>
      <c r="C2328" s="423" t="s">
        <v>331</v>
      </c>
      <c r="D2328" s="521" t="s">
        <v>713</v>
      </c>
      <c r="E2328" s="522">
        <v>201603</v>
      </c>
      <c r="F2328" s="523">
        <v>-270.3</v>
      </c>
      <c r="G2328" s="521">
        <v>13.5</v>
      </c>
      <c r="H2328" s="524">
        <v>1.3083000000000001E-3</v>
      </c>
      <c r="I2328" s="523">
        <v>-4.7699999999999996</v>
      </c>
      <c r="J2328" s="523">
        <v>-4.24</v>
      </c>
    </row>
    <row r="2329" spans="1:10" s="559" customFormat="1">
      <c r="A2329" s="521" t="s">
        <v>318</v>
      </c>
      <c r="B2329" s="522" t="s">
        <v>822</v>
      </c>
      <c r="C2329" s="423" t="s">
        <v>330</v>
      </c>
      <c r="D2329" s="521" t="s">
        <v>823</v>
      </c>
      <c r="E2329" s="522">
        <v>201603</v>
      </c>
      <c r="F2329" s="523">
        <v>-8538.9699999999993</v>
      </c>
      <c r="G2329" s="521">
        <v>13.5</v>
      </c>
      <c r="H2329" s="524">
        <v>1.3083000000000001E-3</v>
      </c>
      <c r="I2329" s="523">
        <v>-150.82</v>
      </c>
      <c r="J2329" s="523">
        <v>-134.06</v>
      </c>
    </row>
    <row r="2330" spans="1:10" s="559" customFormat="1">
      <c r="A2330" s="521" t="s">
        <v>318</v>
      </c>
      <c r="B2330" s="522" t="s">
        <v>690</v>
      </c>
      <c r="C2330" s="423" t="s">
        <v>330</v>
      </c>
      <c r="D2330" s="521" t="s">
        <v>691</v>
      </c>
      <c r="E2330" s="522">
        <v>201603</v>
      </c>
      <c r="F2330" s="523">
        <v>-4111.1899999999996</v>
      </c>
      <c r="G2330" s="521">
        <v>13.5</v>
      </c>
      <c r="H2330" s="524">
        <v>1.3083000000000001E-3</v>
      </c>
      <c r="I2330" s="523">
        <v>-72.61</v>
      </c>
      <c r="J2330" s="523">
        <v>-64.540000000000006</v>
      </c>
    </row>
    <row r="2331" spans="1:10" s="559" customFormat="1">
      <c r="A2331" s="521" t="s">
        <v>318</v>
      </c>
      <c r="B2331" s="522" t="s">
        <v>625</v>
      </c>
      <c r="C2331" s="423" t="s">
        <v>331</v>
      </c>
      <c r="D2331" s="521" t="s">
        <v>626</v>
      </c>
      <c r="E2331" s="522">
        <v>201603</v>
      </c>
      <c r="F2331" s="523">
        <v>-0.12</v>
      </c>
      <c r="G2331" s="521">
        <v>13.5</v>
      </c>
      <c r="H2331" s="524">
        <v>1.3083000000000001E-3</v>
      </c>
      <c r="I2331" s="523">
        <v>0</v>
      </c>
      <c r="J2331" s="523">
        <v>0</v>
      </c>
    </row>
    <row r="2332" spans="1:10" s="559" customFormat="1">
      <c r="A2332" s="521" t="s">
        <v>318</v>
      </c>
      <c r="B2332" s="522" t="s">
        <v>692</v>
      </c>
      <c r="C2332" s="423" t="s">
        <v>330</v>
      </c>
      <c r="D2332" s="521" t="s">
        <v>693</v>
      </c>
      <c r="E2332" s="522">
        <v>201603</v>
      </c>
      <c r="F2332" s="523">
        <v>-89.72</v>
      </c>
      <c r="G2332" s="521">
        <v>13.5</v>
      </c>
      <c r="H2332" s="524">
        <v>1.3083000000000001E-3</v>
      </c>
      <c r="I2332" s="523">
        <v>-1.58</v>
      </c>
      <c r="J2332" s="523">
        <v>-1.41</v>
      </c>
    </row>
    <row r="2333" spans="1:10" s="559" customFormat="1">
      <c r="A2333" s="521" t="s">
        <v>318</v>
      </c>
      <c r="B2333" s="522" t="s">
        <v>694</v>
      </c>
      <c r="C2333" s="423" t="s">
        <v>330</v>
      </c>
      <c r="D2333" s="521" t="s">
        <v>695</v>
      </c>
      <c r="E2333" s="522">
        <v>201603</v>
      </c>
      <c r="F2333" s="523">
        <v>488.7</v>
      </c>
      <c r="G2333" s="521">
        <v>13.5</v>
      </c>
      <c r="H2333" s="524">
        <v>1.3083000000000001E-3</v>
      </c>
      <c r="I2333" s="523">
        <v>8.6300000000000008</v>
      </c>
      <c r="J2333" s="523">
        <v>7.67</v>
      </c>
    </row>
    <row r="2334" spans="1:10" s="559" customFormat="1">
      <c r="A2334" s="521" t="s">
        <v>318</v>
      </c>
      <c r="B2334" s="522" t="s">
        <v>696</v>
      </c>
      <c r="C2334" s="423" t="s">
        <v>330</v>
      </c>
      <c r="D2334" s="521" t="s">
        <v>697</v>
      </c>
      <c r="E2334" s="522">
        <v>201603</v>
      </c>
      <c r="F2334" s="523">
        <v>0.04</v>
      </c>
      <c r="G2334" s="521">
        <v>13.5</v>
      </c>
      <c r="H2334" s="524">
        <v>1.3083000000000001E-3</v>
      </c>
      <c r="I2334" s="523">
        <v>0</v>
      </c>
      <c r="J2334" s="523">
        <v>0</v>
      </c>
    </row>
    <row r="2335" spans="1:10" s="559" customFormat="1">
      <c r="A2335" s="521" t="s">
        <v>318</v>
      </c>
      <c r="B2335" s="522" t="s">
        <v>700</v>
      </c>
      <c r="C2335" s="423" t="s">
        <v>330</v>
      </c>
      <c r="D2335" s="521" t="s">
        <v>701</v>
      </c>
      <c r="E2335" s="522">
        <v>201603</v>
      </c>
      <c r="F2335" s="523">
        <v>-757.69</v>
      </c>
      <c r="G2335" s="521">
        <v>13.5</v>
      </c>
      <c r="H2335" s="524">
        <v>1.3083000000000001E-3</v>
      </c>
      <c r="I2335" s="523">
        <v>-13.38</v>
      </c>
      <c r="J2335" s="523">
        <v>-11.9</v>
      </c>
    </row>
    <row r="2336" spans="1:10" s="559" customFormat="1">
      <c r="A2336" s="521" t="s">
        <v>318</v>
      </c>
      <c r="B2336" s="522" t="s">
        <v>794</v>
      </c>
      <c r="C2336" s="423" t="s">
        <v>331</v>
      </c>
      <c r="D2336" s="521" t="s">
        <v>795</v>
      </c>
      <c r="E2336" s="522">
        <v>201603</v>
      </c>
      <c r="F2336" s="523">
        <v>-677.19</v>
      </c>
      <c r="G2336" s="521">
        <v>13.5</v>
      </c>
      <c r="H2336" s="524">
        <v>1.3083000000000001E-3</v>
      </c>
      <c r="I2336" s="523">
        <v>-11.96</v>
      </c>
      <c r="J2336" s="523">
        <v>-10.63</v>
      </c>
    </row>
    <row r="2337" spans="1:10" s="559" customFormat="1">
      <c r="A2337" s="521" t="s">
        <v>318</v>
      </c>
      <c r="B2337" s="522" t="s">
        <v>614</v>
      </c>
      <c r="C2337" s="423" t="s">
        <v>331</v>
      </c>
      <c r="D2337" s="521" t="s">
        <v>714</v>
      </c>
      <c r="E2337" s="522">
        <v>201603</v>
      </c>
      <c r="F2337" s="523">
        <v>-0.32</v>
      </c>
      <c r="G2337" s="521">
        <v>13.5</v>
      </c>
      <c r="H2337" s="524">
        <v>1.3083000000000001E-3</v>
      </c>
      <c r="I2337" s="523">
        <v>-0.01</v>
      </c>
      <c r="J2337" s="523">
        <v>-0.01</v>
      </c>
    </row>
    <row r="2338" spans="1:10" s="559" customFormat="1">
      <c r="A2338" s="521" t="s">
        <v>318</v>
      </c>
      <c r="B2338" s="522" t="s">
        <v>702</v>
      </c>
      <c r="C2338" s="423" t="s">
        <v>330</v>
      </c>
      <c r="D2338" s="521" t="s">
        <v>703</v>
      </c>
      <c r="E2338" s="522">
        <v>201603</v>
      </c>
      <c r="F2338" s="523">
        <v>-4672.1899999999996</v>
      </c>
      <c r="G2338" s="521">
        <v>13.5</v>
      </c>
      <c r="H2338" s="524">
        <v>1.3083000000000001E-3</v>
      </c>
      <c r="I2338" s="523">
        <v>-82.52</v>
      </c>
      <c r="J2338" s="523">
        <v>-73.349999999999994</v>
      </c>
    </row>
    <row r="2339" spans="1:10" s="559" customFormat="1">
      <c r="A2339" s="521" t="s">
        <v>318</v>
      </c>
      <c r="B2339" s="522" t="s">
        <v>826</v>
      </c>
      <c r="C2339" s="423" t="s">
        <v>330</v>
      </c>
      <c r="D2339" s="521" t="s">
        <v>827</v>
      </c>
      <c r="E2339" s="522">
        <v>201603</v>
      </c>
      <c r="F2339" s="523">
        <v>1766.5</v>
      </c>
      <c r="G2339" s="521">
        <v>13.5</v>
      </c>
      <c r="H2339" s="524">
        <v>1.3083000000000001E-3</v>
      </c>
      <c r="I2339" s="523">
        <v>31.2</v>
      </c>
      <c r="J2339" s="523">
        <v>27.73</v>
      </c>
    </row>
    <row r="2340" spans="1:10" s="559" customFormat="1">
      <c r="A2340" s="521" t="s">
        <v>318</v>
      </c>
      <c r="B2340" s="522" t="s">
        <v>891</v>
      </c>
      <c r="C2340" s="423" t="s">
        <v>331</v>
      </c>
      <c r="D2340" s="521" t="s">
        <v>892</v>
      </c>
      <c r="E2340" s="522">
        <v>201603</v>
      </c>
      <c r="F2340" s="523">
        <v>5598.06</v>
      </c>
      <c r="G2340" s="521">
        <v>13.5</v>
      </c>
      <c r="H2340" s="524">
        <v>1.3083000000000001E-3</v>
      </c>
      <c r="I2340" s="523">
        <v>98.87</v>
      </c>
      <c r="J2340" s="523">
        <v>87.89</v>
      </c>
    </row>
    <row r="2341" spans="1:10" s="559" customFormat="1">
      <c r="A2341" s="521" t="s">
        <v>318</v>
      </c>
      <c r="B2341" s="522" t="s">
        <v>627</v>
      </c>
      <c r="C2341" s="423" t="s">
        <v>330</v>
      </c>
      <c r="D2341" s="521" t="s">
        <v>628</v>
      </c>
      <c r="E2341" s="522">
        <v>201604</v>
      </c>
      <c r="F2341" s="523">
        <v>875.39</v>
      </c>
      <c r="G2341" s="521">
        <v>12.5</v>
      </c>
      <c r="H2341" s="524">
        <v>1.3083000000000001E-3</v>
      </c>
      <c r="I2341" s="523">
        <v>14.32</v>
      </c>
      <c r="J2341" s="523">
        <v>13.74</v>
      </c>
    </row>
    <row r="2342" spans="1:10" s="559" customFormat="1">
      <c r="A2342" s="521" t="s">
        <v>318</v>
      </c>
      <c r="B2342" s="522" t="s">
        <v>706</v>
      </c>
      <c r="C2342" s="423" t="s">
        <v>343</v>
      </c>
      <c r="D2342" s="521" t="s">
        <v>707</v>
      </c>
      <c r="E2342" s="522">
        <v>201604</v>
      </c>
      <c r="F2342" s="523">
        <v>-5.33</v>
      </c>
      <c r="G2342" s="521">
        <v>12.5</v>
      </c>
      <c r="H2342" s="524">
        <v>1.3083000000000001E-3</v>
      </c>
      <c r="I2342" s="523">
        <v>-0.09</v>
      </c>
      <c r="J2342" s="523">
        <v>-0.08</v>
      </c>
    </row>
    <row r="2343" spans="1:10" s="559" customFormat="1">
      <c r="A2343" s="521" t="s">
        <v>318</v>
      </c>
      <c r="B2343" s="522" t="s">
        <v>546</v>
      </c>
      <c r="C2343" s="423" t="s">
        <v>330</v>
      </c>
      <c r="D2343" s="521" t="s">
        <v>547</v>
      </c>
      <c r="E2343" s="522">
        <v>201604</v>
      </c>
      <c r="F2343" s="523">
        <v>-0.04</v>
      </c>
      <c r="G2343" s="521">
        <v>12.5</v>
      </c>
      <c r="H2343" s="524">
        <v>1.3083000000000001E-3</v>
      </c>
      <c r="I2343" s="523">
        <v>0</v>
      </c>
      <c r="J2343" s="523">
        <v>0</v>
      </c>
    </row>
    <row r="2344" spans="1:10" s="559" customFormat="1">
      <c r="A2344" s="521" t="s">
        <v>318</v>
      </c>
      <c r="B2344" s="522" t="s">
        <v>643</v>
      </c>
      <c r="C2344" s="423" t="s">
        <v>330</v>
      </c>
      <c r="D2344" s="521" t="s">
        <v>644</v>
      </c>
      <c r="E2344" s="522">
        <v>201604</v>
      </c>
      <c r="F2344" s="523">
        <v>1106.44</v>
      </c>
      <c r="G2344" s="521">
        <v>12.5</v>
      </c>
      <c r="H2344" s="524">
        <v>1.3083000000000001E-3</v>
      </c>
      <c r="I2344" s="523">
        <v>18.09</v>
      </c>
      <c r="J2344" s="523">
        <v>17.37</v>
      </c>
    </row>
    <row r="2345" spans="1:10" s="559" customFormat="1">
      <c r="A2345" s="521" t="s">
        <v>318</v>
      </c>
      <c r="B2345" s="522" t="s">
        <v>708</v>
      </c>
      <c r="C2345" s="423" t="s">
        <v>331</v>
      </c>
      <c r="D2345" s="521" t="s">
        <v>709</v>
      </c>
      <c r="E2345" s="522">
        <v>201604</v>
      </c>
      <c r="F2345" s="523">
        <v>1376.44</v>
      </c>
      <c r="G2345" s="521">
        <v>12.5</v>
      </c>
      <c r="H2345" s="524">
        <v>1.3083000000000001E-3</v>
      </c>
      <c r="I2345" s="523">
        <v>22.51</v>
      </c>
      <c r="J2345" s="523">
        <v>21.61</v>
      </c>
    </row>
    <row r="2346" spans="1:10" s="559" customFormat="1">
      <c r="A2346" s="521" t="s">
        <v>318</v>
      </c>
      <c r="B2346" s="522" t="s">
        <v>451</v>
      </c>
      <c r="C2346" s="423" t="s">
        <v>330</v>
      </c>
      <c r="D2346" s="521" t="s">
        <v>452</v>
      </c>
      <c r="E2346" s="522">
        <v>201604</v>
      </c>
      <c r="F2346" s="523">
        <v>0.09</v>
      </c>
      <c r="G2346" s="521">
        <v>12.5</v>
      </c>
      <c r="H2346" s="524">
        <v>1.3083000000000001E-3</v>
      </c>
      <c r="I2346" s="523">
        <v>0</v>
      </c>
      <c r="J2346" s="523">
        <v>0</v>
      </c>
    </row>
    <row r="2347" spans="1:10" s="559" customFormat="1">
      <c r="A2347" s="521" t="s">
        <v>318</v>
      </c>
      <c r="B2347" s="522" t="s">
        <v>645</v>
      </c>
      <c r="C2347" s="423" t="s">
        <v>330</v>
      </c>
      <c r="D2347" s="521" t="s">
        <v>646</v>
      </c>
      <c r="E2347" s="522">
        <v>201604</v>
      </c>
      <c r="F2347" s="523">
        <v>2539.52</v>
      </c>
      <c r="G2347" s="521">
        <v>12.5</v>
      </c>
      <c r="H2347" s="524">
        <v>1.3083000000000001E-3</v>
      </c>
      <c r="I2347" s="523">
        <v>41.53</v>
      </c>
      <c r="J2347" s="523">
        <v>39.869999999999997</v>
      </c>
    </row>
    <row r="2348" spans="1:10" s="559" customFormat="1">
      <c r="A2348" s="521" t="s">
        <v>318</v>
      </c>
      <c r="B2348" s="522" t="s">
        <v>647</v>
      </c>
      <c r="C2348" s="423" t="s">
        <v>330</v>
      </c>
      <c r="D2348" s="521" t="s">
        <v>648</v>
      </c>
      <c r="E2348" s="522">
        <v>201604</v>
      </c>
      <c r="F2348" s="523">
        <v>185683.22</v>
      </c>
      <c r="G2348" s="521">
        <v>12.5</v>
      </c>
      <c r="H2348" s="524">
        <v>1.3083000000000001E-3</v>
      </c>
      <c r="I2348" s="523">
        <v>3036.62</v>
      </c>
      <c r="J2348" s="523">
        <v>2915.15</v>
      </c>
    </row>
    <row r="2349" spans="1:10" s="559" customFormat="1">
      <c r="A2349" s="521" t="s">
        <v>318</v>
      </c>
      <c r="B2349" s="522" t="s">
        <v>629</v>
      </c>
      <c r="C2349" s="423" t="s">
        <v>330</v>
      </c>
      <c r="D2349" s="521" t="s">
        <v>630</v>
      </c>
      <c r="E2349" s="522">
        <v>201604</v>
      </c>
      <c r="F2349" s="523">
        <v>228.43</v>
      </c>
      <c r="G2349" s="521">
        <v>12.5</v>
      </c>
      <c r="H2349" s="524">
        <v>1.3083000000000001E-3</v>
      </c>
      <c r="I2349" s="523">
        <v>3.74</v>
      </c>
      <c r="J2349" s="523">
        <v>3.59</v>
      </c>
    </row>
    <row r="2350" spans="1:10" s="559" customFormat="1">
      <c r="A2350" s="521" t="s">
        <v>318</v>
      </c>
      <c r="B2350" s="522" t="s">
        <v>655</v>
      </c>
      <c r="C2350" s="423" t="s">
        <v>330</v>
      </c>
      <c r="D2350" s="521" t="s">
        <v>656</v>
      </c>
      <c r="E2350" s="522">
        <v>201604</v>
      </c>
      <c r="F2350" s="523">
        <v>16.079999999999998</v>
      </c>
      <c r="G2350" s="521">
        <v>12.5</v>
      </c>
      <c r="H2350" s="524">
        <v>1.3083000000000001E-3</v>
      </c>
      <c r="I2350" s="523">
        <v>0.26</v>
      </c>
      <c r="J2350" s="523">
        <v>0.25</v>
      </c>
    </row>
    <row r="2351" spans="1:10" s="559" customFormat="1">
      <c r="A2351" s="521" t="s">
        <v>318</v>
      </c>
      <c r="B2351" s="522" t="s">
        <v>594</v>
      </c>
      <c r="C2351" s="423" t="s">
        <v>330</v>
      </c>
      <c r="D2351" s="521" t="s">
        <v>595</v>
      </c>
      <c r="E2351" s="522">
        <v>201604</v>
      </c>
      <c r="F2351" s="523">
        <v>1.02</v>
      </c>
      <c r="G2351" s="521">
        <v>12.5</v>
      </c>
      <c r="H2351" s="524">
        <v>1.3083000000000001E-3</v>
      </c>
      <c r="I2351" s="523">
        <v>0.02</v>
      </c>
      <c r="J2351" s="523">
        <v>0.02</v>
      </c>
    </row>
    <row r="2352" spans="1:10" s="559" customFormat="1">
      <c r="A2352" s="521" t="s">
        <v>318</v>
      </c>
      <c r="B2352" s="522" t="s">
        <v>596</v>
      </c>
      <c r="C2352" s="423" t="s">
        <v>330</v>
      </c>
      <c r="D2352" s="521" t="s">
        <v>597</v>
      </c>
      <c r="E2352" s="522">
        <v>201604</v>
      </c>
      <c r="F2352" s="523">
        <v>2.1</v>
      </c>
      <c r="G2352" s="521">
        <v>12.5</v>
      </c>
      <c r="H2352" s="524">
        <v>1.3083000000000001E-3</v>
      </c>
      <c r="I2352" s="523">
        <v>0.03</v>
      </c>
      <c r="J2352" s="523">
        <v>0.03</v>
      </c>
    </row>
    <row r="2353" spans="1:10" s="559" customFormat="1">
      <c r="A2353" s="521" t="s">
        <v>318</v>
      </c>
      <c r="B2353" s="522" t="s">
        <v>657</v>
      </c>
      <c r="C2353" s="423" t="s">
        <v>330</v>
      </c>
      <c r="D2353" s="521" t="s">
        <v>658</v>
      </c>
      <c r="E2353" s="522">
        <v>201604</v>
      </c>
      <c r="F2353" s="523">
        <v>133862.41</v>
      </c>
      <c r="G2353" s="521">
        <v>12.5</v>
      </c>
      <c r="H2353" s="524">
        <v>1.3083000000000001E-3</v>
      </c>
      <c r="I2353" s="523">
        <v>2189.15</v>
      </c>
      <c r="J2353" s="523">
        <v>2101.59</v>
      </c>
    </row>
    <row r="2354" spans="1:10" s="559" customFormat="1">
      <c r="A2354" s="521" t="s">
        <v>318</v>
      </c>
      <c r="B2354" s="522" t="s">
        <v>659</v>
      </c>
      <c r="C2354" s="423" t="s">
        <v>330</v>
      </c>
      <c r="D2354" s="521" t="s">
        <v>660</v>
      </c>
      <c r="E2354" s="522">
        <v>201604</v>
      </c>
      <c r="F2354" s="523">
        <v>-191</v>
      </c>
      <c r="G2354" s="521">
        <v>12.5</v>
      </c>
      <c r="H2354" s="524">
        <v>1.3083000000000001E-3</v>
      </c>
      <c r="I2354" s="523">
        <v>-3.12</v>
      </c>
      <c r="J2354" s="523">
        <v>-3</v>
      </c>
    </row>
    <row r="2355" spans="1:10" s="559" customFormat="1">
      <c r="A2355" s="521" t="s">
        <v>318</v>
      </c>
      <c r="B2355" s="522" t="s">
        <v>665</v>
      </c>
      <c r="C2355" s="423" t="s">
        <v>330</v>
      </c>
      <c r="D2355" s="521" t="s">
        <v>666</v>
      </c>
      <c r="E2355" s="522">
        <v>201604</v>
      </c>
      <c r="F2355" s="523">
        <v>252.16</v>
      </c>
      <c r="G2355" s="521">
        <v>12.5</v>
      </c>
      <c r="H2355" s="524">
        <v>1.3083000000000001E-3</v>
      </c>
      <c r="I2355" s="523">
        <v>4.12</v>
      </c>
      <c r="J2355" s="523">
        <v>3.96</v>
      </c>
    </row>
    <row r="2356" spans="1:10" s="559" customFormat="1">
      <c r="A2356" s="521" t="s">
        <v>318</v>
      </c>
      <c r="B2356" s="522" t="s">
        <v>803</v>
      </c>
      <c r="C2356" s="423" t="s">
        <v>330</v>
      </c>
      <c r="D2356" s="521" t="s">
        <v>804</v>
      </c>
      <c r="E2356" s="522">
        <v>201604</v>
      </c>
      <c r="F2356" s="523">
        <v>25.59</v>
      </c>
      <c r="G2356" s="521">
        <v>12.5</v>
      </c>
      <c r="H2356" s="524">
        <v>1.3083000000000001E-3</v>
      </c>
      <c r="I2356" s="523">
        <v>0.42</v>
      </c>
      <c r="J2356" s="523">
        <v>0.4</v>
      </c>
    </row>
    <row r="2357" spans="1:10" s="559" customFormat="1">
      <c r="A2357" s="521" t="s">
        <v>318</v>
      </c>
      <c r="B2357" s="522" t="s">
        <v>805</v>
      </c>
      <c r="C2357" s="423" t="s">
        <v>330</v>
      </c>
      <c r="D2357" s="521" t="s">
        <v>806</v>
      </c>
      <c r="E2357" s="522">
        <v>201604</v>
      </c>
      <c r="F2357" s="523">
        <v>13246.83</v>
      </c>
      <c r="G2357" s="521">
        <v>12.5</v>
      </c>
      <c r="H2357" s="524">
        <v>1.3083000000000001E-3</v>
      </c>
      <c r="I2357" s="523">
        <v>216.64</v>
      </c>
      <c r="J2357" s="523">
        <v>207.97</v>
      </c>
    </row>
    <row r="2358" spans="1:10" s="559" customFormat="1">
      <c r="A2358" s="521" t="s">
        <v>318</v>
      </c>
      <c r="B2358" s="522" t="s">
        <v>598</v>
      </c>
      <c r="C2358" s="423" t="s">
        <v>330</v>
      </c>
      <c r="D2358" s="521" t="s">
        <v>599</v>
      </c>
      <c r="E2358" s="522">
        <v>201604</v>
      </c>
      <c r="F2358" s="523">
        <v>-0.44</v>
      </c>
      <c r="G2358" s="521">
        <v>12.5</v>
      </c>
      <c r="H2358" s="524">
        <v>1.3083000000000001E-3</v>
      </c>
      <c r="I2358" s="523">
        <v>-0.01</v>
      </c>
      <c r="J2358" s="523">
        <v>-0.01</v>
      </c>
    </row>
    <row r="2359" spans="1:10" s="559" customFormat="1">
      <c r="A2359" s="521" t="s">
        <v>318</v>
      </c>
      <c r="B2359" s="522" t="s">
        <v>600</v>
      </c>
      <c r="C2359" s="423" t="s">
        <v>330</v>
      </c>
      <c r="D2359" s="521" t="s">
        <v>601</v>
      </c>
      <c r="E2359" s="522">
        <v>201604</v>
      </c>
      <c r="F2359" s="523">
        <v>2.36</v>
      </c>
      <c r="G2359" s="521">
        <v>12.5</v>
      </c>
      <c r="H2359" s="524">
        <v>1.3083000000000001E-3</v>
      </c>
      <c r="I2359" s="523">
        <v>0.04</v>
      </c>
      <c r="J2359" s="523">
        <v>0.04</v>
      </c>
    </row>
    <row r="2360" spans="1:10" s="559" customFormat="1">
      <c r="A2360" s="521" t="s">
        <v>318</v>
      </c>
      <c r="B2360" s="522" t="s">
        <v>554</v>
      </c>
      <c r="C2360" s="423" t="s">
        <v>330</v>
      </c>
      <c r="D2360" s="521" t="s">
        <v>555</v>
      </c>
      <c r="E2360" s="522">
        <v>201604</v>
      </c>
      <c r="F2360" s="523">
        <v>0.33</v>
      </c>
      <c r="G2360" s="521">
        <v>12.5</v>
      </c>
      <c r="H2360" s="524">
        <v>1.3083000000000001E-3</v>
      </c>
      <c r="I2360" s="523">
        <v>0.01</v>
      </c>
      <c r="J2360" s="523">
        <v>0.01</v>
      </c>
    </row>
    <row r="2361" spans="1:10" s="559" customFormat="1">
      <c r="A2361" s="521" t="s">
        <v>318</v>
      </c>
      <c r="B2361" s="522" t="s">
        <v>556</v>
      </c>
      <c r="C2361" s="423" t="s">
        <v>330</v>
      </c>
      <c r="D2361" s="521" t="s">
        <v>557</v>
      </c>
      <c r="E2361" s="522">
        <v>201604</v>
      </c>
      <c r="F2361" s="523">
        <v>0.59</v>
      </c>
      <c r="G2361" s="521">
        <v>12.5</v>
      </c>
      <c r="H2361" s="524">
        <v>1.3083000000000001E-3</v>
      </c>
      <c r="I2361" s="523">
        <v>0.01</v>
      </c>
      <c r="J2361" s="523">
        <v>0.01</v>
      </c>
    </row>
    <row r="2362" spans="1:10" s="559" customFormat="1">
      <c r="A2362" s="521" t="s">
        <v>318</v>
      </c>
      <c r="B2362" s="522" t="s">
        <v>560</v>
      </c>
      <c r="C2362" s="423" t="s">
        <v>330</v>
      </c>
      <c r="D2362" s="521" t="s">
        <v>561</v>
      </c>
      <c r="E2362" s="522">
        <v>201604</v>
      </c>
      <c r="F2362" s="523">
        <v>-1.02</v>
      </c>
      <c r="G2362" s="521">
        <v>12.5</v>
      </c>
      <c r="H2362" s="524">
        <v>1.3083000000000001E-3</v>
      </c>
      <c r="I2362" s="523">
        <v>-0.02</v>
      </c>
      <c r="J2362" s="523">
        <v>-0.02</v>
      </c>
    </row>
    <row r="2363" spans="1:10" s="559" customFormat="1">
      <c r="A2363" s="521" t="s">
        <v>318</v>
      </c>
      <c r="B2363" s="522" t="s">
        <v>602</v>
      </c>
      <c r="C2363" s="423" t="s">
        <v>330</v>
      </c>
      <c r="D2363" s="521" t="s">
        <v>603</v>
      </c>
      <c r="E2363" s="522">
        <v>201604</v>
      </c>
      <c r="F2363" s="523">
        <v>2.04</v>
      </c>
      <c r="G2363" s="521">
        <v>12.5</v>
      </c>
      <c r="H2363" s="524">
        <v>1.3083000000000001E-3</v>
      </c>
      <c r="I2363" s="523">
        <v>0.03</v>
      </c>
      <c r="J2363" s="523">
        <v>0.03</v>
      </c>
    </row>
    <row r="2364" spans="1:10" s="559" customFormat="1">
      <c r="A2364" s="521" t="s">
        <v>318</v>
      </c>
      <c r="B2364" s="522" t="s">
        <v>788</v>
      </c>
      <c r="C2364" s="423" t="s">
        <v>330</v>
      </c>
      <c r="D2364" s="521" t="s">
        <v>789</v>
      </c>
      <c r="E2364" s="522">
        <v>201604</v>
      </c>
      <c r="F2364" s="523">
        <v>8017.67</v>
      </c>
      <c r="G2364" s="521">
        <v>12.5</v>
      </c>
      <c r="H2364" s="524">
        <v>1.3083000000000001E-3</v>
      </c>
      <c r="I2364" s="523">
        <v>131.12</v>
      </c>
      <c r="J2364" s="523">
        <v>125.87</v>
      </c>
    </row>
    <row r="2365" spans="1:10" s="559" customFormat="1">
      <c r="A2365" s="521" t="s">
        <v>318</v>
      </c>
      <c r="B2365" s="522" t="s">
        <v>564</v>
      </c>
      <c r="C2365" s="423" t="s">
        <v>330</v>
      </c>
      <c r="D2365" s="521" t="s">
        <v>669</v>
      </c>
      <c r="E2365" s="522">
        <v>201604</v>
      </c>
      <c r="F2365" s="523">
        <v>-0.59</v>
      </c>
      <c r="G2365" s="521">
        <v>12.5</v>
      </c>
      <c r="H2365" s="524">
        <v>1.3083000000000001E-3</v>
      </c>
      <c r="I2365" s="523">
        <v>-0.01</v>
      </c>
      <c r="J2365" s="523">
        <v>-0.01</v>
      </c>
    </row>
    <row r="2366" spans="1:10" s="559" customFormat="1">
      <c r="A2366" s="521" t="s">
        <v>318</v>
      </c>
      <c r="B2366" s="522" t="s">
        <v>832</v>
      </c>
      <c r="C2366" s="423" t="s">
        <v>330</v>
      </c>
      <c r="D2366" s="521" t="s">
        <v>833</v>
      </c>
      <c r="E2366" s="522">
        <v>201604</v>
      </c>
      <c r="F2366" s="523">
        <v>2809.8</v>
      </c>
      <c r="G2366" s="521">
        <v>12.5</v>
      </c>
      <c r="H2366" s="524">
        <v>1.3083000000000001E-3</v>
      </c>
      <c r="I2366" s="523">
        <v>45.95</v>
      </c>
      <c r="J2366" s="523">
        <v>44.11</v>
      </c>
    </row>
    <row r="2367" spans="1:10" s="559" customFormat="1">
      <c r="A2367" s="521" t="s">
        <v>318</v>
      </c>
      <c r="B2367" s="522" t="s">
        <v>670</v>
      </c>
      <c r="C2367" s="423" t="s">
        <v>330</v>
      </c>
      <c r="D2367" s="521" t="s">
        <v>671</v>
      </c>
      <c r="E2367" s="522">
        <v>201604</v>
      </c>
      <c r="F2367" s="523">
        <v>-6287.29</v>
      </c>
      <c r="G2367" s="521">
        <v>12.5</v>
      </c>
      <c r="H2367" s="524">
        <v>1.3083000000000001E-3</v>
      </c>
      <c r="I2367" s="523">
        <v>-102.82</v>
      </c>
      <c r="J2367" s="523">
        <v>-98.71</v>
      </c>
    </row>
    <row r="2368" spans="1:10" s="559" customFormat="1">
      <c r="A2368" s="521" t="s">
        <v>318</v>
      </c>
      <c r="B2368" s="522" t="s">
        <v>606</v>
      </c>
      <c r="C2368" s="423" t="s">
        <v>330</v>
      </c>
      <c r="D2368" s="521" t="s">
        <v>607</v>
      </c>
      <c r="E2368" s="522">
        <v>201604</v>
      </c>
      <c r="F2368" s="523">
        <v>7.87</v>
      </c>
      <c r="G2368" s="521">
        <v>12.5</v>
      </c>
      <c r="H2368" s="524">
        <v>1.3083000000000001E-3</v>
      </c>
      <c r="I2368" s="523">
        <v>0.13</v>
      </c>
      <c r="J2368" s="523">
        <v>0.12</v>
      </c>
    </row>
    <row r="2369" spans="1:10" s="559" customFormat="1">
      <c r="A2369" s="521" t="s">
        <v>318</v>
      </c>
      <c r="B2369" s="522" t="s">
        <v>608</v>
      </c>
      <c r="C2369" s="423" t="s">
        <v>330</v>
      </c>
      <c r="D2369" s="521" t="s">
        <v>609</v>
      </c>
      <c r="E2369" s="522">
        <v>201604</v>
      </c>
      <c r="F2369" s="523">
        <v>0.23</v>
      </c>
      <c r="G2369" s="521">
        <v>12.5</v>
      </c>
      <c r="H2369" s="524">
        <v>1.3083000000000001E-3</v>
      </c>
      <c r="I2369" s="523">
        <v>0</v>
      </c>
      <c r="J2369" s="523">
        <v>0</v>
      </c>
    </row>
    <row r="2370" spans="1:10" s="559" customFormat="1">
      <c r="A2370" s="521" t="s">
        <v>318</v>
      </c>
      <c r="B2370" s="522" t="s">
        <v>610</v>
      </c>
      <c r="C2370" s="423" t="s">
        <v>330</v>
      </c>
      <c r="D2370" s="521" t="s">
        <v>611</v>
      </c>
      <c r="E2370" s="522">
        <v>201604</v>
      </c>
      <c r="F2370" s="523">
        <v>3.17</v>
      </c>
      <c r="G2370" s="521">
        <v>12.5</v>
      </c>
      <c r="H2370" s="524">
        <v>1.3083000000000001E-3</v>
      </c>
      <c r="I2370" s="523">
        <v>0.05</v>
      </c>
      <c r="J2370" s="523">
        <v>0.05</v>
      </c>
    </row>
    <row r="2371" spans="1:10" s="559" customFormat="1">
      <c r="A2371" s="521" t="s">
        <v>318</v>
      </c>
      <c r="B2371" s="522" t="s">
        <v>814</v>
      </c>
      <c r="C2371" s="423" t="s">
        <v>330</v>
      </c>
      <c r="D2371" s="521" t="s">
        <v>815</v>
      </c>
      <c r="E2371" s="522">
        <v>201604</v>
      </c>
      <c r="F2371" s="523">
        <v>7976.74</v>
      </c>
      <c r="G2371" s="521">
        <v>12.5</v>
      </c>
      <c r="H2371" s="524">
        <v>1.3083000000000001E-3</v>
      </c>
      <c r="I2371" s="523">
        <v>130.44999999999999</v>
      </c>
      <c r="J2371" s="523">
        <v>125.23</v>
      </c>
    </row>
    <row r="2372" spans="1:10" s="559" customFormat="1">
      <c r="A2372" s="521" t="s">
        <v>318</v>
      </c>
      <c r="B2372" s="522" t="s">
        <v>790</v>
      </c>
      <c r="C2372" s="423" t="s">
        <v>330</v>
      </c>
      <c r="D2372" s="521" t="s">
        <v>791</v>
      </c>
      <c r="E2372" s="522">
        <v>201604</v>
      </c>
      <c r="F2372" s="523">
        <v>3371.31</v>
      </c>
      <c r="G2372" s="521">
        <v>12.5</v>
      </c>
      <c r="H2372" s="524">
        <v>1.3083000000000001E-3</v>
      </c>
      <c r="I2372" s="523">
        <v>55.13</v>
      </c>
      <c r="J2372" s="523">
        <v>52.93</v>
      </c>
    </row>
    <row r="2373" spans="1:10" s="559" customFormat="1">
      <c r="A2373" s="521" t="s">
        <v>318</v>
      </c>
      <c r="B2373" s="522" t="s">
        <v>723</v>
      </c>
      <c r="C2373" s="423" t="s">
        <v>331</v>
      </c>
      <c r="D2373" s="521" t="s">
        <v>724</v>
      </c>
      <c r="E2373" s="522">
        <v>201604</v>
      </c>
      <c r="F2373" s="523">
        <v>0.44</v>
      </c>
      <c r="G2373" s="521">
        <v>12.5</v>
      </c>
      <c r="H2373" s="524">
        <v>1.3083000000000001E-3</v>
      </c>
      <c r="I2373" s="523">
        <v>0.01</v>
      </c>
      <c r="J2373" s="523">
        <v>0.01</v>
      </c>
    </row>
    <row r="2374" spans="1:10" s="559" customFormat="1">
      <c r="A2374" s="521" t="s">
        <v>318</v>
      </c>
      <c r="B2374" s="522" t="s">
        <v>680</v>
      </c>
      <c r="C2374" s="423" t="s">
        <v>330</v>
      </c>
      <c r="D2374" s="521" t="s">
        <v>681</v>
      </c>
      <c r="E2374" s="522">
        <v>201604</v>
      </c>
      <c r="F2374" s="523">
        <v>-47.13</v>
      </c>
      <c r="G2374" s="521">
        <v>12.5</v>
      </c>
      <c r="H2374" s="524">
        <v>1.3083000000000001E-3</v>
      </c>
      <c r="I2374" s="523">
        <v>-0.77</v>
      </c>
      <c r="J2374" s="523">
        <v>-0.74</v>
      </c>
    </row>
    <row r="2375" spans="1:10" s="559" customFormat="1">
      <c r="A2375" s="521" t="s">
        <v>318</v>
      </c>
      <c r="B2375" s="522" t="s">
        <v>623</v>
      </c>
      <c r="C2375" s="423" t="s">
        <v>331</v>
      </c>
      <c r="D2375" s="521" t="s">
        <v>624</v>
      </c>
      <c r="E2375" s="522">
        <v>201604</v>
      </c>
      <c r="F2375" s="523">
        <v>2590.4699999999998</v>
      </c>
      <c r="G2375" s="521">
        <v>12.5</v>
      </c>
      <c r="H2375" s="524">
        <v>1.3083000000000001E-3</v>
      </c>
      <c r="I2375" s="523">
        <v>42.36</v>
      </c>
      <c r="J2375" s="523">
        <v>40.67</v>
      </c>
    </row>
    <row r="2376" spans="1:10" s="559" customFormat="1">
      <c r="A2376" s="521" t="s">
        <v>318</v>
      </c>
      <c r="B2376" s="522" t="s">
        <v>612</v>
      </c>
      <c r="C2376" s="423" t="s">
        <v>330</v>
      </c>
      <c r="D2376" s="521" t="s">
        <v>613</v>
      </c>
      <c r="E2376" s="522">
        <v>201604</v>
      </c>
      <c r="F2376" s="523">
        <v>22.88</v>
      </c>
      <c r="G2376" s="521">
        <v>12.5</v>
      </c>
      <c r="H2376" s="524">
        <v>1.3083000000000001E-3</v>
      </c>
      <c r="I2376" s="523">
        <v>0.37</v>
      </c>
      <c r="J2376" s="523">
        <v>0.36</v>
      </c>
    </row>
    <row r="2377" spans="1:10" s="559" customFormat="1">
      <c r="A2377" s="521" t="s">
        <v>318</v>
      </c>
      <c r="B2377" s="522" t="s">
        <v>684</v>
      </c>
      <c r="C2377" s="423" t="s">
        <v>330</v>
      </c>
      <c r="D2377" s="521" t="s">
        <v>685</v>
      </c>
      <c r="E2377" s="522">
        <v>201604</v>
      </c>
      <c r="F2377" s="523">
        <v>8953.5400000000009</v>
      </c>
      <c r="G2377" s="521">
        <v>12.5</v>
      </c>
      <c r="H2377" s="524">
        <v>1.3083000000000001E-3</v>
      </c>
      <c r="I2377" s="523">
        <v>146.41999999999999</v>
      </c>
      <c r="J2377" s="523">
        <v>140.57</v>
      </c>
    </row>
    <row r="2378" spans="1:10" s="559" customFormat="1">
      <c r="A2378" s="521" t="s">
        <v>318</v>
      </c>
      <c r="B2378" s="522" t="s">
        <v>710</v>
      </c>
      <c r="C2378" s="423" t="s">
        <v>439</v>
      </c>
      <c r="D2378" s="521" t="s">
        <v>711</v>
      </c>
      <c r="E2378" s="522">
        <v>201604</v>
      </c>
      <c r="F2378" s="523">
        <v>3.7</v>
      </c>
      <c r="G2378" s="521">
        <v>12.5</v>
      </c>
      <c r="H2378" s="524">
        <v>1.3083000000000001E-3</v>
      </c>
      <c r="I2378" s="523">
        <v>0.06</v>
      </c>
      <c r="J2378" s="523">
        <v>0.06</v>
      </c>
    </row>
    <row r="2379" spans="1:10" s="559" customFormat="1">
      <c r="A2379" s="521" t="s">
        <v>318</v>
      </c>
      <c r="B2379" s="522" t="s">
        <v>712</v>
      </c>
      <c r="C2379" s="423" t="s">
        <v>331</v>
      </c>
      <c r="D2379" s="521" t="s">
        <v>713</v>
      </c>
      <c r="E2379" s="522">
        <v>201604</v>
      </c>
      <c r="F2379" s="523">
        <v>778.6</v>
      </c>
      <c r="G2379" s="521">
        <v>12.5</v>
      </c>
      <c r="H2379" s="524">
        <v>1.3083000000000001E-3</v>
      </c>
      <c r="I2379" s="523">
        <v>12.73</v>
      </c>
      <c r="J2379" s="523">
        <v>12.22</v>
      </c>
    </row>
    <row r="2380" spans="1:10" s="559" customFormat="1">
      <c r="A2380" s="521" t="s">
        <v>318</v>
      </c>
      <c r="B2380" s="522" t="s">
        <v>822</v>
      </c>
      <c r="C2380" s="423" t="s">
        <v>330</v>
      </c>
      <c r="D2380" s="521" t="s">
        <v>823</v>
      </c>
      <c r="E2380" s="522">
        <v>201604</v>
      </c>
      <c r="F2380" s="523">
        <v>8812.27</v>
      </c>
      <c r="G2380" s="521">
        <v>12.5</v>
      </c>
      <c r="H2380" s="524">
        <v>1.3083000000000001E-3</v>
      </c>
      <c r="I2380" s="523">
        <v>144.11000000000001</v>
      </c>
      <c r="J2380" s="523">
        <v>138.35</v>
      </c>
    </row>
    <row r="2381" spans="1:10" s="559" customFormat="1">
      <c r="A2381" s="521" t="s">
        <v>318</v>
      </c>
      <c r="B2381" s="522" t="s">
        <v>690</v>
      </c>
      <c r="C2381" s="423" t="s">
        <v>330</v>
      </c>
      <c r="D2381" s="521" t="s">
        <v>691</v>
      </c>
      <c r="E2381" s="522">
        <v>201604</v>
      </c>
      <c r="F2381" s="523">
        <v>6454.22</v>
      </c>
      <c r="G2381" s="521">
        <v>12.5</v>
      </c>
      <c r="H2381" s="524">
        <v>1.3083000000000001E-3</v>
      </c>
      <c r="I2381" s="523">
        <v>105.55</v>
      </c>
      <c r="J2381" s="523">
        <v>101.33</v>
      </c>
    </row>
    <row r="2382" spans="1:10" s="559" customFormat="1">
      <c r="A2382" s="521" t="s">
        <v>318</v>
      </c>
      <c r="B2382" s="522" t="s">
        <v>625</v>
      </c>
      <c r="C2382" s="423" t="s">
        <v>331</v>
      </c>
      <c r="D2382" s="521" t="s">
        <v>626</v>
      </c>
      <c r="E2382" s="522">
        <v>201604</v>
      </c>
      <c r="F2382" s="523">
        <v>0.9</v>
      </c>
      <c r="G2382" s="521">
        <v>12.5</v>
      </c>
      <c r="H2382" s="524">
        <v>1.3083000000000001E-3</v>
      </c>
      <c r="I2382" s="523">
        <v>0.01</v>
      </c>
      <c r="J2382" s="523">
        <v>0.01</v>
      </c>
    </row>
    <row r="2383" spans="1:10" s="559" customFormat="1">
      <c r="A2383" s="521" t="s">
        <v>318</v>
      </c>
      <c r="B2383" s="522" t="s">
        <v>692</v>
      </c>
      <c r="C2383" s="423" t="s">
        <v>330</v>
      </c>
      <c r="D2383" s="521" t="s">
        <v>693</v>
      </c>
      <c r="E2383" s="522">
        <v>201604</v>
      </c>
      <c r="F2383" s="523">
        <v>-3519.48</v>
      </c>
      <c r="G2383" s="521">
        <v>12.5</v>
      </c>
      <c r="H2383" s="524">
        <v>1.3083000000000001E-3</v>
      </c>
      <c r="I2383" s="523">
        <v>-57.56</v>
      </c>
      <c r="J2383" s="523">
        <v>-55.25</v>
      </c>
    </row>
    <row r="2384" spans="1:10" s="559" customFormat="1">
      <c r="A2384" s="521" t="s">
        <v>318</v>
      </c>
      <c r="B2384" s="522" t="s">
        <v>694</v>
      </c>
      <c r="C2384" s="423" t="s">
        <v>330</v>
      </c>
      <c r="D2384" s="521" t="s">
        <v>695</v>
      </c>
      <c r="E2384" s="522">
        <v>201604</v>
      </c>
      <c r="F2384" s="523">
        <v>4.3600000000000003</v>
      </c>
      <c r="G2384" s="521">
        <v>12.5</v>
      </c>
      <c r="H2384" s="524">
        <v>1.3083000000000001E-3</v>
      </c>
      <c r="I2384" s="523">
        <v>7.0000000000000007E-2</v>
      </c>
      <c r="J2384" s="523">
        <v>7.0000000000000007E-2</v>
      </c>
    </row>
    <row r="2385" spans="1:10" s="559" customFormat="1">
      <c r="A2385" s="521" t="s">
        <v>318</v>
      </c>
      <c r="B2385" s="522" t="s">
        <v>696</v>
      </c>
      <c r="C2385" s="423" t="s">
        <v>330</v>
      </c>
      <c r="D2385" s="521" t="s">
        <v>697</v>
      </c>
      <c r="E2385" s="522">
        <v>201604</v>
      </c>
      <c r="F2385" s="523">
        <v>-0.3</v>
      </c>
      <c r="G2385" s="521">
        <v>12.5</v>
      </c>
      <c r="H2385" s="524">
        <v>1.3083000000000001E-3</v>
      </c>
      <c r="I2385" s="523">
        <v>0</v>
      </c>
      <c r="J2385" s="523">
        <v>0</v>
      </c>
    </row>
    <row r="2386" spans="1:10" s="559" customFormat="1">
      <c r="A2386" s="521" t="s">
        <v>318</v>
      </c>
      <c r="B2386" s="522" t="s">
        <v>698</v>
      </c>
      <c r="C2386" s="423" t="s">
        <v>330</v>
      </c>
      <c r="D2386" s="521" t="s">
        <v>699</v>
      </c>
      <c r="E2386" s="522">
        <v>201604</v>
      </c>
      <c r="F2386" s="523">
        <v>3723.58</v>
      </c>
      <c r="G2386" s="521">
        <v>12.5</v>
      </c>
      <c r="H2386" s="524">
        <v>1.3083000000000001E-3</v>
      </c>
      <c r="I2386" s="523">
        <v>60.89</v>
      </c>
      <c r="J2386" s="523">
        <v>58.46</v>
      </c>
    </row>
    <row r="2387" spans="1:10" s="559" customFormat="1">
      <c r="A2387" s="521" t="s">
        <v>318</v>
      </c>
      <c r="B2387" s="522" t="s">
        <v>700</v>
      </c>
      <c r="C2387" s="423" t="s">
        <v>330</v>
      </c>
      <c r="D2387" s="521" t="s">
        <v>701</v>
      </c>
      <c r="E2387" s="522">
        <v>201604</v>
      </c>
      <c r="F2387" s="523">
        <v>1405.19</v>
      </c>
      <c r="G2387" s="521">
        <v>12.5</v>
      </c>
      <c r="H2387" s="524">
        <v>1.3083000000000001E-3</v>
      </c>
      <c r="I2387" s="523">
        <v>22.98</v>
      </c>
      <c r="J2387" s="523">
        <v>22.06</v>
      </c>
    </row>
    <row r="2388" spans="1:10" s="559" customFormat="1">
      <c r="A2388" s="521" t="s">
        <v>318</v>
      </c>
      <c r="B2388" s="522" t="s">
        <v>794</v>
      </c>
      <c r="C2388" s="423" t="s">
        <v>331</v>
      </c>
      <c r="D2388" s="521" t="s">
        <v>795</v>
      </c>
      <c r="E2388" s="522">
        <v>201604</v>
      </c>
      <c r="F2388" s="523">
        <v>1320.98</v>
      </c>
      <c r="G2388" s="521">
        <v>12.5</v>
      </c>
      <c r="H2388" s="524">
        <v>1.3083000000000001E-3</v>
      </c>
      <c r="I2388" s="523">
        <v>21.6</v>
      </c>
      <c r="J2388" s="523">
        <v>20.74</v>
      </c>
    </row>
    <row r="2389" spans="1:10" s="559" customFormat="1">
      <c r="A2389" s="521" t="s">
        <v>318</v>
      </c>
      <c r="B2389" s="522" t="s">
        <v>614</v>
      </c>
      <c r="C2389" s="423" t="s">
        <v>331</v>
      </c>
      <c r="D2389" s="521" t="s">
        <v>714</v>
      </c>
      <c r="E2389" s="522">
        <v>201604</v>
      </c>
      <c r="F2389" s="523">
        <v>0.01</v>
      </c>
      <c r="G2389" s="521">
        <v>12.5</v>
      </c>
      <c r="H2389" s="524">
        <v>1.3083000000000001E-3</v>
      </c>
      <c r="I2389" s="523">
        <v>0</v>
      </c>
      <c r="J2389" s="523">
        <v>0</v>
      </c>
    </row>
    <row r="2390" spans="1:10" s="559" customFormat="1">
      <c r="A2390" s="521" t="s">
        <v>318</v>
      </c>
      <c r="B2390" s="522" t="s">
        <v>826</v>
      </c>
      <c r="C2390" s="423" t="s">
        <v>330</v>
      </c>
      <c r="D2390" s="521" t="s">
        <v>827</v>
      </c>
      <c r="E2390" s="522">
        <v>201604</v>
      </c>
      <c r="F2390" s="523">
        <v>6992.1</v>
      </c>
      <c r="G2390" s="521">
        <v>12.5</v>
      </c>
      <c r="H2390" s="524">
        <v>1.3083000000000001E-3</v>
      </c>
      <c r="I2390" s="523">
        <v>114.35</v>
      </c>
      <c r="J2390" s="523">
        <v>109.77</v>
      </c>
    </row>
    <row r="2391" spans="1:10" s="559" customFormat="1">
      <c r="A2391" s="521" t="s">
        <v>318</v>
      </c>
      <c r="B2391" s="522" t="s">
        <v>891</v>
      </c>
      <c r="C2391" s="423" t="s">
        <v>331</v>
      </c>
      <c r="D2391" s="521" t="s">
        <v>892</v>
      </c>
      <c r="E2391" s="522">
        <v>201604</v>
      </c>
      <c r="F2391" s="523">
        <v>138.58000000000001</v>
      </c>
      <c r="G2391" s="521">
        <v>12.5</v>
      </c>
      <c r="H2391" s="524">
        <v>1.3083000000000001E-3</v>
      </c>
      <c r="I2391" s="523">
        <v>2.27</v>
      </c>
      <c r="J2391" s="523">
        <v>2.1800000000000002</v>
      </c>
    </row>
    <row r="2392" spans="1:10" s="559" customFormat="1">
      <c r="A2392" s="521" t="s">
        <v>318</v>
      </c>
      <c r="B2392" s="522" t="s">
        <v>627</v>
      </c>
      <c r="C2392" s="423" t="s">
        <v>330</v>
      </c>
      <c r="D2392" s="521" t="s">
        <v>628</v>
      </c>
      <c r="E2392" s="522">
        <v>201605</v>
      </c>
      <c r="F2392" s="523">
        <v>738.87</v>
      </c>
      <c r="G2392" s="521">
        <v>11.5</v>
      </c>
      <c r="H2392" s="524">
        <v>1.3083000000000001E-3</v>
      </c>
      <c r="I2392" s="523">
        <v>11.12</v>
      </c>
      <c r="J2392" s="523">
        <v>11.6</v>
      </c>
    </row>
    <row r="2393" spans="1:10" s="559" customFormat="1">
      <c r="A2393" s="521" t="s">
        <v>318</v>
      </c>
      <c r="B2393" s="522" t="s">
        <v>706</v>
      </c>
      <c r="C2393" s="423" t="s">
        <v>343</v>
      </c>
      <c r="D2393" s="521" t="s">
        <v>707</v>
      </c>
      <c r="E2393" s="522">
        <v>201605</v>
      </c>
      <c r="F2393" s="523">
        <v>-11.51</v>
      </c>
      <c r="G2393" s="521">
        <v>11.5</v>
      </c>
      <c r="H2393" s="524">
        <v>1.3083000000000001E-3</v>
      </c>
      <c r="I2393" s="523">
        <v>-0.17</v>
      </c>
      <c r="J2393" s="523">
        <v>-0.18</v>
      </c>
    </row>
    <row r="2394" spans="1:10" s="559" customFormat="1">
      <c r="A2394" s="521" t="s">
        <v>318</v>
      </c>
      <c r="B2394" s="522" t="s">
        <v>546</v>
      </c>
      <c r="C2394" s="423" t="s">
        <v>330</v>
      </c>
      <c r="D2394" s="521" t="s">
        <v>547</v>
      </c>
      <c r="E2394" s="522">
        <v>201605</v>
      </c>
      <c r="F2394" s="523">
        <v>-0.04</v>
      </c>
      <c r="G2394" s="521">
        <v>11.5</v>
      </c>
      <c r="H2394" s="524">
        <v>1.3083000000000001E-3</v>
      </c>
      <c r="I2394" s="523">
        <v>0</v>
      </c>
      <c r="J2394" s="523">
        <v>0</v>
      </c>
    </row>
    <row r="2395" spans="1:10" s="559" customFormat="1">
      <c r="A2395" s="521" t="s">
        <v>318</v>
      </c>
      <c r="B2395" s="522" t="s">
        <v>589</v>
      </c>
      <c r="C2395" s="423" t="s">
        <v>330</v>
      </c>
      <c r="D2395" s="521" t="s">
        <v>590</v>
      </c>
      <c r="E2395" s="522">
        <v>201605</v>
      </c>
      <c r="F2395" s="523">
        <v>197305.09</v>
      </c>
      <c r="G2395" s="521">
        <v>11.5</v>
      </c>
      <c r="H2395" s="524">
        <v>1.3083000000000001E-3</v>
      </c>
      <c r="I2395" s="523">
        <v>2968.54</v>
      </c>
      <c r="J2395" s="523">
        <v>3097.61</v>
      </c>
    </row>
    <row r="2396" spans="1:10" s="559" customFormat="1">
      <c r="A2396" s="521" t="s">
        <v>318</v>
      </c>
      <c r="B2396" s="522" t="s">
        <v>643</v>
      </c>
      <c r="C2396" s="423" t="s">
        <v>330</v>
      </c>
      <c r="D2396" s="521" t="s">
        <v>644</v>
      </c>
      <c r="E2396" s="522">
        <v>201605</v>
      </c>
      <c r="F2396" s="523">
        <v>893.57</v>
      </c>
      <c r="G2396" s="521">
        <v>11.5</v>
      </c>
      <c r="H2396" s="524">
        <v>1.3083000000000001E-3</v>
      </c>
      <c r="I2396" s="523">
        <v>13.44</v>
      </c>
      <c r="J2396" s="523">
        <v>14.03</v>
      </c>
    </row>
    <row r="2397" spans="1:10" s="559" customFormat="1">
      <c r="A2397" s="521" t="s">
        <v>318</v>
      </c>
      <c r="B2397" s="522" t="s">
        <v>708</v>
      </c>
      <c r="C2397" s="423" t="s">
        <v>331</v>
      </c>
      <c r="D2397" s="521" t="s">
        <v>709</v>
      </c>
      <c r="E2397" s="522">
        <v>201605</v>
      </c>
      <c r="F2397" s="523">
        <v>1237.5899999999999</v>
      </c>
      <c r="G2397" s="521">
        <v>11.5</v>
      </c>
      <c r="H2397" s="524">
        <v>1.3083000000000001E-3</v>
      </c>
      <c r="I2397" s="523">
        <v>18.62</v>
      </c>
      <c r="J2397" s="523">
        <v>19.43</v>
      </c>
    </row>
    <row r="2398" spans="1:10" s="559" customFormat="1">
      <c r="A2398" s="521" t="s">
        <v>318</v>
      </c>
      <c r="B2398" s="522" t="s">
        <v>451</v>
      </c>
      <c r="C2398" s="423" t="s">
        <v>330</v>
      </c>
      <c r="D2398" s="521" t="s">
        <v>452</v>
      </c>
      <c r="E2398" s="522">
        <v>201605</v>
      </c>
      <c r="F2398" s="523">
        <v>0.09</v>
      </c>
      <c r="G2398" s="521">
        <v>11.5</v>
      </c>
      <c r="H2398" s="524">
        <v>1.3083000000000001E-3</v>
      </c>
      <c r="I2398" s="523">
        <v>0</v>
      </c>
      <c r="J2398" s="523">
        <v>0</v>
      </c>
    </row>
    <row r="2399" spans="1:10" s="559" customFormat="1">
      <c r="A2399" s="521" t="s">
        <v>318</v>
      </c>
      <c r="B2399" s="522" t="s">
        <v>645</v>
      </c>
      <c r="C2399" s="423" t="s">
        <v>330</v>
      </c>
      <c r="D2399" s="521" t="s">
        <v>646</v>
      </c>
      <c r="E2399" s="522">
        <v>201605</v>
      </c>
      <c r="F2399" s="523">
        <v>-0.08</v>
      </c>
      <c r="G2399" s="521">
        <v>11.5</v>
      </c>
      <c r="H2399" s="524">
        <v>1.3083000000000001E-3</v>
      </c>
      <c r="I2399" s="523">
        <v>0</v>
      </c>
      <c r="J2399" s="523">
        <v>0</v>
      </c>
    </row>
    <row r="2400" spans="1:10" s="559" customFormat="1">
      <c r="A2400" s="521" t="s">
        <v>318</v>
      </c>
      <c r="B2400" s="522" t="s">
        <v>647</v>
      </c>
      <c r="C2400" s="423" t="s">
        <v>330</v>
      </c>
      <c r="D2400" s="521" t="s">
        <v>648</v>
      </c>
      <c r="E2400" s="522">
        <v>201605</v>
      </c>
      <c r="F2400" s="523">
        <v>169.71</v>
      </c>
      <c r="G2400" s="521">
        <v>11.5</v>
      </c>
      <c r="H2400" s="524">
        <v>1.3083000000000001E-3</v>
      </c>
      <c r="I2400" s="523">
        <v>2.5499999999999998</v>
      </c>
      <c r="J2400" s="523">
        <v>2.66</v>
      </c>
    </row>
    <row r="2401" spans="1:10" s="559" customFormat="1">
      <c r="A2401" s="521" t="s">
        <v>318</v>
      </c>
      <c r="B2401" s="522" t="s">
        <v>629</v>
      </c>
      <c r="C2401" s="423" t="s">
        <v>330</v>
      </c>
      <c r="D2401" s="521" t="s">
        <v>630</v>
      </c>
      <c r="E2401" s="522">
        <v>201605</v>
      </c>
      <c r="F2401" s="523">
        <v>5.23</v>
      </c>
      <c r="G2401" s="521">
        <v>11.5</v>
      </c>
      <c r="H2401" s="524">
        <v>1.3083000000000001E-3</v>
      </c>
      <c r="I2401" s="523">
        <v>0.08</v>
      </c>
      <c r="J2401" s="523">
        <v>0.08</v>
      </c>
    </row>
    <row r="2402" spans="1:10" s="559" customFormat="1">
      <c r="A2402" s="521" t="s">
        <v>318</v>
      </c>
      <c r="B2402" s="522" t="s">
        <v>717</v>
      </c>
      <c r="C2402" s="423" t="s">
        <v>331</v>
      </c>
      <c r="D2402" s="521" t="s">
        <v>718</v>
      </c>
      <c r="E2402" s="522">
        <v>201605</v>
      </c>
      <c r="F2402" s="523">
        <v>12081.64</v>
      </c>
      <c r="G2402" s="521">
        <v>11.5</v>
      </c>
      <c r="H2402" s="524">
        <v>1.3083000000000001E-3</v>
      </c>
      <c r="I2402" s="523">
        <v>181.77</v>
      </c>
      <c r="J2402" s="523">
        <v>189.68</v>
      </c>
    </row>
    <row r="2403" spans="1:10" s="559" customFormat="1">
      <c r="A2403" s="521" t="s">
        <v>318</v>
      </c>
      <c r="B2403" s="522" t="s">
        <v>649</v>
      </c>
      <c r="C2403" s="423" t="s">
        <v>330</v>
      </c>
      <c r="D2403" s="521" t="s">
        <v>650</v>
      </c>
      <c r="E2403" s="522">
        <v>201605</v>
      </c>
      <c r="F2403" s="523">
        <v>412540.83</v>
      </c>
      <c r="G2403" s="521">
        <v>11.5</v>
      </c>
      <c r="H2403" s="524">
        <v>1.3083000000000001E-3</v>
      </c>
      <c r="I2403" s="523">
        <v>6206.86</v>
      </c>
      <c r="J2403" s="523">
        <v>6476.73</v>
      </c>
    </row>
    <row r="2404" spans="1:10" s="559" customFormat="1">
      <c r="A2404" s="521" t="s">
        <v>318</v>
      </c>
      <c r="B2404" s="522" t="s">
        <v>786</v>
      </c>
      <c r="C2404" s="423" t="s">
        <v>330</v>
      </c>
      <c r="D2404" s="521" t="s">
        <v>787</v>
      </c>
      <c r="E2404" s="522">
        <v>201605</v>
      </c>
      <c r="F2404" s="523">
        <v>293741.86</v>
      </c>
      <c r="G2404" s="521">
        <v>11.5</v>
      </c>
      <c r="H2404" s="524">
        <v>1.3083000000000001E-3</v>
      </c>
      <c r="I2404" s="523">
        <v>4419.4799999999996</v>
      </c>
      <c r="J2404" s="523">
        <v>4611.63</v>
      </c>
    </row>
    <row r="2405" spans="1:10" s="559" customFormat="1">
      <c r="A2405" s="521" t="s">
        <v>318</v>
      </c>
      <c r="B2405" s="522" t="s">
        <v>653</v>
      </c>
      <c r="C2405" s="423" t="s">
        <v>330</v>
      </c>
      <c r="D2405" s="521" t="s">
        <v>654</v>
      </c>
      <c r="E2405" s="522">
        <v>201605</v>
      </c>
      <c r="F2405" s="523">
        <v>127263.83</v>
      </c>
      <c r="G2405" s="521">
        <v>11.5</v>
      </c>
      <c r="H2405" s="524">
        <v>1.3083000000000001E-3</v>
      </c>
      <c r="I2405" s="523">
        <v>1914.74</v>
      </c>
      <c r="J2405" s="523">
        <v>1997.99</v>
      </c>
    </row>
    <row r="2406" spans="1:10" s="559" customFormat="1">
      <c r="A2406" s="521" t="s">
        <v>318</v>
      </c>
      <c r="B2406" s="522" t="s">
        <v>655</v>
      </c>
      <c r="C2406" s="423" t="s">
        <v>330</v>
      </c>
      <c r="D2406" s="521" t="s">
        <v>656</v>
      </c>
      <c r="E2406" s="522">
        <v>201605</v>
      </c>
      <c r="F2406" s="523">
        <v>15.84</v>
      </c>
      <c r="G2406" s="521">
        <v>11.5</v>
      </c>
      <c r="H2406" s="524">
        <v>1.3083000000000001E-3</v>
      </c>
      <c r="I2406" s="523">
        <v>0.24</v>
      </c>
      <c r="J2406" s="523">
        <v>0.25</v>
      </c>
    </row>
    <row r="2407" spans="1:10" s="559" customFormat="1">
      <c r="A2407" s="521" t="s">
        <v>318</v>
      </c>
      <c r="B2407" s="522" t="s">
        <v>594</v>
      </c>
      <c r="C2407" s="423" t="s">
        <v>330</v>
      </c>
      <c r="D2407" s="521" t="s">
        <v>595</v>
      </c>
      <c r="E2407" s="522">
        <v>201605</v>
      </c>
      <c r="F2407" s="523">
        <v>1.02</v>
      </c>
      <c r="G2407" s="521">
        <v>11.5</v>
      </c>
      <c r="H2407" s="524">
        <v>1.3083000000000001E-3</v>
      </c>
      <c r="I2407" s="523">
        <v>0.02</v>
      </c>
      <c r="J2407" s="523">
        <v>0.02</v>
      </c>
    </row>
    <row r="2408" spans="1:10" s="559" customFormat="1">
      <c r="A2408" s="521" t="s">
        <v>318</v>
      </c>
      <c r="B2408" s="522" t="s">
        <v>596</v>
      </c>
      <c r="C2408" s="423" t="s">
        <v>330</v>
      </c>
      <c r="D2408" s="521" t="s">
        <v>597</v>
      </c>
      <c r="E2408" s="522">
        <v>201605</v>
      </c>
      <c r="F2408" s="523">
        <v>2.11</v>
      </c>
      <c r="G2408" s="521">
        <v>11.5</v>
      </c>
      <c r="H2408" s="524">
        <v>1.3083000000000001E-3</v>
      </c>
      <c r="I2408" s="523">
        <v>0.03</v>
      </c>
      <c r="J2408" s="523">
        <v>0.03</v>
      </c>
    </row>
    <row r="2409" spans="1:10" s="559" customFormat="1">
      <c r="A2409" s="521" t="s">
        <v>318</v>
      </c>
      <c r="B2409" s="522" t="s">
        <v>657</v>
      </c>
      <c r="C2409" s="423" t="s">
        <v>330</v>
      </c>
      <c r="D2409" s="521" t="s">
        <v>658</v>
      </c>
      <c r="E2409" s="522">
        <v>201605</v>
      </c>
      <c r="F2409" s="523">
        <v>-23.04</v>
      </c>
      <c r="G2409" s="521">
        <v>11.5</v>
      </c>
      <c r="H2409" s="524">
        <v>1.3083000000000001E-3</v>
      </c>
      <c r="I2409" s="523">
        <v>-0.35</v>
      </c>
      <c r="J2409" s="523">
        <v>-0.36</v>
      </c>
    </row>
    <row r="2410" spans="1:10" s="559" customFormat="1">
      <c r="A2410" s="521" t="s">
        <v>318</v>
      </c>
      <c r="B2410" s="522" t="s">
        <v>659</v>
      </c>
      <c r="C2410" s="423" t="s">
        <v>330</v>
      </c>
      <c r="D2410" s="521" t="s">
        <v>660</v>
      </c>
      <c r="E2410" s="522">
        <v>201605</v>
      </c>
      <c r="F2410" s="523">
        <v>32442.76</v>
      </c>
      <c r="G2410" s="521">
        <v>11.5</v>
      </c>
      <c r="H2410" s="524">
        <v>1.3083000000000001E-3</v>
      </c>
      <c r="I2410" s="523">
        <v>488.12</v>
      </c>
      <c r="J2410" s="523">
        <v>509.34</v>
      </c>
    </row>
    <row r="2411" spans="1:10" s="559" customFormat="1">
      <c r="A2411" s="521" t="s">
        <v>318</v>
      </c>
      <c r="B2411" s="522" t="s">
        <v>663</v>
      </c>
      <c r="C2411" s="423" t="s">
        <v>330</v>
      </c>
      <c r="D2411" s="521" t="s">
        <v>664</v>
      </c>
      <c r="E2411" s="522">
        <v>201605</v>
      </c>
      <c r="F2411" s="523">
        <v>117386.89</v>
      </c>
      <c r="G2411" s="521">
        <v>11.5</v>
      </c>
      <c r="H2411" s="524">
        <v>1.3083000000000001E-3</v>
      </c>
      <c r="I2411" s="523">
        <v>1766.14</v>
      </c>
      <c r="J2411" s="523">
        <v>1842.93</v>
      </c>
    </row>
    <row r="2412" spans="1:10" s="559" customFormat="1">
      <c r="A2412" s="521" t="s">
        <v>318</v>
      </c>
      <c r="B2412" s="522" t="s">
        <v>665</v>
      </c>
      <c r="C2412" s="423" t="s">
        <v>330</v>
      </c>
      <c r="D2412" s="521" t="s">
        <v>666</v>
      </c>
      <c r="E2412" s="522">
        <v>201605</v>
      </c>
      <c r="F2412" s="523">
        <v>232.89</v>
      </c>
      <c r="G2412" s="521">
        <v>11.5</v>
      </c>
      <c r="H2412" s="524">
        <v>1.3083000000000001E-3</v>
      </c>
      <c r="I2412" s="523">
        <v>3.5</v>
      </c>
      <c r="J2412" s="523">
        <v>3.66</v>
      </c>
    </row>
    <row r="2413" spans="1:10" s="559" customFormat="1">
      <c r="A2413" s="521" t="s">
        <v>318</v>
      </c>
      <c r="B2413" s="522" t="s">
        <v>803</v>
      </c>
      <c r="C2413" s="423" t="s">
        <v>330</v>
      </c>
      <c r="D2413" s="521" t="s">
        <v>804</v>
      </c>
      <c r="E2413" s="522">
        <v>201605</v>
      </c>
      <c r="F2413" s="523">
        <v>22.97</v>
      </c>
      <c r="G2413" s="521">
        <v>11.5</v>
      </c>
      <c r="H2413" s="524">
        <v>1.3083000000000001E-3</v>
      </c>
      <c r="I2413" s="523">
        <v>0.35</v>
      </c>
      <c r="J2413" s="523">
        <v>0.36</v>
      </c>
    </row>
    <row r="2414" spans="1:10" s="559" customFormat="1">
      <c r="A2414" s="521" t="s">
        <v>318</v>
      </c>
      <c r="B2414" s="522" t="s">
        <v>805</v>
      </c>
      <c r="C2414" s="423" t="s">
        <v>330</v>
      </c>
      <c r="D2414" s="521" t="s">
        <v>806</v>
      </c>
      <c r="E2414" s="522">
        <v>201605</v>
      </c>
      <c r="F2414" s="523">
        <v>11551.23</v>
      </c>
      <c r="G2414" s="521">
        <v>11.5</v>
      </c>
      <c r="H2414" s="524">
        <v>1.3083000000000001E-3</v>
      </c>
      <c r="I2414" s="523">
        <v>173.79</v>
      </c>
      <c r="J2414" s="523">
        <v>181.35</v>
      </c>
    </row>
    <row r="2415" spans="1:10" s="559" customFormat="1">
      <c r="A2415" s="521" t="s">
        <v>318</v>
      </c>
      <c r="B2415" s="522" t="s">
        <v>598</v>
      </c>
      <c r="C2415" s="423" t="s">
        <v>330</v>
      </c>
      <c r="D2415" s="521" t="s">
        <v>599</v>
      </c>
      <c r="E2415" s="522">
        <v>201605</v>
      </c>
      <c r="F2415" s="523">
        <v>-0.44</v>
      </c>
      <c r="G2415" s="521">
        <v>11.5</v>
      </c>
      <c r="H2415" s="524">
        <v>1.3083000000000001E-3</v>
      </c>
      <c r="I2415" s="523">
        <v>-0.01</v>
      </c>
      <c r="J2415" s="523">
        <v>-0.01</v>
      </c>
    </row>
    <row r="2416" spans="1:10" s="559" customFormat="1">
      <c r="A2416" s="521" t="s">
        <v>318</v>
      </c>
      <c r="B2416" s="522" t="s">
        <v>600</v>
      </c>
      <c r="C2416" s="423" t="s">
        <v>330</v>
      </c>
      <c r="D2416" s="521" t="s">
        <v>601</v>
      </c>
      <c r="E2416" s="522">
        <v>201605</v>
      </c>
      <c r="F2416" s="523">
        <v>2.36</v>
      </c>
      <c r="G2416" s="521">
        <v>11.5</v>
      </c>
      <c r="H2416" s="524">
        <v>1.3083000000000001E-3</v>
      </c>
      <c r="I2416" s="523">
        <v>0.04</v>
      </c>
      <c r="J2416" s="523">
        <v>0.04</v>
      </c>
    </row>
    <row r="2417" spans="1:10" s="559" customFormat="1">
      <c r="A2417" s="521" t="s">
        <v>318</v>
      </c>
      <c r="B2417" s="522" t="s">
        <v>554</v>
      </c>
      <c r="C2417" s="423" t="s">
        <v>330</v>
      </c>
      <c r="D2417" s="521" t="s">
        <v>555</v>
      </c>
      <c r="E2417" s="522">
        <v>201605</v>
      </c>
      <c r="F2417" s="523">
        <v>0.32</v>
      </c>
      <c r="G2417" s="521">
        <v>11.5</v>
      </c>
      <c r="H2417" s="524">
        <v>1.3083000000000001E-3</v>
      </c>
      <c r="I2417" s="523">
        <v>0</v>
      </c>
      <c r="J2417" s="523">
        <v>0.01</v>
      </c>
    </row>
    <row r="2418" spans="1:10" s="559" customFormat="1">
      <c r="A2418" s="521" t="s">
        <v>318</v>
      </c>
      <c r="B2418" s="522" t="s">
        <v>556</v>
      </c>
      <c r="C2418" s="423" t="s">
        <v>330</v>
      </c>
      <c r="D2418" s="521" t="s">
        <v>557</v>
      </c>
      <c r="E2418" s="522">
        <v>201605</v>
      </c>
      <c r="F2418" s="523">
        <v>0.56999999999999995</v>
      </c>
      <c r="G2418" s="521">
        <v>11.5</v>
      </c>
      <c r="H2418" s="524">
        <v>1.3083000000000001E-3</v>
      </c>
      <c r="I2418" s="523">
        <v>0.01</v>
      </c>
      <c r="J2418" s="523">
        <v>0.01</v>
      </c>
    </row>
    <row r="2419" spans="1:10" s="559" customFormat="1">
      <c r="A2419" s="521" t="s">
        <v>318</v>
      </c>
      <c r="B2419" s="522" t="s">
        <v>560</v>
      </c>
      <c r="C2419" s="423" t="s">
        <v>330</v>
      </c>
      <c r="D2419" s="521" t="s">
        <v>561</v>
      </c>
      <c r="E2419" s="522">
        <v>201605</v>
      </c>
      <c r="F2419" s="523">
        <v>-1</v>
      </c>
      <c r="G2419" s="521">
        <v>11.5</v>
      </c>
      <c r="H2419" s="524">
        <v>1.3083000000000001E-3</v>
      </c>
      <c r="I2419" s="523">
        <v>-0.02</v>
      </c>
      <c r="J2419" s="523">
        <v>-0.02</v>
      </c>
    </row>
    <row r="2420" spans="1:10" s="559" customFormat="1">
      <c r="A2420" s="521" t="s">
        <v>318</v>
      </c>
      <c r="B2420" s="522" t="s">
        <v>602</v>
      </c>
      <c r="C2420" s="423" t="s">
        <v>330</v>
      </c>
      <c r="D2420" s="521" t="s">
        <v>603</v>
      </c>
      <c r="E2420" s="522">
        <v>201605</v>
      </c>
      <c r="F2420" s="523">
        <v>2.04</v>
      </c>
      <c r="G2420" s="521">
        <v>11.5</v>
      </c>
      <c r="H2420" s="524">
        <v>1.3083000000000001E-3</v>
      </c>
      <c r="I2420" s="523">
        <v>0.03</v>
      </c>
      <c r="J2420" s="523">
        <v>0.03</v>
      </c>
    </row>
    <row r="2421" spans="1:10" s="559" customFormat="1">
      <c r="A2421" s="521" t="s">
        <v>318</v>
      </c>
      <c r="B2421" s="522" t="s">
        <v>788</v>
      </c>
      <c r="C2421" s="423" t="s">
        <v>330</v>
      </c>
      <c r="D2421" s="521" t="s">
        <v>789</v>
      </c>
      <c r="E2421" s="522">
        <v>201605</v>
      </c>
      <c r="F2421" s="523">
        <v>5481.14</v>
      </c>
      <c r="G2421" s="521">
        <v>11.5</v>
      </c>
      <c r="H2421" s="524">
        <v>1.3083000000000001E-3</v>
      </c>
      <c r="I2421" s="523">
        <v>82.47</v>
      </c>
      <c r="J2421" s="523">
        <v>86.05</v>
      </c>
    </row>
    <row r="2422" spans="1:10" s="559" customFormat="1">
      <c r="A2422" s="521" t="s">
        <v>318</v>
      </c>
      <c r="B2422" s="522" t="s">
        <v>564</v>
      </c>
      <c r="C2422" s="423" t="s">
        <v>330</v>
      </c>
      <c r="D2422" s="521" t="s">
        <v>669</v>
      </c>
      <c r="E2422" s="522">
        <v>201605</v>
      </c>
      <c r="F2422" s="523">
        <v>-0.59</v>
      </c>
      <c r="G2422" s="521">
        <v>11.5</v>
      </c>
      <c r="H2422" s="524">
        <v>1.3083000000000001E-3</v>
      </c>
      <c r="I2422" s="523">
        <v>-0.01</v>
      </c>
      <c r="J2422" s="523">
        <v>-0.01</v>
      </c>
    </row>
    <row r="2423" spans="1:10" s="559" customFormat="1">
      <c r="A2423" s="521" t="s">
        <v>318</v>
      </c>
      <c r="B2423" s="522" t="s">
        <v>832</v>
      </c>
      <c r="C2423" s="423" t="s">
        <v>330</v>
      </c>
      <c r="D2423" s="521" t="s">
        <v>833</v>
      </c>
      <c r="E2423" s="522">
        <v>201605</v>
      </c>
      <c r="F2423" s="523">
        <v>2525.25</v>
      </c>
      <c r="G2423" s="521">
        <v>11.5</v>
      </c>
      <c r="H2423" s="524">
        <v>1.3083000000000001E-3</v>
      </c>
      <c r="I2423" s="523">
        <v>37.99</v>
      </c>
      <c r="J2423" s="523">
        <v>39.65</v>
      </c>
    </row>
    <row r="2424" spans="1:10" s="559" customFormat="1">
      <c r="A2424" s="521" t="s">
        <v>318</v>
      </c>
      <c r="B2424" s="522" t="s">
        <v>670</v>
      </c>
      <c r="C2424" s="423" t="s">
        <v>330</v>
      </c>
      <c r="D2424" s="521" t="s">
        <v>671</v>
      </c>
      <c r="E2424" s="522">
        <v>201605</v>
      </c>
      <c r="F2424" s="523">
        <v>5163.6499999999996</v>
      </c>
      <c r="G2424" s="521">
        <v>11.5</v>
      </c>
      <c r="H2424" s="524">
        <v>1.3083000000000001E-3</v>
      </c>
      <c r="I2424" s="523">
        <v>77.69</v>
      </c>
      <c r="J2424" s="523">
        <v>81.069999999999993</v>
      </c>
    </row>
    <row r="2425" spans="1:10" s="559" customFormat="1">
      <c r="A2425" s="521" t="s">
        <v>318</v>
      </c>
      <c r="B2425" s="522" t="s">
        <v>606</v>
      </c>
      <c r="C2425" s="423" t="s">
        <v>330</v>
      </c>
      <c r="D2425" s="521" t="s">
        <v>607</v>
      </c>
      <c r="E2425" s="522">
        <v>201605</v>
      </c>
      <c r="F2425" s="523">
        <v>7.88</v>
      </c>
      <c r="G2425" s="521">
        <v>11.5</v>
      </c>
      <c r="H2425" s="524">
        <v>1.3083000000000001E-3</v>
      </c>
      <c r="I2425" s="523">
        <v>0.12</v>
      </c>
      <c r="J2425" s="523">
        <v>0.12</v>
      </c>
    </row>
    <row r="2426" spans="1:10" s="559" customFormat="1">
      <c r="A2426" s="521" t="s">
        <v>318</v>
      </c>
      <c r="B2426" s="522" t="s">
        <v>608</v>
      </c>
      <c r="C2426" s="423" t="s">
        <v>330</v>
      </c>
      <c r="D2426" s="521" t="s">
        <v>609</v>
      </c>
      <c r="E2426" s="522">
        <v>201605</v>
      </c>
      <c r="F2426" s="523">
        <v>0.24</v>
      </c>
      <c r="G2426" s="521">
        <v>11.5</v>
      </c>
      <c r="H2426" s="524">
        <v>1.3083000000000001E-3</v>
      </c>
      <c r="I2426" s="523">
        <v>0</v>
      </c>
      <c r="J2426" s="523">
        <v>0</v>
      </c>
    </row>
    <row r="2427" spans="1:10" s="559" customFormat="1">
      <c r="A2427" s="521" t="s">
        <v>318</v>
      </c>
      <c r="B2427" s="522" t="s">
        <v>610</v>
      </c>
      <c r="C2427" s="423" t="s">
        <v>330</v>
      </c>
      <c r="D2427" s="521" t="s">
        <v>611</v>
      </c>
      <c r="E2427" s="522">
        <v>201605</v>
      </c>
      <c r="F2427" s="523">
        <v>3.19</v>
      </c>
      <c r="G2427" s="521">
        <v>11.5</v>
      </c>
      <c r="H2427" s="524">
        <v>1.3083000000000001E-3</v>
      </c>
      <c r="I2427" s="523">
        <v>0.05</v>
      </c>
      <c r="J2427" s="523">
        <v>0.05</v>
      </c>
    </row>
    <row r="2428" spans="1:10" s="559" customFormat="1">
      <c r="A2428" s="521" t="s">
        <v>318</v>
      </c>
      <c r="B2428" s="522" t="s">
        <v>814</v>
      </c>
      <c r="C2428" s="423" t="s">
        <v>330</v>
      </c>
      <c r="D2428" s="521" t="s">
        <v>815</v>
      </c>
      <c r="E2428" s="522">
        <v>201605</v>
      </c>
      <c r="F2428" s="523">
        <v>7087.15</v>
      </c>
      <c r="G2428" s="521">
        <v>11.5</v>
      </c>
      <c r="H2428" s="524">
        <v>1.3083000000000001E-3</v>
      </c>
      <c r="I2428" s="523">
        <v>106.63</v>
      </c>
      <c r="J2428" s="523">
        <v>111.27</v>
      </c>
    </row>
    <row r="2429" spans="1:10" s="559" customFormat="1">
      <c r="A2429" s="521" t="s">
        <v>318</v>
      </c>
      <c r="B2429" s="522" t="s">
        <v>674</v>
      </c>
      <c r="C2429" s="423" t="s">
        <v>330</v>
      </c>
      <c r="D2429" s="521" t="s">
        <v>675</v>
      </c>
      <c r="E2429" s="522">
        <v>201605</v>
      </c>
      <c r="F2429" s="523">
        <v>90788.2</v>
      </c>
      <c r="G2429" s="521">
        <v>11.5</v>
      </c>
      <c r="H2429" s="524">
        <v>1.3083000000000001E-3</v>
      </c>
      <c r="I2429" s="523">
        <v>1365.95</v>
      </c>
      <c r="J2429" s="523">
        <v>1425.34</v>
      </c>
    </row>
    <row r="2430" spans="1:10" s="559" customFormat="1">
      <c r="A2430" s="521" t="s">
        <v>318</v>
      </c>
      <c r="B2430" s="522" t="s">
        <v>790</v>
      </c>
      <c r="C2430" s="423" t="s">
        <v>330</v>
      </c>
      <c r="D2430" s="521" t="s">
        <v>791</v>
      </c>
      <c r="E2430" s="522">
        <v>201605</v>
      </c>
      <c r="F2430" s="523">
        <v>11683.15</v>
      </c>
      <c r="G2430" s="521">
        <v>11.5</v>
      </c>
      <c r="H2430" s="524">
        <v>1.3083000000000001E-3</v>
      </c>
      <c r="I2430" s="523">
        <v>175.78</v>
      </c>
      <c r="J2430" s="523">
        <v>183.42</v>
      </c>
    </row>
    <row r="2431" spans="1:10" s="559" customFormat="1">
      <c r="A2431" s="521" t="s">
        <v>318</v>
      </c>
      <c r="B2431" s="522" t="s">
        <v>723</v>
      </c>
      <c r="C2431" s="423" t="s">
        <v>331</v>
      </c>
      <c r="D2431" s="521" t="s">
        <v>724</v>
      </c>
      <c r="E2431" s="522">
        <v>201605</v>
      </c>
      <c r="F2431" s="523">
        <v>0.38</v>
      </c>
      <c r="G2431" s="521">
        <v>11.5</v>
      </c>
      <c r="H2431" s="524">
        <v>1.3083000000000001E-3</v>
      </c>
      <c r="I2431" s="523">
        <v>0.01</v>
      </c>
      <c r="J2431" s="523">
        <v>0.01</v>
      </c>
    </row>
    <row r="2432" spans="1:10" s="559" customFormat="1">
      <c r="A2432" s="521" t="s">
        <v>318</v>
      </c>
      <c r="B2432" s="522" t="s">
        <v>678</v>
      </c>
      <c r="C2432" s="423" t="s">
        <v>330</v>
      </c>
      <c r="D2432" s="521" t="s">
        <v>679</v>
      </c>
      <c r="E2432" s="522">
        <v>201605</v>
      </c>
      <c r="F2432" s="523">
        <v>333423.37</v>
      </c>
      <c r="G2432" s="521">
        <v>11.5</v>
      </c>
      <c r="H2432" s="524">
        <v>1.3083000000000001E-3</v>
      </c>
      <c r="I2432" s="523">
        <v>5016.5</v>
      </c>
      <c r="J2432" s="523">
        <v>5234.6099999999997</v>
      </c>
    </row>
    <row r="2433" spans="1:10" s="559" customFormat="1">
      <c r="A2433" s="521" t="s">
        <v>318</v>
      </c>
      <c r="B2433" s="522" t="s">
        <v>680</v>
      </c>
      <c r="C2433" s="423" t="s">
        <v>330</v>
      </c>
      <c r="D2433" s="521" t="s">
        <v>681</v>
      </c>
      <c r="E2433" s="522">
        <v>201605</v>
      </c>
      <c r="F2433" s="523">
        <v>-50.94</v>
      </c>
      <c r="G2433" s="521">
        <v>11.5</v>
      </c>
      <c r="H2433" s="524">
        <v>1.3083000000000001E-3</v>
      </c>
      <c r="I2433" s="523">
        <v>-0.77</v>
      </c>
      <c r="J2433" s="523">
        <v>-0.8</v>
      </c>
    </row>
    <row r="2434" spans="1:10" s="559" customFormat="1">
      <c r="A2434" s="521" t="s">
        <v>318</v>
      </c>
      <c r="B2434" s="522" t="s">
        <v>682</v>
      </c>
      <c r="C2434" s="423" t="s">
        <v>330</v>
      </c>
      <c r="D2434" s="521" t="s">
        <v>683</v>
      </c>
      <c r="E2434" s="522">
        <v>201605</v>
      </c>
      <c r="F2434" s="523">
        <v>9629.19</v>
      </c>
      <c r="G2434" s="521">
        <v>11.5</v>
      </c>
      <c r="H2434" s="524">
        <v>1.3083000000000001E-3</v>
      </c>
      <c r="I2434" s="523">
        <v>144.88</v>
      </c>
      <c r="J2434" s="523">
        <v>151.16999999999999</v>
      </c>
    </row>
    <row r="2435" spans="1:10" s="559" customFormat="1">
      <c r="A2435" s="521" t="s">
        <v>318</v>
      </c>
      <c r="B2435" s="522" t="s">
        <v>623</v>
      </c>
      <c r="C2435" s="423" t="s">
        <v>331</v>
      </c>
      <c r="D2435" s="521" t="s">
        <v>624</v>
      </c>
      <c r="E2435" s="522">
        <v>201605</v>
      </c>
      <c r="F2435" s="523">
        <v>3631.68</v>
      </c>
      <c r="G2435" s="521">
        <v>11.5</v>
      </c>
      <c r="H2435" s="524">
        <v>1.3083000000000001E-3</v>
      </c>
      <c r="I2435" s="523">
        <v>54.64</v>
      </c>
      <c r="J2435" s="523">
        <v>57.02</v>
      </c>
    </row>
    <row r="2436" spans="1:10" s="559" customFormat="1">
      <c r="A2436" s="521" t="s">
        <v>318</v>
      </c>
      <c r="B2436" s="522" t="s">
        <v>846</v>
      </c>
      <c r="C2436" s="423" t="s">
        <v>330</v>
      </c>
      <c r="D2436" s="521" t="s">
        <v>847</v>
      </c>
      <c r="E2436" s="522">
        <v>201605</v>
      </c>
      <c r="F2436" s="523">
        <v>113777.36</v>
      </c>
      <c r="G2436" s="521">
        <v>11.5</v>
      </c>
      <c r="H2436" s="524">
        <v>1.3083000000000001E-3</v>
      </c>
      <c r="I2436" s="523">
        <v>1711.83</v>
      </c>
      <c r="J2436" s="523">
        <v>1786.26</v>
      </c>
    </row>
    <row r="2437" spans="1:10" s="559" customFormat="1">
      <c r="A2437" s="521" t="s">
        <v>318</v>
      </c>
      <c r="B2437" s="522" t="s">
        <v>684</v>
      </c>
      <c r="C2437" s="423" t="s">
        <v>330</v>
      </c>
      <c r="D2437" s="521" t="s">
        <v>685</v>
      </c>
      <c r="E2437" s="522">
        <v>201605</v>
      </c>
      <c r="F2437" s="523">
        <v>-3.03</v>
      </c>
      <c r="G2437" s="521">
        <v>11.5</v>
      </c>
      <c r="H2437" s="524">
        <v>1.3083000000000001E-3</v>
      </c>
      <c r="I2437" s="523">
        <v>-0.05</v>
      </c>
      <c r="J2437" s="523">
        <v>-0.05</v>
      </c>
    </row>
    <row r="2438" spans="1:10" s="559" customFormat="1">
      <c r="A2438" s="521" t="s">
        <v>318</v>
      </c>
      <c r="B2438" s="522" t="s">
        <v>710</v>
      </c>
      <c r="C2438" s="423" t="s">
        <v>439</v>
      </c>
      <c r="D2438" s="521" t="s">
        <v>711</v>
      </c>
      <c r="E2438" s="522">
        <v>201605</v>
      </c>
      <c r="F2438" s="523">
        <v>7.11</v>
      </c>
      <c r="G2438" s="521">
        <v>11.5</v>
      </c>
      <c r="H2438" s="524">
        <v>1.3083000000000001E-3</v>
      </c>
      <c r="I2438" s="523">
        <v>0.11</v>
      </c>
      <c r="J2438" s="523">
        <v>0.11</v>
      </c>
    </row>
    <row r="2439" spans="1:10" s="559" customFormat="1">
      <c r="A2439" s="521" t="s">
        <v>318</v>
      </c>
      <c r="B2439" s="522" t="s">
        <v>712</v>
      </c>
      <c r="C2439" s="423" t="s">
        <v>331</v>
      </c>
      <c r="D2439" s="521" t="s">
        <v>713</v>
      </c>
      <c r="E2439" s="522">
        <v>201605</v>
      </c>
      <c r="F2439" s="523">
        <v>599.37</v>
      </c>
      <c r="G2439" s="521">
        <v>11.5</v>
      </c>
      <c r="H2439" s="524">
        <v>1.3083000000000001E-3</v>
      </c>
      <c r="I2439" s="523">
        <v>9.02</v>
      </c>
      <c r="J2439" s="523">
        <v>9.41</v>
      </c>
    </row>
    <row r="2440" spans="1:10" s="559" customFormat="1">
      <c r="A2440" s="521" t="s">
        <v>318</v>
      </c>
      <c r="B2440" s="522" t="s">
        <v>822</v>
      </c>
      <c r="C2440" s="423" t="s">
        <v>330</v>
      </c>
      <c r="D2440" s="521" t="s">
        <v>823</v>
      </c>
      <c r="E2440" s="522">
        <v>201605</v>
      </c>
      <c r="F2440" s="523">
        <v>7877.49</v>
      </c>
      <c r="G2440" s="521">
        <v>11.5</v>
      </c>
      <c r="H2440" s="524">
        <v>1.3083000000000001E-3</v>
      </c>
      <c r="I2440" s="523">
        <v>118.52</v>
      </c>
      <c r="J2440" s="523">
        <v>123.67</v>
      </c>
    </row>
    <row r="2441" spans="1:10" s="559" customFormat="1">
      <c r="A2441" s="521" t="s">
        <v>318</v>
      </c>
      <c r="B2441" s="522" t="s">
        <v>690</v>
      </c>
      <c r="C2441" s="423" t="s">
        <v>330</v>
      </c>
      <c r="D2441" s="521" t="s">
        <v>691</v>
      </c>
      <c r="E2441" s="522">
        <v>201605</v>
      </c>
      <c r="F2441" s="523">
        <v>62819.01</v>
      </c>
      <c r="G2441" s="521">
        <v>11.5</v>
      </c>
      <c r="H2441" s="524">
        <v>1.3083000000000001E-3</v>
      </c>
      <c r="I2441" s="523">
        <v>945.14</v>
      </c>
      <c r="J2441" s="523">
        <v>986.23</v>
      </c>
    </row>
    <row r="2442" spans="1:10" s="559" customFormat="1">
      <c r="A2442" s="521" t="s">
        <v>318</v>
      </c>
      <c r="B2442" s="522" t="s">
        <v>625</v>
      </c>
      <c r="C2442" s="423" t="s">
        <v>331</v>
      </c>
      <c r="D2442" s="521" t="s">
        <v>626</v>
      </c>
      <c r="E2442" s="522">
        <v>201605</v>
      </c>
      <c r="F2442" s="523">
        <v>0.92</v>
      </c>
      <c r="G2442" s="521">
        <v>11.5</v>
      </c>
      <c r="H2442" s="524">
        <v>1.3083000000000001E-3</v>
      </c>
      <c r="I2442" s="523">
        <v>0.01</v>
      </c>
      <c r="J2442" s="523">
        <v>0.01</v>
      </c>
    </row>
    <row r="2443" spans="1:10" s="559" customFormat="1">
      <c r="A2443" s="521" t="s">
        <v>318</v>
      </c>
      <c r="B2443" s="522" t="s">
        <v>692</v>
      </c>
      <c r="C2443" s="423" t="s">
        <v>330</v>
      </c>
      <c r="D2443" s="521" t="s">
        <v>693</v>
      </c>
      <c r="E2443" s="522">
        <v>201605</v>
      </c>
      <c r="F2443" s="523">
        <v>123.88</v>
      </c>
      <c r="G2443" s="521">
        <v>11.5</v>
      </c>
      <c r="H2443" s="524">
        <v>1.3083000000000001E-3</v>
      </c>
      <c r="I2443" s="523">
        <v>1.86</v>
      </c>
      <c r="J2443" s="523">
        <v>1.94</v>
      </c>
    </row>
    <row r="2444" spans="1:10" s="559" customFormat="1">
      <c r="A2444" s="521" t="s">
        <v>318</v>
      </c>
      <c r="B2444" s="522" t="s">
        <v>694</v>
      </c>
      <c r="C2444" s="423" t="s">
        <v>330</v>
      </c>
      <c r="D2444" s="521" t="s">
        <v>695</v>
      </c>
      <c r="E2444" s="522">
        <v>201605</v>
      </c>
      <c r="F2444" s="523">
        <v>4.12</v>
      </c>
      <c r="G2444" s="521">
        <v>11.5</v>
      </c>
      <c r="H2444" s="524">
        <v>1.3083000000000001E-3</v>
      </c>
      <c r="I2444" s="523">
        <v>0.06</v>
      </c>
      <c r="J2444" s="523">
        <v>0.06</v>
      </c>
    </row>
    <row r="2445" spans="1:10" s="559" customFormat="1">
      <c r="A2445" s="521" t="s">
        <v>318</v>
      </c>
      <c r="B2445" s="522" t="s">
        <v>696</v>
      </c>
      <c r="C2445" s="423" t="s">
        <v>330</v>
      </c>
      <c r="D2445" s="521" t="s">
        <v>697</v>
      </c>
      <c r="E2445" s="522">
        <v>201605</v>
      </c>
      <c r="F2445" s="523">
        <v>-0.28999999999999998</v>
      </c>
      <c r="G2445" s="521">
        <v>11.5</v>
      </c>
      <c r="H2445" s="524">
        <v>1.3083000000000001E-3</v>
      </c>
      <c r="I2445" s="523">
        <v>0</v>
      </c>
      <c r="J2445" s="523">
        <v>0</v>
      </c>
    </row>
    <row r="2446" spans="1:10" s="559" customFormat="1">
      <c r="A2446" s="521" t="s">
        <v>318</v>
      </c>
      <c r="B2446" s="522" t="s">
        <v>698</v>
      </c>
      <c r="C2446" s="423" t="s">
        <v>330</v>
      </c>
      <c r="D2446" s="521" t="s">
        <v>699</v>
      </c>
      <c r="E2446" s="522">
        <v>201605</v>
      </c>
      <c r="F2446" s="523">
        <v>373.55</v>
      </c>
      <c r="G2446" s="521">
        <v>11.5</v>
      </c>
      <c r="H2446" s="524">
        <v>1.3083000000000001E-3</v>
      </c>
      <c r="I2446" s="523">
        <v>5.62</v>
      </c>
      <c r="J2446" s="523">
        <v>5.86</v>
      </c>
    </row>
    <row r="2447" spans="1:10" s="559" customFormat="1">
      <c r="A2447" s="521" t="s">
        <v>318</v>
      </c>
      <c r="B2447" s="522" t="s">
        <v>700</v>
      </c>
      <c r="C2447" s="423" t="s">
        <v>330</v>
      </c>
      <c r="D2447" s="521" t="s">
        <v>701</v>
      </c>
      <c r="E2447" s="522">
        <v>201605</v>
      </c>
      <c r="F2447" s="523">
        <v>130.19</v>
      </c>
      <c r="G2447" s="521">
        <v>11.5</v>
      </c>
      <c r="H2447" s="524">
        <v>1.3083000000000001E-3</v>
      </c>
      <c r="I2447" s="523">
        <v>1.96</v>
      </c>
      <c r="J2447" s="523">
        <v>2.04</v>
      </c>
    </row>
    <row r="2448" spans="1:10" s="559" customFormat="1">
      <c r="A2448" s="521" t="s">
        <v>318</v>
      </c>
      <c r="B2448" s="522" t="s">
        <v>794</v>
      </c>
      <c r="C2448" s="423" t="s">
        <v>331</v>
      </c>
      <c r="D2448" s="521" t="s">
        <v>795</v>
      </c>
      <c r="E2448" s="522">
        <v>201605</v>
      </c>
      <c r="F2448" s="523">
        <v>6352.05</v>
      </c>
      <c r="G2448" s="521">
        <v>11.5</v>
      </c>
      <c r="H2448" s="524">
        <v>1.3083000000000001E-3</v>
      </c>
      <c r="I2448" s="523">
        <v>95.57</v>
      </c>
      <c r="J2448" s="523">
        <v>99.72</v>
      </c>
    </row>
    <row r="2449" spans="1:10" s="559" customFormat="1">
      <c r="A2449" s="521" t="s">
        <v>318</v>
      </c>
      <c r="B2449" s="522" t="s">
        <v>614</v>
      </c>
      <c r="C2449" s="423" t="s">
        <v>331</v>
      </c>
      <c r="D2449" s="521" t="s">
        <v>714</v>
      </c>
      <c r="E2449" s="522">
        <v>201605</v>
      </c>
      <c r="F2449" s="523">
        <v>-0.01</v>
      </c>
      <c r="G2449" s="521">
        <v>11.5</v>
      </c>
      <c r="H2449" s="524">
        <v>1.3083000000000001E-3</v>
      </c>
      <c r="I2449" s="523">
        <v>0</v>
      </c>
      <c r="J2449" s="523">
        <v>0</v>
      </c>
    </row>
    <row r="2450" spans="1:10" s="559" customFormat="1">
      <c r="A2450" s="521" t="s">
        <v>318</v>
      </c>
      <c r="B2450" s="522" t="s">
        <v>852</v>
      </c>
      <c r="C2450" s="423" t="s">
        <v>330</v>
      </c>
      <c r="D2450" s="521" t="s">
        <v>853</v>
      </c>
      <c r="E2450" s="522">
        <v>201605</v>
      </c>
      <c r="F2450" s="523">
        <v>29509.39</v>
      </c>
      <c r="G2450" s="521">
        <v>11.5</v>
      </c>
      <c r="H2450" s="524">
        <v>1.3083000000000001E-3</v>
      </c>
      <c r="I2450" s="523">
        <v>443.98</v>
      </c>
      <c r="J2450" s="523">
        <v>463.29</v>
      </c>
    </row>
    <row r="2451" spans="1:10" s="559" customFormat="1">
      <c r="A2451" s="521" t="s">
        <v>318</v>
      </c>
      <c r="B2451" s="522" t="s">
        <v>826</v>
      </c>
      <c r="C2451" s="423" t="s">
        <v>330</v>
      </c>
      <c r="D2451" s="521" t="s">
        <v>827</v>
      </c>
      <c r="E2451" s="522">
        <v>201605</v>
      </c>
      <c r="F2451" s="523">
        <v>6205.14</v>
      </c>
      <c r="G2451" s="521">
        <v>11.5</v>
      </c>
      <c r="H2451" s="524">
        <v>1.3083000000000001E-3</v>
      </c>
      <c r="I2451" s="523">
        <v>93.36</v>
      </c>
      <c r="J2451" s="523">
        <v>97.42</v>
      </c>
    </row>
    <row r="2452" spans="1:10" s="559" customFormat="1">
      <c r="A2452" s="521" t="s">
        <v>318</v>
      </c>
      <c r="B2452" s="522" t="s">
        <v>891</v>
      </c>
      <c r="C2452" s="423" t="s">
        <v>331</v>
      </c>
      <c r="D2452" s="521" t="s">
        <v>892</v>
      </c>
      <c r="E2452" s="522">
        <v>201605</v>
      </c>
      <c r="F2452" s="523">
        <v>418.7</v>
      </c>
      <c r="G2452" s="521">
        <v>11.5</v>
      </c>
      <c r="H2452" s="524">
        <v>1.3083000000000001E-3</v>
      </c>
      <c r="I2452" s="523">
        <v>6.3</v>
      </c>
      <c r="J2452" s="523">
        <v>6.57</v>
      </c>
    </row>
    <row r="2453" spans="1:10" s="559" customFormat="1">
      <c r="A2453" s="521" t="s">
        <v>318</v>
      </c>
      <c r="B2453" s="522" t="s">
        <v>854</v>
      </c>
      <c r="C2453" s="423" t="s">
        <v>330</v>
      </c>
      <c r="D2453" s="521" t="s">
        <v>855</v>
      </c>
      <c r="E2453" s="522">
        <v>201605</v>
      </c>
      <c r="F2453" s="523">
        <v>122485.6</v>
      </c>
      <c r="G2453" s="521">
        <v>11.5</v>
      </c>
      <c r="H2453" s="524">
        <v>1.3083000000000001E-3</v>
      </c>
      <c r="I2453" s="523">
        <v>1842.85</v>
      </c>
      <c r="J2453" s="523">
        <v>1922.97</v>
      </c>
    </row>
    <row r="2454" spans="1:10" s="559" customFormat="1">
      <c r="A2454" s="521" t="s">
        <v>318</v>
      </c>
      <c r="B2454" s="522" t="s">
        <v>627</v>
      </c>
      <c r="C2454" s="423" t="s">
        <v>330</v>
      </c>
      <c r="D2454" s="521" t="s">
        <v>628</v>
      </c>
      <c r="E2454" s="522">
        <v>201606</v>
      </c>
      <c r="F2454" s="523">
        <v>605.04</v>
      </c>
      <c r="G2454" s="521">
        <v>10.5</v>
      </c>
      <c r="H2454" s="524">
        <v>1.3083000000000001E-3</v>
      </c>
      <c r="I2454" s="523">
        <v>8.31</v>
      </c>
      <c r="J2454" s="523">
        <v>9.5</v>
      </c>
    </row>
    <row r="2455" spans="1:10" s="559" customFormat="1">
      <c r="A2455" s="521" t="s">
        <v>318</v>
      </c>
      <c r="B2455" s="522" t="s">
        <v>706</v>
      </c>
      <c r="C2455" s="423" t="s">
        <v>343</v>
      </c>
      <c r="D2455" s="521" t="s">
        <v>707</v>
      </c>
      <c r="E2455" s="522">
        <v>201606</v>
      </c>
      <c r="F2455" s="523">
        <v>-8.4600000000000009</v>
      </c>
      <c r="G2455" s="521">
        <v>10.5</v>
      </c>
      <c r="H2455" s="524">
        <v>1.3083000000000001E-3</v>
      </c>
      <c r="I2455" s="523">
        <v>-0.12</v>
      </c>
      <c r="J2455" s="523">
        <v>-0.13</v>
      </c>
    </row>
    <row r="2456" spans="1:10" s="559" customFormat="1">
      <c r="A2456" s="521" t="s">
        <v>318</v>
      </c>
      <c r="B2456" s="522" t="s">
        <v>546</v>
      </c>
      <c r="C2456" s="423" t="s">
        <v>330</v>
      </c>
      <c r="D2456" s="521" t="s">
        <v>547</v>
      </c>
      <c r="E2456" s="522">
        <v>201606</v>
      </c>
      <c r="F2456" s="523">
        <v>-0.03</v>
      </c>
      <c r="G2456" s="521">
        <v>10.5</v>
      </c>
      <c r="H2456" s="524">
        <v>1.3083000000000001E-3</v>
      </c>
      <c r="I2456" s="523">
        <v>0</v>
      </c>
      <c r="J2456" s="523">
        <v>0</v>
      </c>
    </row>
    <row r="2457" spans="1:10" s="559" customFormat="1">
      <c r="A2457" s="521" t="s">
        <v>318</v>
      </c>
      <c r="B2457" s="522" t="s">
        <v>589</v>
      </c>
      <c r="C2457" s="423" t="s">
        <v>330</v>
      </c>
      <c r="D2457" s="521" t="s">
        <v>590</v>
      </c>
      <c r="E2457" s="522">
        <v>201606</v>
      </c>
      <c r="F2457" s="523">
        <v>21.11</v>
      </c>
      <c r="G2457" s="521">
        <v>10.5</v>
      </c>
      <c r="H2457" s="524">
        <v>1.3083000000000001E-3</v>
      </c>
      <c r="I2457" s="523">
        <v>0.28999999999999998</v>
      </c>
      <c r="J2457" s="523">
        <v>0.33</v>
      </c>
    </row>
    <row r="2458" spans="1:10" s="559" customFormat="1">
      <c r="A2458" s="521" t="s">
        <v>318</v>
      </c>
      <c r="B2458" s="522" t="s">
        <v>643</v>
      </c>
      <c r="C2458" s="423" t="s">
        <v>330</v>
      </c>
      <c r="D2458" s="521" t="s">
        <v>644</v>
      </c>
      <c r="E2458" s="522">
        <v>201606</v>
      </c>
      <c r="F2458" s="523">
        <v>549.41</v>
      </c>
      <c r="G2458" s="521">
        <v>10.5</v>
      </c>
      <c r="H2458" s="524">
        <v>1.3083000000000001E-3</v>
      </c>
      <c r="I2458" s="523">
        <v>7.55</v>
      </c>
      <c r="J2458" s="523">
        <v>8.6300000000000008</v>
      </c>
    </row>
    <row r="2459" spans="1:10" s="559" customFormat="1">
      <c r="A2459" s="521" t="s">
        <v>318</v>
      </c>
      <c r="B2459" s="522" t="s">
        <v>856</v>
      </c>
      <c r="C2459" s="423" t="s">
        <v>330</v>
      </c>
      <c r="D2459" s="521" t="s">
        <v>857</v>
      </c>
      <c r="E2459" s="522">
        <v>201606</v>
      </c>
      <c r="F2459" s="523">
        <v>33655.69</v>
      </c>
      <c r="G2459" s="521">
        <v>10.5</v>
      </c>
      <c r="H2459" s="524">
        <v>1.3083000000000001E-3</v>
      </c>
      <c r="I2459" s="523">
        <v>462.33</v>
      </c>
      <c r="J2459" s="523">
        <v>528.38</v>
      </c>
    </row>
    <row r="2460" spans="1:10" s="559" customFormat="1">
      <c r="A2460" s="521" t="s">
        <v>318</v>
      </c>
      <c r="B2460" s="522" t="s">
        <v>708</v>
      </c>
      <c r="C2460" s="423" t="s">
        <v>331</v>
      </c>
      <c r="D2460" s="521" t="s">
        <v>709</v>
      </c>
      <c r="E2460" s="522">
        <v>201606</v>
      </c>
      <c r="F2460" s="523">
        <v>-18093.72</v>
      </c>
      <c r="G2460" s="521">
        <v>10.5</v>
      </c>
      <c r="H2460" s="524">
        <v>1.3083000000000001E-3</v>
      </c>
      <c r="I2460" s="523">
        <v>-248.56</v>
      </c>
      <c r="J2460" s="523">
        <v>-284.06</v>
      </c>
    </row>
    <row r="2461" spans="1:10" s="559" customFormat="1">
      <c r="A2461" s="521" t="s">
        <v>318</v>
      </c>
      <c r="B2461" s="522" t="s">
        <v>451</v>
      </c>
      <c r="C2461" s="423" t="s">
        <v>330</v>
      </c>
      <c r="D2461" s="521" t="s">
        <v>452</v>
      </c>
      <c r="E2461" s="522">
        <v>201606</v>
      </c>
      <c r="F2461" s="523">
        <v>0.06</v>
      </c>
      <c r="G2461" s="521">
        <v>10.5</v>
      </c>
      <c r="H2461" s="524">
        <v>1.3083000000000001E-3</v>
      </c>
      <c r="I2461" s="523">
        <v>0</v>
      </c>
      <c r="J2461" s="523">
        <v>0</v>
      </c>
    </row>
    <row r="2462" spans="1:10" s="559" customFormat="1">
      <c r="A2462" s="521" t="s">
        <v>318</v>
      </c>
      <c r="B2462" s="522" t="s">
        <v>645</v>
      </c>
      <c r="C2462" s="423" t="s">
        <v>330</v>
      </c>
      <c r="D2462" s="521" t="s">
        <v>646</v>
      </c>
      <c r="E2462" s="522">
        <v>201606</v>
      </c>
      <c r="F2462" s="523">
        <v>-0.04</v>
      </c>
      <c r="G2462" s="521">
        <v>10.5</v>
      </c>
      <c r="H2462" s="524">
        <v>1.3083000000000001E-3</v>
      </c>
      <c r="I2462" s="523">
        <v>0</v>
      </c>
      <c r="J2462" s="523">
        <v>0</v>
      </c>
    </row>
    <row r="2463" spans="1:10" s="559" customFormat="1">
      <c r="A2463" s="521" t="s">
        <v>318</v>
      </c>
      <c r="B2463" s="522" t="s">
        <v>647</v>
      </c>
      <c r="C2463" s="423" t="s">
        <v>330</v>
      </c>
      <c r="D2463" s="521" t="s">
        <v>648</v>
      </c>
      <c r="E2463" s="522">
        <v>201606</v>
      </c>
      <c r="F2463" s="523">
        <v>121.26</v>
      </c>
      <c r="G2463" s="521">
        <v>10.5</v>
      </c>
      <c r="H2463" s="524">
        <v>1.3083000000000001E-3</v>
      </c>
      <c r="I2463" s="523">
        <v>1.67</v>
      </c>
      <c r="J2463" s="523">
        <v>1.9</v>
      </c>
    </row>
    <row r="2464" spans="1:10" s="559" customFormat="1">
      <c r="A2464" s="521" t="s">
        <v>318</v>
      </c>
      <c r="B2464" s="522" t="s">
        <v>629</v>
      </c>
      <c r="C2464" s="423" t="s">
        <v>330</v>
      </c>
      <c r="D2464" s="521" t="s">
        <v>630</v>
      </c>
      <c r="E2464" s="522">
        <v>201606</v>
      </c>
      <c r="F2464" s="523">
        <v>3.62</v>
      </c>
      <c r="G2464" s="521">
        <v>10.5</v>
      </c>
      <c r="H2464" s="524">
        <v>1.3083000000000001E-3</v>
      </c>
      <c r="I2464" s="523">
        <v>0.05</v>
      </c>
      <c r="J2464" s="523">
        <v>0.06</v>
      </c>
    </row>
    <row r="2465" spans="1:10" s="559" customFormat="1">
      <c r="A2465" s="521" t="s">
        <v>318</v>
      </c>
      <c r="B2465" s="522" t="s">
        <v>717</v>
      </c>
      <c r="C2465" s="423" t="s">
        <v>331</v>
      </c>
      <c r="D2465" s="521" t="s">
        <v>718</v>
      </c>
      <c r="E2465" s="522">
        <v>201606</v>
      </c>
      <c r="F2465" s="523">
        <v>207.69</v>
      </c>
      <c r="G2465" s="521">
        <v>10.5</v>
      </c>
      <c r="H2465" s="524">
        <v>1.3083000000000001E-3</v>
      </c>
      <c r="I2465" s="523">
        <v>2.85</v>
      </c>
      <c r="J2465" s="523">
        <v>3.26</v>
      </c>
    </row>
    <row r="2466" spans="1:10" s="559" customFormat="1">
      <c r="A2466" s="521" t="s">
        <v>318</v>
      </c>
      <c r="B2466" s="522" t="s">
        <v>649</v>
      </c>
      <c r="C2466" s="423" t="s">
        <v>330</v>
      </c>
      <c r="D2466" s="521" t="s">
        <v>650</v>
      </c>
      <c r="E2466" s="522">
        <v>201606</v>
      </c>
      <c r="F2466" s="523">
        <v>8480.75</v>
      </c>
      <c r="G2466" s="521">
        <v>10.5</v>
      </c>
      <c r="H2466" s="524">
        <v>1.3083000000000001E-3</v>
      </c>
      <c r="I2466" s="523">
        <v>116.5</v>
      </c>
      <c r="J2466" s="523">
        <v>133.13999999999999</v>
      </c>
    </row>
    <row r="2467" spans="1:10" s="559" customFormat="1">
      <c r="A2467" s="521" t="s">
        <v>318</v>
      </c>
      <c r="B2467" s="522" t="s">
        <v>651</v>
      </c>
      <c r="C2467" s="423" t="s">
        <v>330</v>
      </c>
      <c r="D2467" s="521" t="s">
        <v>652</v>
      </c>
      <c r="E2467" s="522">
        <v>201606</v>
      </c>
      <c r="F2467" s="523">
        <v>147701.41</v>
      </c>
      <c r="G2467" s="521">
        <v>10.5</v>
      </c>
      <c r="H2467" s="524">
        <v>1.3083000000000001E-3</v>
      </c>
      <c r="I2467" s="523">
        <v>2029</v>
      </c>
      <c r="J2467" s="523">
        <v>2318.85</v>
      </c>
    </row>
    <row r="2468" spans="1:10" s="559" customFormat="1">
      <c r="A2468" s="521" t="s">
        <v>318</v>
      </c>
      <c r="B2468" s="522" t="s">
        <v>786</v>
      </c>
      <c r="C2468" s="423" t="s">
        <v>330</v>
      </c>
      <c r="D2468" s="521" t="s">
        <v>787</v>
      </c>
      <c r="E2468" s="522">
        <v>201606</v>
      </c>
      <c r="F2468" s="523">
        <v>7989.09</v>
      </c>
      <c r="G2468" s="521">
        <v>10.5</v>
      </c>
      <c r="H2468" s="524">
        <v>1.3083000000000001E-3</v>
      </c>
      <c r="I2468" s="523">
        <v>109.75</v>
      </c>
      <c r="J2468" s="523">
        <v>125.43</v>
      </c>
    </row>
    <row r="2469" spans="1:10" s="559" customFormat="1">
      <c r="A2469" s="521" t="s">
        <v>318</v>
      </c>
      <c r="B2469" s="522" t="s">
        <v>653</v>
      </c>
      <c r="C2469" s="423" t="s">
        <v>330</v>
      </c>
      <c r="D2469" s="521" t="s">
        <v>654</v>
      </c>
      <c r="E2469" s="522">
        <v>201606</v>
      </c>
      <c r="F2469" s="523">
        <v>2634.88</v>
      </c>
      <c r="G2469" s="521">
        <v>10.5</v>
      </c>
      <c r="H2469" s="524">
        <v>1.3083000000000001E-3</v>
      </c>
      <c r="I2469" s="523">
        <v>36.200000000000003</v>
      </c>
      <c r="J2469" s="523">
        <v>41.37</v>
      </c>
    </row>
    <row r="2470" spans="1:10" s="559" customFormat="1">
      <c r="A2470" s="521" t="s">
        <v>318</v>
      </c>
      <c r="B2470" s="522" t="s">
        <v>655</v>
      </c>
      <c r="C2470" s="423" t="s">
        <v>330</v>
      </c>
      <c r="D2470" s="521" t="s">
        <v>656</v>
      </c>
      <c r="E2470" s="522">
        <v>201606</v>
      </c>
      <c r="F2470" s="523">
        <v>11.05</v>
      </c>
      <c r="G2470" s="521">
        <v>10.5</v>
      </c>
      <c r="H2470" s="524">
        <v>1.3083000000000001E-3</v>
      </c>
      <c r="I2470" s="523">
        <v>0.15</v>
      </c>
      <c r="J2470" s="523">
        <v>0.17</v>
      </c>
    </row>
    <row r="2471" spans="1:10" s="559" customFormat="1">
      <c r="A2471" s="521" t="s">
        <v>318</v>
      </c>
      <c r="B2471" s="522" t="s">
        <v>594</v>
      </c>
      <c r="C2471" s="423" t="s">
        <v>330</v>
      </c>
      <c r="D2471" s="521" t="s">
        <v>595</v>
      </c>
      <c r="E2471" s="522">
        <v>201606</v>
      </c>
      <c r="F2471" s="523">
        <v>0.71</v>
      </c>
      <c r="G2471" s="521">
        <v>10.5</v>
      </c>
      <c r="H2471" s="524">
        <v>1.3083000000000001E-3</v>
      </c>
      <c r="I2471" s="523">
        <v>0.01</v>
      </c>
      <c r="J2471" s="523">
        <v>0.01</v>
      </c>
    </row>
    <row r="2472" spans="1:10" s="559" customFormat="1">
      <c r="A2472" s="521" t="s">
        <v>318</v>
      </c>
      <c r="B2472" s="522" t="s">
        <v>596</v>
      </c>
      <c r="C2472" s="423" t="s">
        <v>330</v>
      </c>
      <c r="D2472" s="521" t="s">
        <v>597</v>
      </c>
      <c r="E2472" s="522">
        <v>201606</v>
      </c>
      <c r="F2472" s="523">
        <v>1.47</v>
      </c>
      <c r="G2472" s="521">
        <v>10.5</v>
      </c>
      <c r="H2472" s="524">
        <v>1.3083000000000001E-3</v>
      </c>
      <c r="I2472" s="523">
        <v>0.02</v>
      </c>
      <c r="J2472" s="523">
        <v>0.02</v>
      </c>
    </row>
    <row r="2473" spans="1:10" s="559" customFormat="1">
      <c r="A2473" s="521" t="s">
        <v>318</v>
      </c>
      <c r="B2473" s="522" t="s">
        <v>657</v>
      </c>
      <c r="C2473" s="423" t="s">
        <v>330</v>
      </c>
      <c r="D2473" s="521" t="s">
        <v>658</v>
      </c>
      <c r="E2473" s="522">
        <v>201606</v>
      </c>
      <c r="F2473" s="523">
        <v>-17.89</v>
      </c>
      <c r="G2473" s="521">
        <v>10.5</v>
      </c>
      <c r="H2473" s="524">
        <v>1.3083000000000001E-3</v>
      </c>
      <c r="I2473" s="523">
        <v>-0.25</v>
      </c>
      <c r="J2473" s="523">
        <v>-0.28000000000000003</v>
      </c>
    </row>
    <row r="2474" spans="1:10" s="559" customFormat="1">
      <c r="A2474" s="521" t="s">
        <v>318</v>
      </c>
      <c r="B2474" s="522" t="s">
        <v>659</v>
      </c>
      <c r="C2474" s="423" t="s">
        <v>330</v>
      </c>
      <c r="D2474" s="521" t="s">
        <v>660</v>
      </c>
      <c r="E2474" s="522">
        <v>201606</v>
      </c>
      <c r="F2474" s="523">
        <v>-112.78</v>
      </c>
      <c r="G2474" s="521">
        <v>10.5</v>
      </c>
      <c r="H2474" s="524">
        <v>1.3083000000000001E-3</v>
      </c>
      <c r="I2474" s="523">
        <v>-1.55</v>
      </c>
      <c r="J2474" s="523">
        <v>-1.77</v>
      </c>
    </row>
    <row r="2475" spans="1:10" s="559" customFormat="1">
      <c r="A2475" s="521" t="s">
        <v>318</v>
      </c>
      <c r="B2475" s="522" t="s">
        <v>663</v>
      </c>
      <c r="C2475" s="423" t="s">
        <v>330</v>
      </c>
      <c r="D2475" s="521" t="s">
        <v>664</v>
      </c>
      <c r="E2475" s="522">
        <v>201606</v>
      </c>
      <c r="F2475" s="523">
        <v>3449.21</v>
      </c>
      <c r="G2475" s="521">
        <v>10.5</v>
      </c>
      <c r="H2475" s="524">
        <v>1.3083000000000001E-3</v>
      </c>
      <c r="I2475" s="523">
        <v>47.38</v>
      </c>
      <c r="J2475" s="523">
        <v>54.15</v>
      </c>
    </row>
    <row r="2476" spans="1:10" s="559" customFormat="1">
      <c r="A2476" s="521" t="s">
        <v>318</v>
      </c>
      <c r="B2476" s="522" t="s">
        <v>665</v>
      </c>
      <c r="C2476" s="423" t="s">
        <v>330</v>
      </c>
      <c r="D2476" s="521" t="s">
        <v>666</v>
      </c>
      <c r="E2476" s="522">
        <v>201606</v>
      </c>
      <c r="F2476" s="523">
        <v>175.27</v>
      </c>
      <c r="G2476" s="521">
        <v>10.5</v>
      </c>
      <c r="H2476" s="524">
        <v>1.3083000000000001E-3</v>
      </c>
      <c r="I2476" s="523">
        <v>2.41</v>
      </c>
      <c r="J2476" s="523">
        <v>2.75</v>
      </c>
    </row>
    <row r="2477" spans="1:10" s="559" customFormat="1">
      <c r="A2477" s="521" t="s">
        <v>318</v>
      </c>
      <c r="B2477" s="522" t="s">
        <v>803</v>
      </c>
      <c r="C2477" s="423" t="s">
        <v>330</v>
      </c>
      <c r="D2477" s="521" t="s">
        <v>804</v>
      </c>
      <c r="E2477" s="522">
        <v>201606</v>
      </c>
      <c r="F2477" s="523">
        <v>-1.56</v>
      </c>
      <c r="G2477" s="521">
        <v>10.5</v>
      </c>
      <c r="H2477" s="524">
        <v>1.3083000000000001E-3</v>
      </c>
      <c r="I2477" s="523">
        <v>-0.02</v>
      </c>
      <c r="J2477" s="523">
        <v>-0.02</v>
      </c>
    </row>
    <row r="2478" spans="1:10" s="559" customFormat="1">
      <c r="A2478" s="521" t="s">
        <v>318</v>
      </c>
      <c r="B2478" s="522" t="s">
        <v>805</v>
      </c>
      <c r="C2478" s="423" t="s">
        <v>330</v>
      </c>
      <c r="D2478" s="521" t="s">
        <v>806</v>
      </c>
      <c r="E2478" s="522">
        <v>201606</v>
      </c>
      <c r="F2478" s="523">
        <v>4222.2</v>
      </c>
      <c r="G2478" s="521">
        <v>10.5</v>
      </c>
      <c r="H2478" s="524">
        <v>1.3083000000000001E-3</v>
      </c>
      <c r="I2478" s="523">
        <v>58</v>
      </c>
      <c r="J2478" s="523">
        <v>66.290000000000006</v>
      </c>
    </row>
    <row r="2479" spans="1:10" s="559" customFormat="1">
      <c r="A2479" s="521" t="s">
        <v>318</v>
      </c>
      <c r="B2479" s="522" t="s">
        <v>598</v>
      </c>
      <c r="C2479" s="423" t="s">
        <v>330</v>
      </c>
      <c r="D2479" s="521" t="s">
        <v>599</v>
      </c>
      <c r="E2479" s="522">
        <v>201606</v>
      </c>
      <c r="F2479" s="523">
        <v>-0.31</v>
      </c>
      <c r="G2479" s="521">
        <v>10.5</v>
      </c>
      <c r="H2479" s="524">
        <v>1.3083000000000001E-3</v>
      </c>
      <c r="I2479" s="523">
        <v>0</v>
      </c>
      <c r="J2479" s="523">
        <v>0</v>
      </c>
    </row>
    <row r="2480" spans="1:10" s="559" customFormat="1">
      <c r="A2480" s="521" t="s">
        <v>318</v>
      </c>
      <c r="B2480" s="522" t="s">
        <v>600</v>
      </c>
      <c r="C2480" s="423" t="s">
        <v>330</v>
      </c>
      <c r="D2480" s="521" t="s">
        <v>601</v>
      </c>
      <c r="E2480" s="522">
        <v>201606</v>
      </c>
      <c r="F2480" s="523">
        <v>1.64</v>
      </c>
      <c r="G2480" s="521">
        <v>10.5</v>
      </c>
      <c r="H2480" s="524">
        <v>1.3083000000000001E-3</v>
      </c>
      <c r="I2480" s="523">
        <v>0.02</v>
      </c>
      <c r="J2480" s="523">
        <v>0.03</v>
      </c>
    </row>
    <row r="2481" spans="1:10" s="559" customFormat="1">
      <c r="A2481" s="521" t="s">
        <v>318</v>
      </c>
      <c r="B2481" s="522" t="s">
        <v>554</v>
      </c>
      <c r="C2481" s="423" t="s">
        <v>330</v>
      </c>
      <c r="D2481" s="521" t="s">
        <v>555</v>
      </c>
      <c r="E2481" s="522">
        <v>201606</v>
      </c>
      <c r="F2481" s="523">
        <v>0.23</v>
      </c>
      <c r="G2481" s="521">
        <v>10.5</v>
      </c>
      <c r="H2481" s="524">
        <v>1.3083000000000001E-3</v>
      </c>
      <c r="I2481" s="523">
        <v>0</v>
      </c>
      <c r="J2481" s="523">
        <v>0</v>
      </c>
    </row>
    <row r="2482" spans="1:10" s="559" customFormat="1">
      <c r="A2482" s="521" t="s">
        <v>318</v>
      </c>
      <c r="B2482" s="522" t="s">
        <v>556</v>
      </c>
      <c r="C2482" s="423" t="s">
        <v>330</v>
      </c>
      <c r="D2482" s="521" t="s">
        <v>557</v>
      </c>
      <c r="E2482" s="522">
        <v>201606</v>
      </c>
      <c r="F2482" s="523">
        <v>0.41</v>
      </c>
      <c r="G2482" s="521">
        <v>10.5</v>
      </c>
      <c r="H2482" s="524">
        <v>1.3083000000000001E-3</v>
      </c>
      <c r="I2482" s="523">
        <v>0.01</v>
      </c>
      <c r="J2482" s="523">
        <v>0.01</v>
      </c>
    </row>
    <row r="2483" spans="1:10" s="559" customFormat="1">
      <c r="A2483" s="521" t="s">
        <v>318</v>
      </c>
      <c r="B2483" s="522" t="s">
        <v>558</v>
      </c>
      <c r="C2483" s="423" t="s">
        <v>330</v>
      </c>
      <c r="D2483" s="521" t="s">
        <v>559</v>
      </c>
      <c r="E2483" s="522">
        <v>201606</v>
      </c>
      <c r="F2483" s="523">
        <v>-15.99</v>
      </c>
      <c r="G2483" s="521">
        <v>10.5</v>
      </c>
      <c r="H2483" s="524">
        <v>1.3083000000000001E-3</v>
      </c>
      <c r="I2483" s="523">
        <v>-0.22</v>
      </c>
      <c r="J2483" s="523">
        <v>-0.25</v>
      </c>
    </row>
    <row r="2484" spans="1:10" s="559" customFormat="1">
      <c r="A2484" s="521" t="s">
        <v>318</v>
      </c>
      <c r="B2484" s="522" t="s">
        <v>560</v>
      </c>
      <c r="C2484" s="423" t="s">
        <v>330</v>
      </c>
      <c r="D2484" s="521" t="s">
        <v>561</v>
      </c>
      <c r="E2484" s="522">
        <v>201606</v>
      </c>
      <c r="F2484" s="523">
        <v>-0.7</v>
      </c>
      <c r="G2484" s="521">
        <v>10.5</v>
      </c>
      <c r="H2484" s="524">
        <v>1.3083000000000001E-3</v>
      </c>
      <c r="I2484" s="523">
        <v>-0.01</v>
      </c>
      <c r="J2484" s="523">
        <v>-0.01</v>
      </c>
    </row>
    <row r="2485" spans="1:10" s="559" customFormat="1">
      <c r="A2485" s="521" t="s">
        <v>318</v>
      </c>
      <c r="B2485" s="522" t="s">
        <v>602</v>
      </c>
      <c r="C2485" s="423" t="s">
        <v>330</v>
      </c>
      <c r="D2485" s="521" t="s">
        <v>603</v>
      </c>
      <c r="E2485" s="522">
        <v>201606</v>
      </c>
      <c r="F2485" s="523">
        <v>1.42</v>
      </c>
      <c r="G2485" s="521">
        <v>10.5</v>
      </c>
      <c r="H2485" s="524">
        <v>1.3083000000000001E-3</v>
      </c>
      <c r="I2485" s="523">
        <v>0.02</v>
      </c>
      <c r="J2485" s="523">
        <v>0.02</v>
      </c>
    </row>
    <row r="2486" spans="1:10" s="559" customFormat="1">
      <c r="A2486" s="521" t="s">
        <v>318</v>
      </c>
      <c r="B2486" s="522" t="s">
        <v>810</v>
      </c>
      <c r="C2486" s="423" t="s">
        <v>330</v>
      </c>
      <c r="D2486" s="521" t="s">
        <v>811</v>
      </c>
      <c r="E2486" s="522">
        <v>201606</v>
      </c>
      <c r="F2486" s="523">
        <v>457182.15</v>
      </c>
      <c r="G2486" s="521">
        <v>10.5</v>
      </c>
      <c r="H2486" s="524">
        <v>1.3083000000000001E-3</v>
      </c>
      <c r="I2486" s="523">
        <v>6280.38</v>
      </c>
      <c r="J2486" s="523">
        <v>7177.58</v>
      </c>
    </row>
    <row r="2487" spans="1:10" s="559" customFormat="1">
      <c r="A2487" s="521" t="s">
        <v>318</v>
      </c>
      <c r="B2487" s="522" t="s">
        <v>788</v>
      </c>
      <c r="C2487" s="423" t="s">
        <v>330</v>
      </c>
      <c r="D2487" s="521" t="s">
        <v>789</v>
      </c>
      <c r="E2487" s="522">
        <v>201606</v>
      </c>
      <c r="F2487" s="523">
        <v>3784.57</v>
      </c>
      <c r="G2487" s="521">
        <v>10.5</v>
      </c>
      <c r="H2487" s="524">
        <v>1.3083000000000001E-3</v>
      </c>
      <c r="I2487" s="523">
        <v>51.99</v>
      </c>
      <c r="J2487" s="523">
        <v>59.42</v>
      </c>
    </row>
    <row r="2488" spans="1:10" s="559" customFormat="1">
      <c r="A2488" s="521" t="s">
        <v>318</v>
      </c>
      <c r="B2488" s="522" t="s">
        <v>564</v>
      </c>
      <c r="C2488" s="423" t="s">
        <v>330</v>
      </c>
      <c r="D2488" s="521" t="s">
        <v>669</v>
      </c>
      <c r="E2488" s="522">
        <v>201606</v>
      </c>
      <c r="F2488" s="523">
        <v>-0.41</v>
      </c>
      <c r="G2488" s="521">
        <v>10.5</v>
      </c>
      <c r="H2488" s="524">
        <v>1.3083000000000001E-3</v>
      </c>
      <c r="I2488" s="523">
        <v>-0.01</v>
      </c>
      <c r="J2488" s="523">
        <v>-0.01</v>
      </c>
    </row>
    <row r="2489" spans="1:10" s="559" customFormat="1">
      <c r="A2489" s="521" t="s">
        <v>318</v>
      </c>
      <c r="B2489" s="522" t="s">
        <v>832</v>
      </c>
      <c r="C2489" s="423" t="s">
        <v>330</v>
      </c>
      <c r="D2489" s="521" t="s">
        <v>833</v>
      </c>
      <c r="E2489" s="522">
        <v>201606</v>
      </c>
      <c r="F2489" s="523">
        <v>1811.36</v>
      </c>
      <c r="G2489" s="521">
        <v>10.5</v>
      </c>
      <c r="H2489" s="524">
        <v>1.3083000000000001E-3</v>
      </c>
      <c r="I2489" s="523">
        <v>24.88</v>
      </c>
      <c r="J2489" s="523">
        <v>28.44</v>
      </c>
    </row>
    <row r="2490" spans="1:10" s="559" customFormat="1">
      <c r="A2490" s="521" t="s">
        <v>318</v>
      </c>
      <c r="B2490" s="522" t="s">
        <v>670</v>
      </c>
      <c r="C2490" s="423" t="s">
        <v>330</v>
      </c>
      <c r="D2490" s="521" t="s">
        <v>671</v>
      </c>
      <c r="E2490" s="522">
        <v>201606</v>
      </c>
      <c r="F2490" s="523">
        <v>3661.23</v>
      </c>
      <c r="G2490" s="521">
        <v>10.5</v>
      </c>
      <c r="H2490" s="524">
        <v>1.3083000000000001E-3</v>
      </c>
      <c r="I2490" s="523">
        <v>50.29</v>
      </c>
      <c r="J2490" s="523">
        <v>57.48</v>
      </c>
    </row>
    <row r="2491" spans="1:10" s="559" customFormat="1">
      <c r="A2491" s="521" t="s">
        <v>318</v>
      </c>
      <c r="B2491" s="522" t="s">
        <v>606</v>
      </c>
      <c r="C2491" s="423" t="s">
        <v>330</v>
      </c>
      <c r="D2491" s="521" t="s">
        <v>607</v>
      </c>
      <c r="E2491" s="522">
        <v>201606</v>
      </c>
      <c r="F2491" s="523">
        <v>5.52</v>
      </c>
      <c r="G2491" s="521">
        <v>10.5</v>
      </c>
      <c r="H2491" s="524">
        <v>1.3083000000000001E-3</v>
      </c>
      <c r="I2491" s="523">
        <v>0.08</v>
      </c>
      <c r="J2491" s="523">
        <v>0.09</v>
      </c>
    </row>
    <row r="2492" spans="1:10" s="559" customFormat="1">
      <c r="A2492" s="521" t="s">
        <v>318</v>
      </c>
      <c r="B2492" s="522" t="s">
        <v>893</v>
      </c>
      <c r="C2492" s="423" t="s">
        <v>331</v>
      </c>
      <c r="D2492" s="521" t="s">
        <v>894</v>
      </c>
      <c r="E2492" s="522">
        <v>201606</v>
      </c>
      <c r="F2492" s="523">
        <v>-5568.53</v>
      </c>
      <c r="G2492" s="521">
        <v>10.5</v>
      </c>
      <c r="H2492" s="524">
        <v>1.3083000000000001E-3</v>
      </c>
      <c r="I2492" s="523">
        <v>-76.5</v>
      </c>
      <c r="J2492" s="523">
        <v>-87.42</v>
      </c>
    </row>
    <row r="2493" spans="1:10" s="559" customFormat="1">
      <c r="A2493" s="521" t="s">
        <v>318</v>
      </c>
      <c r="B2493" s="522" t="s">
        <v>608</v>
      </c>
      <c r="C2493" s="423" t="s">
        <v>330</v>
      </c>
      <c r="D2493" s="521" t="s">
        <v>609</v>
      </c>
      <c r="E2493" s="522">
        <v>201606</v>
      </c>
      <c r="F2493" s="523">
        <v>0.17</v>
      </c>
      <c r="G2493" s="521">
        <v>10.5</v>
      </c>
      <c r="H2493" s="524">
        <v>1.3083000000000001E-3</v>
      </c>
      <c r="I2493" s="523">
        <v>0</v>
      </c>
      <c r="J2493" s="523">
        <v>0</v>
      </c>
    </row>
    <row r="2494" spans="1:10" s="559" customFormat="1">
      <c r="A2494" s="521" t="s">
        <v>318</v>
      </c>
      <c r="B2494" s="522" t="s">
        <v>610</v>
      </c>
      <c r="C2494" s="423" t="s">
        <v>330</v>
      </c>
      <c r="D2494" s="521" t="s">
        <v>611</v>
      </c>
      <c r="E2494" s="522">
        <v>201606</v>
      </c>
      <c r="F2494" s="523">
        <v>2.2200000000000002</v>
      </c>
      <c r="G2494" s="521">
        <v>10.5</v>
      </c>
      <c r="H2494" s="524">
        <v>1.3083000000000001E-3</v>
      </c>
      <c r="I2494" s="523">
        <v>0.03</v>
      </c>
      <c r="J2494" s="523">
        <v>0.03</v>
      </c>
    </row>
    <row r="2495" spans="1:10" s="559" customFormat="1">
      <c r="A2495" s="521" t="s">
        <v>318</v>
      </c>
      <c r="B2495" s="522" t="s">
        <v>814</v>
      </c>
      <c r="C2495" s="423" t="s">
        <v>330</v>
      </c>
      <c r="D2495" s="521" t="s">
        <v>815</v>
      </c>
      <c r="E2495" s="522">
        <v>201606</v>
      </c>
      <c r="F2495" s="523">
        <v>5205.72</v>
      </c>
      <c r="G2495" s="521">
        <v>10.5</v>
      </c>
      <c r="H2495" s="524">
        <v>1.3083000000000001E-3</v>
      </c>
      <c r="I2495" s="523">
        <v>71.510000000000005</v>
      </c>
      <c r="J2495" s="523">
        <v>81.73</v>
      </c>
    </row>
    <row r="2496" spans="1:10" s="559" customFormat="1">
      <c r="A2496" s="521" t="s">
        <v>318</v>
      </c>
      <c r="B2496" s="522" t="s">
        <v>674</v>
      </c>
      <c r="C2496" s="423" t="s">
        <v>330</v>
      </c>
      <c r="D2496" s="521" t="s">
        <v>675</v>
      </c>
      <c r="E2496" s="522">
        <v>201606</v>
      </c>
      <c r="F2496" s="523">
        <v>249.28</v>
      </c>
      <c r="G2496" s="521">
        <v>10.5</v>
      </c>
      <c r="H2496" s="524">
        <v>1.3083000000000001E-3</v>
      </c>
      <c r="I2496" s="523">
        <v>3.42</v>
      </c>
      <c r="J2496" s="523">
        <v>3.91</v>
      </c>
    </row>
    <row r="2497" spans="1:10" s="559" customFormat="1">
      <c r="A2497" s="521" t="s">
        <v>318</v>
      </c>
      <c r="B2497" s="522" t="s">
        <v>790</v>
      </c>
      <c r="C2497" s="423" t="s">
        <v>330</v>
      </c>
      <c r="D2497" s="521" t="s">
        <v>791</v>
      </c>
      <c r="E2497" s="522">
        <v>201606</v>
      </c>
      <c r="F2497" s="523">
        <v>2479.08</v>
      </c>
      <c r="G2497" s="521">
        <v>10.5</v>
      </c>
      <c r="H2497" s="524">
        <v>1.3083000000000001E-3</v>
      </c>
      <c r="I2497" s="523">
        <v>34.06</v>
      </c>
      <c r="J2497" s="523">
        <v>38.92</v>
      </c>
    </row>
    <row r="2498" spans="1:10" s="559" customFormat="1">
      <c r="A2498" s="521" t="s">
        <v>318</v>
      </c>
      <c r="B2498" s="522" t="s">
        <v>723</v>
      </c>
      <c r="C2498" s="423" t="s">
        <v>331</v>
      </c>
      <c r="D2498" s="521" t="s">
        <v>724</v>
      </c>
      <c r="E2498" s="522">
        <v>201606</v>
      </c>
      <c r="F2498" s="523">
        <v>0.25</v>
      </c>
      <c r="G2498" s="521">
        <v>10.5</v>
      </c>
      <c r="H2498" s="524">
        <v>1.3083000000000001E-3</v>
      </c>
      <c r="I2498" s="523">
        <v>0</v>
      </c>
      <c r="J2498" s="523">
        <v>0</v>
      </c>
    </row>
    <row r="2499" spans="1:10" s="559" customFormat="1">
      <c r="A2499" s="521" t="s">
        <v>318</v>
      </c>
      <c r="B2499" s="522" t="s">
        <v>860</v>
      </c>
      <c r="C2499" s="423" t="s">
        <v>330</v>
      </c>
      <c r="D2499" s="521" t="s">
        <v>861</v>
      </c>
      <c r="E2499" s="522">
        <v>201606</v>
      </c>
      <c r="F2499" s="523">
        <v>186069.45</v>
      </c>
      <c r="G2499" s="521">
        <v>10.5</v>
      </c>
      <c r="H2499" s="524">
        <v>1.3083000000000001E-3</v>
      </c>
      <c r="I2499" s="523">
        <v>2556.06</v>
      </c>
      <c r="J2499" s="523">
        <v>2921.22</v>
      </c>
    </row>
    <row r="2500" spans="1:10" s="559" customFormat="1">
      <c r="A2500" s="521" t="s">
        <v>318</v>
      </c>
      <c r="B2500" s="522" t="s">
        <v>678</v>
      </c>
      <c r="C2500" s="423" t="s">
        <v>330</v>
      </c>
      <c r="D2500" s="521" t="s">
        <v>679</v>
      </c>
      <c r="E2500" s="522">
        <v>201606</v>
      </c>
      <c r="F2500" s="523">
        <v>3621.4</v>
      </c>
      <c r="G2500" s="521">
        <v>10.5</v>
      </c>
      <c r="H2500" s="524">
        <v>1.3083000000000001E-3</v>
      </c>
      <c r="I2500" s="523">
        <v>49.75</v>
      </c>
      <c r="J2500" s="523">
        <v>56.85</v>
      </c>
    </row>
    <row r="2501" spans="1:10" s="559" customFormat="1">
      <c r="A2501" s="521" t="s">
        <v>318</v>
      </c>
      <c r="B2501" s="522" t="s">
        <v>680</v>
      </c>
      <c r="C2501" s="423" t="s">
        <v>330</v>
      </c>
      <c r="D2501" s="521" t="s">
        <v>681</v>
      </c>
      <c r="E2501" s="522">
        <v>201606</v>
      </c>
      <c r="F2501" s="523">
        <v>-35.54</v>
      </c>
      <c r="G2501" s="521">
        <v>10.5</v>
      </c>
      <c r="H2501" s="524">
        <v>1.3083000000000001E-3</v>
      </c>
      <c r="I2501" s="523">
        <v>-0.49</v>
      </c>
      <c r="J2501" s="523">
        <v>-0.56000000000000005</v>
      </c>
    </row>
    <row r="2502" spans="1:10" s="559" customFormat="1">
      <c r="A2502" s="521" t="s">
        <v>318</v>
      </c>
      <c r="B2502" s="522" t="s">
        <v>682</v>
      </c>
      <c r="C2502" s="423" t="s">
        <v>330</v>
      </c>
      <c r="D2502" s="521" t="s">
        <v>683</v>
      </c>
      <c r="E2502" s="522">
        <v>201606</v>
      </c>
      <c r="F2502" s="523">
        <v>17802.38</v>
      </c>
      <c r="G2502" s="521">
        <v>10.5</v>
      </c>
      <c r="H2502" s="524">
        <v>1.3083000000000001E-3</v>
      </c>
      <c r="I2502" s="523">
        <v>244.55</v>
      </c>
      <c r="J2502" s="523">
        <v>279.49</v>
      </c>
    </row>
    <row r="2503" spans="1:10" s="559" customFormat="1">
      <c r="A2503" s="521" t="s">
        <v>318</v>
      </c>
      <c r="B2503" s="522" t="s">
        <v>623</v>
      </c>
      <c r="C2503" s="423" t="s">
        <v>331</v>
      </c>
      <c r="D2503" s="521" t="s">
        <v>624</v>
      </c>
      <c r="E2503" s="522">
        <v>201606</v>
      </c>
      <c r="F2503" s="523">
        <v>-2634.37</v>
      </c>
      <c r="G2503" s="521">
        <v>10.5</v>
      </c>
      <c r="H2503" s="524">
        <v>1.3083000000000001E-3</v>
      </c>
      <c r="I2503" s="523">
        <v>-36.19</v>
      </c>
      <c r="J2503" s="523">
        <v>-41.36</v>
      </c>
    </row>
    <row r="2504" spans="1:10" s="559" customFormat="1">
      <c r="A2504" s="521" t="s">
        <v>318</v>
      </c>
      <c r="B2504" s="522" t="s">
        <v>846</v>
      </c>
      <c r="C2504" s="423" t="s">
        <v>330</v>
      </c>
      <c r="D2504" s="521" t="s">
        <v>847</v>
      </c>
      <c r="E2504" s="522">
        <v>201606</v>
      </c>
      <c r="F2504" s="523">
        <v>5771.52</v>
      </c>
      <c r="G2504" s="521">
        <v>10.5</v>
      </c>
      <c r="H2504" s="524">
        <v>1.3083000000000001E-3</v>
      </c>
      <c r="I2504" s="523">
        <v>79.28</v>
      </c>
      <c r="J2504" s="523">
        <v>90.61</v>
      </c>
    </row>
    <row r="2505" spans="1:10" s="559" customFormat="1">
      <c r="A2505" s="521" t="s">
        <v>318</v>
      </c>
      <c r="B2505" s="522" t="s">
        <v>684</v>
      </c>
      <c r="C2505" s="423" t="s">
        <v>330</v>
      </c>
      <c r="D2505" s="521" t="s">
        <v>685</v>
      </c>
      <c r="E2505" s="522">
        <v>201606</v>
      </c>
      <c r="F2505" s="523">
        <v>-8.52</v>
      </c>
      <c r="G2505" s="521">
        <v>10.5</v>
      </c>
      <c r="H2505" s="524">
        <v>1.3083000000000001E-3</v>
      </c>
      <c r="I2505" s="523">
        <v>-0.12</v>
      </c>
      <c r="J2505" s="523">
        <v>-0.13</v>
      </c>
    </row>
    <row r="2506" spans="1:10" s="559" customFormat="1">
      <c r="A2506" s="521" t="s">
        <v>318</v>
      </c>
      <c r="B2506" s="522" t="s">
        <v>710</v>
      </c>
      <c r="C2506" s="423" t="s">
        <v>439</v>
      </c>
      <c r="D2506" s="521" t="s">
        <v>711</v>
      </c>
      <c r="E2506" s="522">
        <v>201606</v>
      </c>
      <c r="F2506" s="523">
        <v>4.99</v>
      </c>
      <c r="G2506" s="521">
        <v>10.5</v>
      </c>
      <c r="H2506" s="524">
        <v>1.3083000000000001E-3</v>
      </c>
      <c r="I2506" s="523">
        <v>7.0000000000000007E-2</v>
      </c>
      <c r="J2506" s="523">
        <v>0.08</v>
      </c>
    </row>
    <row r="2507" spans="1:10" s="559" customFormat="1">
      <c r="A2507" s="521" t="s">
        <v>318</v>
      </c>
      <c r="B2507" s="522" t="s">
        <v>712</v>
      </c>
      <c r="C2507" s="423" t="s">
        <v>331</v>
      </c>
      <c r="D2507" s="521" t="s">
        <v>713</v>
      </c>
      <c r="E2507" s="522">
        <v>201606</v>
      </c>
      <c r="F2507" s="523">
        <v>886.25</v>
      </c>
      <c r="G2507" s="521">
        <v>10.5</v>
      </c>
      <c r="H2507" s="524">
        <v>1.3083000000000001E-3</v>
      </c>
      <c r="I2507" s="523">
        <v>12.17</v>
      </c>
      <c r="J2507" s="523">
        <v>13.91</v>
      </c>
    </row>
    <row r="2508" spans="1:10" s="559" customFormat="1">
      <c r="A2508" s="521" t="s">
        <v>318</v>
      </c>
      <c r="B2508" s="522" t="s">
        <v>822</v>
      </c>
      <c r="C2508" s="423" t="s">
        <v>330</v>
      </c>
      <c r="D2508" s="521" t="s">
        <v>823</v>
      </c>
      <c r="E2508" s="522">
        <v>201606</v>
      </c>
      <c r="F2508" s="523">
        <v>5763.71</v>
      </c>
      <c r="G2508" s="521">
        <v>10.5</v>
      </c>
      <c r="H2508" s="524">
        <v>1.3083000000000001E-3</v>
      </c>
      <c r="I2508" s="523">
        <v>79.180000000000007</v>
      </c>
      <c r="J2508" s="523">
        <v>90.49</v>
      </c>
    </row>
    <row r="2509" spans="1:10" s="559" customFormat="1">
      <c r="A2509" s="521" t="s">
        <v>318</v>
      </c>
      <c r="B2509" s="522" t="s">
        <v>690</v>
      </c>
      <c r="C2509" s="423" t="s">
        <v>330</v>
      </c>
      <c r="D2509" s="521" t="s">
        <v>691</v>
      </c>
      <c r="E2509" s="522">
        <v>201606</v>
      </c>
      <c r="F2509" s="523">
        <v>5717.63</v>
      </c>
      <c r="G2509" s="521">
        <v>10.5</v>
      </c>
      <c r="H2509" s="524">
        <v>1.3083000000000001E-3</v>
      </c>
      <c r="I2509" s="523">
        <v>78.540000000000006</v>
      </c>
      <c r="J2509" s="523">
        <v>89.76</v>
      </c>
    </row>
    <row r="2510" spans="1:10" s="559" customFormat="1">
      <c r="A2510" s="521" t="s">
        <v>318</v>
      </c>
      <c r="B2510" s="522" t="s">
        <v>868</v>
      </c>
      <c r="C2510" s="423" t="s">
        <v>330</v>
      </c>
      <c r="D2510" s="521" t="s">
        <v>869</v>
      </c>
      <c r="E2510" s="522">
        <v>201606</v>
      </c>
      <c r="F2510" s="523">
        <v>323967.03999999998</v>
      </c>
      <c r="G2510" s="521">
        <v>10.5</v>
      </c>
      <c r="H2510" s="524">
        <v>1.3083000000000001E-3</v>
      </c>
      <c r="I2510" s="523">
        <v>4450.38</v>
      </c>
      <c r="J2510" s="523">
        <v>5086.1499999999996</v>
      </c>
    </row>
    <row r="2511" spans="1:10" s="559" customFormat="1">
      <c r="A2511" s="521" t="s">
        <v>318</v>
      </c>
      <c r="B2511" s="522" t="s">
        <v>625</v>
      </c>
      <c r="C2511" s="423" t="s">
        <v>331</v>
      </c>
      <c r="D2511" s="521" t="s">
        <v>626</v>
      </c>
      <c r="E2511" s="522">
        <v>201606</v>
      </c>
      <c r="F2511" s="523">
        <v>0.64</v>
      </c>
      <c r="G2511" s="521">
        <v>10.5</v>
      </c>
      <c r="H2511" s="524">
        <v>1.3083000000000001E-3</v>
      </c>
      <c r="I2511" s="523">
        <v>0.01</v>
      </c>
      <c r="J2511" s="523">
        <v>0.01</v>
      </c>
    </row>
    <row r="2512" spans="1:10" s="559" customFormat="1">
      <c r="A2512" s="521" t="s">
        <v>318</v>
      </c>
      <c r="B2512" s="522" t="s">
        <v>692</v>
      </c>
      <c r="C2512" s="423" t="s">
        <v>330</v>
      </c>
      <c r="D2512" s="521" t="s">
        <v>693</v>
      </c>
      <c r="E2512" s="522">
        <v>201606</v>
      </c>
      <c r="F2512" s="523">
        <v>70.97</v>
      </c>
      <c r="G2512" s="521">
        <v>10.5</v>
      </c>
      <c r="H2512" s="524">
        <v>1.3083000000000001E-3</v>
      </c>
      <c r="I2512" s="523">
        <v>0.97</v>
      </c>
      <c r="J2512" s="523">
        <v>1.1100000000000001</v>
      </c>
    </row>
    <row r="2513" spans="1:10" s="559" customFormat="1">
      <c r="A2513" s="521" t="s">
        <v>318</v>
      </c>
      <c r="B2513" s="522" t="s">
        <v>694</v>
      </c>
      <c r="C2513" s="423" t="s">
        <v>330</v>
      </c>
      <c r="D2513" s="521" t="s">
        <v>695</v>
      </c>
      <c r="E2513" s="522">
        <v>201606</v>
      </c>
      <c r="F2513" s="523">
        <v>2.87</v>
      </c>
      <c r="G2513" s="521">
        <v>10.5</v>
      </c>
      <c r="H2513" s="524">
        <v>1.3083000000000001E-3</v>
      </c>
      <c r="I2513" s="523">
        <v>0.04</v>
      </c>
      <c r="J2513" s="523">
        <v>0.05</v>
      </c>
    </row>
    <row r="2514" spans="1:10" s="559" customFormat="1">
      <c r="A2514" s="521" t="s">
        <v>318</v>
      </c>
      <c r="B2514" s="522" t="s">
        <v>696</v>
      </c>
      <c r="C2514" s="423" t="s">
        <v>330</v>
      </c>
      <c r="D2514" s="521" t="s">
        <v>697</v>
      </c>
      <c r="E2514" s="522">
        <v>201606</v>
      </c>
      <c r="F2514" s="523">
        <v>-0.2</v>
      </c>
      <c r="G2514" s="521">
        <v>10.5</v>
      </c>
      <c r="H2514" s="524">
        <v>1.3083000000000001E-3</v>
      </c>
      <c r="I2514" s="523">
        <v>0</v>
      </c>
      <c r="J2514" s="523">
        <v>0</v>
      </c>
    </row>
    <row r="2515" spans="1:10" s="559" customFormat="1">
      <c r="A2515" s="521" t="s">
        <v>318</v>
      </c>
      <c r="B2515" s="522" t="s">
        <v>698</v>
      </c>
      <c r="C2515" s="423" t="s">
        <v>330</v>
      </c>
      <c r="D2515" s="521" t="s">
        <v>699</v>
      </c>
      <c r="E2515" s="522">
        <v>201606</v>
      </c>
      <c r="F2515" s="523">
        <v>200.47</v>
      </c>
      <c r="G2515" s="521">
        <v>10.5</v>
      </c>
      <c r="H2515" s="524">
        <v>1.3083000000000001E-3</v>
      </c>
      <c r="I2515" s="523">
        <v>2.75</v>
      </c>
      <c r="J2515" s="523">
        <v>3.15</v>
      </c>
    </row>
    <row r="2516" spans="1:10" s="559" customFormat="1">
      <c r="A2516" s="521" t="s">
        <v>318</v>
      </c>
      <c r="B2516" s="522" t="s">
        <v>700</v>
      </c>
      <c r="C2516" s="423" t="s">
        <v>330</v>
      </c>
      <c r="D2516" s="521" t="s">
        <v>701</v>
      </c>
      <c r="E2516" s="522">
        <v>201606</v>
      </c>
      <c r="F2516" s="523">
        <v>816.94</v>
      </c>
      <c r="G2516" s="521">
        <v>10.5</v>
      </c>
      <c r="H2516" s="524">
        <v>1.3083000000000001E-3</v>
      </c>
      <c r="I2516" s="523">
        <v>11.22</v>
      </c>
      <c r="J2516" s="523">
        <v>12.83</v>
      </c>
    </row>
    <row r="2517" spans="1:10" s="559" customFormat="1">
      <c r="A2517" s="521" t="s">
        <v>318</v>
      </c>
      <c r="B2517" s="522" t="s">
        <v>794</v>
      </c>
      <c r="C2517" s="423" t="s">
        <v>330</v>
      </c>
      <c r="D2517" s="521" t="s">
        <v>795</v>
      </c>
      <c r="E2517" s="522">
        <v>201606</v>
      </c>
      <c r="F2517" s="523">
        <v>1028.9000000000001</v>
      </c>
      <c r="G2517" s="521">
        <v>10.5</v>
      </c>
      <c r="H2517" s="524">
        <v>1.3083000000000001E-3</v>
      </c>
      <c r="I2517" s="523">
        <v>14.13</v>
      </c>
      <c r="J2517" s="523">
        <v>16.149999999999999</v>
      </c>
    </row>
    <row r="2518" spans="1:10" s="559" customFormat="1">
      <c r="A2518" s="521" t="s">
        <v>318</v>
      </c>
      <c r="B2518" s="522" t="s">
        <v>614</v>
      </c>
      <c r="C2518" s="423" t="s">
        <v>331</v>
      </c>
      <c r="D2518" s="521" t="s">
        <v>714</v>
      </c>
      <c r="E2518" s="522">
        <v>201606</v>
      </c>
      <c r="F2518" s="523">
        <v>-0.01</v>
      </c>
      <c r="G2518" s="521">
        <v>10.5</v>
      </c>
      <c r="H2518" s="524">
        <v>1.3083000000000001E-3</v>
      </c>
      <c r="I2518" s="523">
        <v>0</v>
      </c>
      <c r="J2518" s="523">
        <v>0</v>
      </c>
    </row>
    <row r="2519" spans="1:10" s="559" customFormat="1">
      <c r="A2519" s="521" t="s">
        <v>318</v>
      </c>
      <c r="B2519" s="522" t="s">
        <v>852</v>
      </c>
      <c r="C2519" s="423" t="s">
        <v>330</v>
      </c>
      <c r="D2519" s="521" t="s">
        <v>853</v>
      </c>
      <c r="E2519" s="522">
        <v>201606</v>
      </c>
      <c r="F2519" s="523">
        <v>1455.09</v>
      </c>
      <c r="G2519" s="521">
        <v>10.5</v>
      </c>
      <c r="H2519" s="524">
        <v>1.3083000000000001E-3</v>
      </c>
      <c r="I2519" s="523">
        <v>19.989999999999998</v>
      </c>
      <c r="J2519" s="523">
        <v>22.84</v>
      </c>
    </row>
    <row r="2520" spans="1:10" s="559" customFormat="1">
      <c r="A2520" s="521" t="s">
        <v>318</v>
      </c>
      <c r="B2520" s="522" t="s">
        <v>870</v>
      </c>
      <c r="C2520" s="423" t="s">
        <v>330</v>
      </c>
      <c r="D2520" s="521" t="s">
        <v>871</v>
      </c>
      <c r="E2520" s="522">
        <v>201606</v>
      </c>
      <c r="F2520" s="523">
        <v>9536.68</v>
      </c>
      <c r="G2520" s="521">
        <v>10.5</v>
      </c>
      <c r="H2520" s="524">
        <v>1.3083000000000001E-3</v>
      </c>
      <c r="I2520" s="523">
        <v>131.01</v>
      </c>
      <c r="J2520" s="523">
        <v>149.72</v>
      </c>
    </row>
    <row r="2521" spans="1:10" s="559" customFormat="1">
      <c r="A2521" s="521" t="s">
        <v>318</v>
      </c>
      <c r="B2521" s="522" t="s">
        <v>872</v>
      </c>
      <c r="C2521" s="423" t="s">
        <v>330</v>
      </c>
      <c r="D2521" s="521" t="s">
        <v>873</v>
      </c>
      <c r="E2521" s="522">
        <v>201606</v>
      </c>
      <c r="F2521" s="523">
        <v>62990.32</v>
      </c>
      <c r="G2521" s="521">
        <v>10.5</v>
      </c>
      <c r="H2521" s="524">
        <v>1.3083000000000001E-3</v>
      </c>
      <c r="I2521" s="523">
        <v>865.31</v>
      </c>
      <c r="J2521" s="523">
        <v>988.92</v>
      </c>
    </row>
    <row r="2522" spans="1:10" s="559" customFormat="1">
      <c r="A2522" s="521" t="s">
        <v>318</v>
      </c>
      <c r="B2522" s="522" t="s">
        <v>826</v>
      </c>
      <c r="C2522" s="423" t="s">
        <v>330</v>
      </c>
      <c r="D2522" s="521" t="s">
        <v>827</v>
      </c>
      <c r="E2522" s="522">
        <v>201606</v>
      </c>
      <c r="F2522" s="523">
        <v>4505.3999999999996</v>
      </c>
      <c r="G2522" s="521">
        <v>10.5</v>
      </c>
      <c r="H2522" s="524">
        <v>1.3083000000000001E-3</v>
      </c>
      <c r="I2522" s="523">
        <v>61.89</v>
      </c>
      <c r="J2522" s="523">
        <v>70.73</v>
      </c>
    </row>
    <row r="2523" spans="1:10" s="559" customFormat="1">
      <c r="A2523" s="521" t="s">
        <v>318</v>
      </c>
      <c r="B2523" s="522" t="s">
        <v>874</v>
      </c>
      <c r="C2523" s="423" t="s">
        <v>330</v>
      </c>
      <c r="D2523" s="521" t="s">
        <v>875</v>
      </c>
      <c r="E2523" s="522">
        <v>201606</v>
      </c>
      <c r="F2523" s="523">
        <v>66418.009999999995</v>
      </c>
      <c r="G2523" s="521">
        <v>10.5</v>
      </c>
      <c r="H2523" s="524">
        <v>1.3083000000000001E-3</v>
      </c>
      <c r="I2523" s="523">
        <v>912.39</v>
      </c>
      <c r="J2523" s="523">
        <v>1042.74</v>
      </c>
    </row>
    <row r="2524" spans="1:10" s="559" customFormat="1">
      <c r="A2524" s="521" t="s">
        <v>318</v>
      </c>
      <c r="B2524" s="522" t="s">
        <v>876</v>
      </c>
      <c r="C2524" s="423" t="s">
        <v>330</v>
      </c>
      <c r="D2524" s="521" t="s">
        <v>877</v>
      </c>
      <c r="E2524" s="522">
        <v>201606</v>
      </c>
      <c r="F2524" s="523">
        <v>146945.37</v>
      </c>
      <c r="G2524" s="521">
        <v>10.5</v>
      </c>
      <c r="H2524" s="524">
        <v>1.3083000000000001E-3</v>
      </c>
      <c r="I2524" s="523">
        <v>2018.61</v>
      </c>
      <c r="J2524" s="523">
        <v>2306.98</v>
      </c>
    </row>
    <row r="2525" spans="1:10" s="559" customFormat="1">
      <c r="A2525" s="521" t="s">
        <v>318</v>
      </c>
      <c r="B2525" s="522" t="s">
        <v>878</v>
      </c>
      <c r="C2525" s="423" t="s">
        <v>330</v>
      </c>
      <c r="D2525" s="521" t="s">
        <v>879</v>
      </c>
      <c r="E2525" s="522">
        <v>201606</v>
      </c>
      <c r="F2525" s="523">
        <v>59833.01</v>
      </c>
      <c r="G2525" s="521">
        <v>10.5</v>
      </c>
      <c r="H2525" s="524">
        <v>1.3083000000000001E-3</v>
      </c>
      <c r="I2525" s="523">
        <v>821.94</v>
      </c>
      <c r="J2525" s="523">
        <v>939.35</v>
      </c>
    </row>
    <row r="2526" spans="1:10" s="559" customFormat="1">
      <c r="A2526" s="521" t="s">
        <v>318</v>
      </c>
      <c r="B2526" s="522" t="s">
        <v>891</v>
      </c>
      <c r="C2526" s="423" t="s">
        <v>331</v>
      </c>
      <c r="D2526" s="521" t="s">
        <v>892</v>
      </c>
      <c r="E2526" s="522">
        <v>201606</v>
      </c>
      <c r="F2526" s="523">
        <v>299.32</v>
      </c>
      <c r="G2526" s="521">
        <v>10.5</v>
      </c>
      <c r="H2526" s="524">
        <v>1.3083000000000001E-3</v>
      </c>
      <c r="I2526" s="523">
        <v>4.1100000000000003</v>
      </c>
      <c r="J2526" s="523">
        <v>4.7</v>
      </c>
    </row>
    <row r="2527" spans="1:10" s="559" customFormat="1">
      <c r="A2527" s="521" t="s">
        <v>318</v>
      </c>
      <c r="B2527" s="522" t="s">
        <v>882</v>
      </c>
      <c r="C2527" s="423" t="s">
        <v>330</v>
      </c>
      <c r="D2527" s="521" t="s">
        <v>883</v>
      </c>
      <c r="E2527" s="522">
        <v>201606</v>
      </c>
      <c r="F2527" s="523">
        <v>28283.279999999999</v>
      </c>
      <c r="G2527" s="521">
        <v>10.5</v>
      </c>
      <c r="H2527" s="524">
        <v>1.3083000000000001E-3</v>
      </c>
      <c r="I2527" s="523">
        <v>388.53</v>
      </c>
      <c r="J2527" s="523">
        <v>444.04</v>
      </c>
    </row>
    <row r="2528" spans="1:10" s="559" customFormat="1">
      <c r="A2528" s="521" t="s">
        <v>318</v>
      </c>
      <c r="B2528" s="522" t="s">
        <v>854</v>
      </c>
      <c r="C2528" s="423" t="s">
        <v>330</v>
      </c>
      <c r="D2528" s="521" t="s">
        <v>855</v>
      </c>
      <c r="E2528" s="522">
        <v>201606</v>
      </c>
      <c r="F2528" s="523">
        <v>8932.81</v>
      </c>
      <c r="G2528" s="521">
        <v>10.5</v>
      </c>
      <c r="H2528" s="524">
        <v>1.3083000000000001E-3</v>
      </c>
      <c r="I2528" s="523">
        <v>122.71</v>
      </c>
      <c r="J2528" s="523">
        <v>140.24</v>
      </c>
    </row>
    <row r="2529" spans="1:10" s="559" customFormat="1">
      <c r="A2529" s="521" t="s">
        <v>318</v>
      </c>
      <c r="B2529" s="522" t="s">
        <v>887</v>
      </c>
      <c r="C2529" s="423" t="s">
        <v>330</v>
      </c>
      <c r="D2529" s="521" t="s">
        <v>888</v>
      </c>
      <c r="E2529" s="522">
        <v>201606</v>
      </c>
      <c r="F2529" s="523">
        <v>3674</v>
      </c>
      <c r="G2529" s="521">
        <v>10.5</v>
      </c>
      <c r="H2529" s="524">
        <v>1.3083000000000001E-3</v>
      </c>
      <c r="I2529" s="523">
        <v>50.47</v>
      </c>
      <c r="J2529" s="523">
        <v>57.68</v>
      </c>
    </row>
    <row r="2530" spans="1:10" s="559" customFormat="1">
      <c r="A2530" s="521" t="s">
        <v>318</v>
      </c>
      <c r="B2530" s="522" t="s">
        <v>895</v>
      </c>
      <c r="C2530" s="423" t="s">
        <v>343</v>
      </c>
      <c r="D2530" s="521" t="s">
        <v>896</v>
      </c>
      <c r="E2530" s="522">
        <v>201606</v>
      </c>
      <c r="F2530" s="523">
        <v>2704.66</v>
      </c>
      <c r="G2530" s="521">
        <v>10.5</v>
      </c>
      <c r="H2530" s="524">
        <v>1.3083000000000001E-3</v>
      </c>
      <c r="I2530" s="523">
        <v>37.15</v>
      </c>
      <c r="J2530" s="523">
        <v>42.46</v>
      </c>
    </row>
    <row r="2531" spans="1:10" s="559" customFormat="1">
      <c r="A2531" s="521" t="s">
        <v>318</v>
      </c>
      <c r="B2531" s="522" t="s">
        <v>627</v>
      </c>
      <c r="C2531" s="423" t="s">
        <v>330</v>
      </c>
      <c r="D2531" s="521" t="s">
        <v>628</v>
      </c>
      <c r="E2531" s="522">
        <v>201607</v>
      </c>
      <c r="F2531" s="523">
        <v>500.52</v>
      </c>
      <c r="G2531" s="521">
        <v>9.5</v>
      </c>
      <c r="H2531" s="524">
        <v>1.3083000000000001E-3</v>
      </c>
      <c r="I2531" s="523">
        <v>6.22</v>
      </c>
      <c r="J2531" s="523">
        <v>7.86</v>
      </c>
    </row>
    <row r="2532" spans="1:10" s="559" customFormat="1">
      <c r="A2532" s="521" t="s">
        <v>318</v>
      </c>
      <c r="B2532" s="522" t="s">
        <v>706</v>
      </c>
      <c r="C2532" s="423" t="s">
        <v>343</v>
      </c>
      <c r="D2532" s="521" t="s">
        <v>707</v>
      </c>
      <c r="E2532" s="522">
        <v>201607</v>
      </c>
      <c r="F2532" s="523">
        <v>-13.56</v>
      </c>
      <c r="G2532" s="521">
        <v>9.5</v>
      </c>
      <c r="H2532" s="524">
        <v>1.3083000000000001E-3</v>
      </c>
      <c r="I2532" s="523">
        <v>-0.17</v>
      </c>
      <c r="J2532" s="523">
        <v>-0.21</v>
      </c>
    </row>
    <row r="2533" spans="1:10" s="559" customFormat="1">
      <c r="A2533" s="521" t="s">
        <v>318</v>
      </c>
      <c r="B2533" s="522" t="s">
        <v>546</v>
      </c>
      <c r="C2533" s="423" t="s">
        <v>330</v>
      </c>
      <c r="D2533" s="521" t="s">
        <v>547</v>
      </c>
      <c r="E2533" s="522">
        <v>201607</v>
      </c>
      <c r="F2533" s="523">
        <v>-0.02</v>
      </c>
      <c r="G2533" s="521">
        <v>9.5</v>
      </c>
      <c r="H2533" s="524">
        <v>1.3083000000000001E-3</v>
      </c>
      <c r="I2533" s="523">
        <v>0</v>
      </c>
      <c r="J2533" s="523">
        <v>0</v>
      </c>
    </row>
    <row r="2534" spans="1:10" s="559" customFormat="1">
      <c r="A2534" s="521" t="s">
        <v>318</v>
      </c>
      <c r="B2534" s="522" t="s">
        <v>589</v>
      </c>
      <c r="C2534" s="423" t="s">
        <v>330</v>
      </c>
      <c r="D2534" s="521" t="s">
        <v>590</v>
      </c>
      <c r="E2534" s="522">
        <v>201607</v>
      </c>
      <c r="F2534" s="523">
        <v>18.46</v>
      </c>
      <c r="G2534" s="521">
        <v>9.5</v>
      </c>
      <c r="H2534" s="524">
        <v>1.3083000000000001E-3</v>
      </c>
      <c r="I2534" s="523">
        <v>0.23</v>
      </c>
      <c r="J2534" s="523">
        <v>0.28999999999999998</v>
      </c>
    </row>
    <row r="2535" spans="1:10" s="559" customFormat="1">
      <c r="A2535" s="521" t="s">
        <v>318</v>
      </c>
      <c r="B2535" s="522" t="s">
        <v>643</v>
      </c>
      <c r="C2535" s="423" t="s">
        <v>330</v>
      </c>
      <c r="D2535" s="521" t="s">
        <v>644</v>
      </c>
      <c r="E2535" s="522">
        <v>201607</v>
      </c>
      <c r="F2535" s="523">
        <v>546.66</v>
      </c>
      <c r="G2535" s="521">
        <v>9.5</v>
      </c>
      <c r="H2535" s="524">
        <v>1.3083000000000001E-3</v>
      </c>
      <c r="I2535" s="523">
        <v>6.79</v>
      </c>
      <c r="J2535" s="523">
        <v>8.58</v>
      </c>
    </row>
    <row r="2536" spans="1:10" s="559" customFormat="1">
      <c r="A2536" s="521" t="s">
        <v>318</v>
      </c>
      <c r="B2536" s="522" t="s">
        <v>856</v>
      </c>
      <c r="C2536" s="423" t="s">
        <v>330</v>
      </c>
      <c r="D2536" s="521" t="s">
        <v>857</v>
      </c>
      <c r="E2536" s="522">
        <v>201607</v>
      </c>
      <c r="F2536" s="523">
        <v>1763.73</v>
      </c>
      <c r="G2536" s="521">
        <v>9.5</v>
      </c>
      <c r="H2536" s="524">
        <v>1.3083000000000001E-3</v>
      </c>
      <c r="I2536" s="523">
        <v>21.92</v>
      </c>
      <c r="J2536" s="523">
        <v>27.69</v>
      </c>
    </row>
    <row r="2537" spans="1:10" s="559" customFormat="1">
      <c r="A2537" s="521" t="s">
        <v>318</v>
      </c>
      <c r="B2537" s="522" t="s">
        <v>708</v>
      </c>
      <c r="C2537" s="423" t="s">
        <v>331</v>
      </c>
      <c r="D2537" s="521" t="s">
        <v>709</v>
      </c>
      <c r="E2537" s="522">
        <v>201607</v>
      </c>
      <c r="F2537" s="523">
        <v>645.34</v>
      </c>
      <c r="G2537" s="521">
        <v>9.5</v>
      </c>
      <c r="H2537" s="524">
        <v>1.3083000000000001E-3</v>
      </c>
      <c r="I2537" s="523">
        <v>8.02</v>
      </c>
      <c r="J2537" s="523">
        <v>10.130000000000001</v>
      </c>
    </row>
    <row r="2538" spans="1:10" s="559" customFormat="1">
      <c r="A2538" s="521" t="s">
        <v>318</v>
      </c>
      <c r="B2538" s="522" t="s">
        <v>451</v>
      </c>
      <c r="C2538" s="423" t="s">
        <v>330</v>
      </c>
      <c r="D2538" s="521" t="s">
        <v>452</v>
      </c>
      <c r="E2538" s="522">
        <v>201607</v>
      </c>
      <c r="F2538" s="523">
        <v>0.04</v>
      </c>
      <c r="G2538" s="521">
        <v>9.5</v>
      </c>
      <c r="H2538" s="524">
        <v>1.3083000000000001E-3</v>
      </c>
      <c r="I2538" s="523">
        <v>0</v>
      </c>
      <c r="J2538" s="523">
        <v>0</v>
      </c>
    </row>
    <row r="2539" spans="1:10" s="559" customFormat="1">
      <c r="A2539" s="521" t="s">
        <v>318</v>
      </c>
      <c r="B2539" s="522" t="s">
        <v>645</v>
      </c>
      <c r="C2539" s="423" t="s">
        <v>330</v>
      </c>
      <c r="D2539" s="521" t="s">
        <v>646</v>
      </c>
      <c r="E2539" s="522">
        <v>201607</v>
      </c>
      <c r="F2539" s="523">
        <v>-0.02</v>
      </c>
      <c r="G2539" s="521">
        <v>9.5</v>
      </c>
      <c r="H2539" s="524">
        <v>1.3083000000000001E-3</v>
      </c>
      <c r="I2539" s="523">
        <v>0</v>
      </c>
      <c r="J2539" s="523">
        <v>0</v>
      </c>
    </row>
    <row r="2540" spans="1:10" s="559" customFormat="1">
      <c r="A2540" s="521" t="s">
        <v>318</v>
      </c>
      <c r="B2540" s="522" t="s">
        <v>647</v>
      </c>
      <c r="C2540" s="423" t="s">
        <v>330</v>
      </c>
      <c r="D2540" s="521" t="s">
        <v>648</v>
      </c>
      <c r="E2540" s="522">
        <v>201607</v>
      </c>
      <c r="F2540" s="523">
        <v>65.709999999999994</v>
      </c>
      <c r="G2540" s="521">
        <v>9.5</v>
      </c>
      <c r="H2540" s="524">
        <v>1.3083000000000001E-3</v>
      </c>
      <c r="I2540" s="523">
        <v>0.82</v>
      </c>
      <c r="J2540" s="523">
        <v>1.03</v>
      </c>
    </row>
    <row r="2541" spans="1:10" s="559" customFormat="1">
      <c r="A2541" s="521" t="s">
        <v>318</v>
      </c>
      <c r="B2541" s="522" t="s">
        <v>629</v>
      </c>
      <c r="C2541" s="423" t="s">
        <v>330</v>
      </c>
      <c r="D2541" s="521" t="s">
        <v>630</v>
      </c>
      <c r="E2541" s="522">
        <v>201607</v>
      </c>
      <c r="F2541" s="523">
        <v>3.19</v>
      </c>
      <c r="G2541" s="521">
        <v>9.5</v>
      </c>
      <c r="H2541" s="524">
        <v>1.3083000000000001E-3</v>
      </c>
      <c r="I2541" s="523">
        <v>0.04</v>
      </c>
      <c r="J2541" s="523">
        <v>0.05</v>
      </c>
    </row>
    <row r="2542" spans="1:10" s="559" customFormat="1">
      <c r="A2542" s="521" t="s">
        <v>318</v>
      </c>
      <c r="B2542" s="522" t="s">
        <v>717</v>
      </c>
      <c r="C2542" s="423" t="s">
        <v>331</v>
      </c>
      <c r="D2542" s="521" t="s">
        <v>718</v>
      </c>
      <c r="E2542" s="522">
        <v>201607</v>
      </c>
      <c r="F2542" s="523">
        <v>195.04</v>
      </c>
      <c r="G2542" s="521">
        <v>9.5</v>
      </c>
      <c r="H2542" s="524">
        <v>1.3083000000000001E-3</v>
      </c>
      <c r="I2542" s="523">
        <v>2.42</v>
      </c>
      <c r="J2542" s="523">
        <v>3.06</v>
      </c>
    </row>
    <row r="2543" spans="1:10" s="559" customFormat="1">
      <c r="A2543" s="521" t="s">
        <v>318</v>
      </c>
      <c r="B2543" s="522" t="s">
        <v>649</v>
      </c>
      <c r="C2543" s="423" t="s">
        <v>330</v>
      </c>
      <c r="D2543" s="521" t="s">
        <v>650</v>
      </c>
      <c r="E2543" s="522">
        <v>201607</v>
      </c>
      <c r="F2543" s="523">
        <v>7644.54</v>
      </c>
      <c r="G2543" s="521">
        <v>9.5</v>
      </c>
      <c r="H2543" s="524">
        <v>1.3083000000000001E-3</v>
      </c>
      <c r="I2543" s="523">
        <v>95.01</v>
      </c>
      <c r="J2543" s="523">
        <v>120.02</v>
      </c>
    </row>
    <row r="2544" spans="1:10" s="559" customFormat="1">
      <c r="A2544" s="521" t="s">
        <v>318</v>
      </c>
      <c r="B2544" s="522" t="s">
        <v>651</v>
      </c>
      <c r="C2544" s="423" t="s">
        <v>330</v>
      </c>
      <c r="D2544" s="521" t="s">
        <v>652</v>
      </c>
      <c r="E2544" s="522">
        <v>201607</v>
      </c>
      <c r="F2544" s="523">
        <v>3379.09</v>
      </c>
      <c r="G2544" s="521">
        <v>9.5</v>
      </c>
      <c r="H2544" s="524">
        <v>1.3083000000000001E-3</v>
      </c>
      <c r="I2544" s="523">
        <v>42</v>
      </c>
      <c r="J2544" s="523">
        <v>53.05</v>
      </c>
    </row>
    <row r="2545" spans="1:10" s="559" customFormat="1">
      <c r="A2545" s="521" t="s">
        <v>318</v>
      </c>
      <c r="B2545" s="522" t="s">
        <v>786</v>
      </c>
      <c r="C2545" s="423" t="s">
        <v>330</v>
      </c>
      <c r="D2545" s="521" t="s">
        <v>787</v>
      </c>
      <c r="E2545" s="522">
        <v>201607</v>
      </c>
      <c r="F2545" s="523">
        <v>7322.73</v>
      </c>
      <c r="G2545" s="521">
        <v>9.5</v>
      </c>
      <c r="H2545" s="524">
        <v>1.3083000000000001E-3</v>
      </c>
      <c r="I2545" s="523">
        <v>91.01</v>
      </c>
      <c r="J2545" s="523">
        <v>114.96</v>
      </c>
    </row>
    <row r="2546" spans="1:10" s="559" customFormat="1">
      <c r="A2546" s="521" t="s">
        <v>318</v>
      </c>
      <c r="B2546" s="522" t="s">
        <v>653</v>
      </c>
      <c r="C2546" s="423" t="s">
        <v>330</v>
      </c>
      <c r="D2546" s="521" t="s">
        <v>654</v>
      </c>
      <c r="E2546" s="522">
        <v>201607</v>
      </c>
      <c r="F2546" s="523">
        <v>2471.0100000000002</v>
      </c>
      <c r="G2546" s="521">
        <v>9.5</v>
      </c>
      <c r="H2546" s="524">
        <v>1.3083000000000001E-3</v>
      </c>
      <c r="I2546" s="523">
        <v>30.71</v>
      </c>
      <c r="J2546" s="523">
        <v>38.79</v>
      </c>
    </row>
    <row r="2547" spans="1:10" s="559" customFormat="1">
      <c r="A2547" s="521" t="s">
        <v>318</v>
      </c>
      <c r="B2547" s="522" t="s">
        <v>655</v>
      </c>
      <c r="C2547" s="423" t="s">
        <v>330</v>
      </c>
      <c r="D2547" s="521" t="s">
        <v>656</v>
      </c>
      <c r="E2547" s="522">
        <v>201607</v>
      </c>
      <c r="F2547" s="523">
        <v>9.91</v>
      </c>
      <c r="G2547" s="521">
        <v>9.5</v>
      </c>
      <c r="H2547" s="524">
        <v>1.3083000000000001E-3</v>
      </c>
      <c r="I2547" s="523">
        <v>0.12</v>
      </c>
      <c r="J2547" s="523">
        <v>0.16</v>
      </c>
    </row>
    <row r="2548" spans="1:10" s="559" customFormat="1">
      <c r="A2548" s="521" t="s">
        <v>318</v>
      </c>
      <c r="B2548" s="522" t="s">
        <v>594</v>
      </c>
      <c r="C2548" s="423" t="s">
        <v>330</v>
      </c>
      <c r="D2548" s="521" t="s">
        <v>595</v>
      </c>
      <c r="E2548" s="522">
        <v>201607</v>
      </c>
      <c r="F2548" s="523">
        <v>0.62</v>
      </c>
      <c r="G2548" s="521">
        <v>9.5</v>
      </c>
      <c r="H2548" s="524">
        <v>1.3083000000000001E-3</v>
      </c>
      <c r="I2548" s="523">
        <v>0.01</v>
      </c>
      <c r="J2548" s="523">
        <v>0.01</v>
      </c>
    </row>
    <row r="2549" spans="1:10" s="559" customFormat="1">
      <c r="A2549" s="521" t="s">
        <v>318</v>
      </c>
      <c r="B2549" s="522" t="s">
        <v>596</v>
      </c>
      <c r="C2549" s="423" t="s">
        <v>330</v>
      </c>
      <c r="D2549" s="521" t="s">
        <v>597</v>
      </c>
      <c r="E2549" s="522">
        <v>201607</v>
      </c>
      <c r="F2549" s="523">
        <v>1.32</v>
      </c>
      <c r="G2549" s="521">
        <v>9.5</v>
      </c>
      <c r="H2549" s="524">
        <v>1.3083000000000001E-3</v>
      </c>
      <c r="I2549" s="523">
        <v>0.02</v>
      </c>
      <c r="J2549" s="523">
        <v>0.02</v>
      </c>
    </row>
    <row r="2550" spans="1:10" s="559" customFormat="1">
      <c r="A2550" s="521" t="s">
        <v>318</v>
      </c>
      <c r="B2550" s="522" t="s">
        <v>657</v>
      </c>
      <c r="C2550" s="423" t="s">
        <v>330</v>
      </c>
      <c r="D2550" s="521" t="s">
        <v>658</v>
      </c>
      <c r="E2550" s="522">
        <v>201607</v>
      </c>
      <c r="F2550" s="523">
        <v>-16.850000000000001</v>
      </c>
      <c r="G2550" s="521">
        <v>9.5</v>
      </c>
      <c r="H2550" s="524">
        <v>1.3083000000000001E-3</v>
      </c>
      <c r="I2550" s="523">
        <v>-0.21</v>
      </c>
      <c r="J2550" s="523">
        <v>-0.26</v>
      </c>
    </row>
    <row r="2551" spans="1:10" s="559" customFormat="1">
      <c r="A2551" s="521" t="s">
        <v>318</v>
      </c>
      <c r="B2551" s="522" t="s">
        <v>659</v>
      </c>
      <c r="C2551" s="423" t="s">
        <v>330</v>
      </c>
      <c r="D2551" s="521" t="s">
        <v>660</v>
      </c>
      <c r="E2551" s="522">
        <v>201607</v>
      </c>
      <c r="F2551" s="523">
        <v>-109.22</v>
      </c>
      <c r="G2551" s="521">
        <v>9.5</v>
      </c>
      <c r="H2551" s="524">
        <v>1.3083000000000001E-3</v>
      </c>
      <c r="I2551" s="523">
        <v>-1.36</v>
      </c>
      <c r="J2551" s="523">
        <v>-1.71</v>
      </c>
    </row>
    <row r="2552" spans="1:10" s="559" customFormat="1">
      <c r="A2552" s="521" t="s">
        <v>318</v>
      </c>
      <c r="B2552" s="522" t="s">
        <v>663</v>
      </c>
      <c r="C2552" s="423" t="s">
        <v>330</v>
      </c>
      <c r="D2552" s="521" t="s">
        <v>664</v>
      </c>
      <c r="E2552" s="522">
        <v>201607</v>
      </c>
      <c r="F2552" s="523">
        <v>3207.74</v>
      </c>
      <c r="G2552" s="521">
        <v>9.5</v>
      </c>
      <c r="H2552" s="524">
        <v>1.3083000000000001E-3</v>
      </c>
      <c r="I2552" s="523">
        <v>39.869999999999997</v>
      </c>
      <c r="J2552" s="523">
        <v>50.36</v>
      </c>
    </row>
    <row r="2553" spans="1:10" s="559" customFormat="1">
      <c r="A2553" s="521" t="s">
        <v>318</v>
      </c>
      <c r="B2553" s="522" t="s">
        <v>665</v>
      </c>
      <c r="C2553" s="423" t="s">
        <v>330</v>
      </c>
      <c r="D2553" s="521" t="s">
        <v>666</v>
      </c>
      <c r="E2553" s="522">
        <v>201607</v>
      </c>
      <c r="F2553" s="523">
        <v>154.29</v>
      </c>
      <c r="G2553" s="521">
        <v>9.5</v>
      </c>
      <c r="H2553" s="524">
        <v>1.3083000000000001E-3</v>
      </c>
      <c r="I2553" s="523">
        <v>1.92</v>
      </c>
      <c r="J2553" s="523">
        <v>2.42</v>
      </c>
    </row>
    <row r="2554" spans="1:10" s="559" customFormat="1">
      <c r="A2554" s="521" t="s">
        <v>318</v>
      </c>
      <c r="B2554" s="522" t="s">
        <v>801</v>
      </c>
      <c r="C2554" s="423" t="s">
        <v>330</v>
      </c>
      <c r="D2554" s="521" t="s">
        <v>802</v>
      </c>
      <c r="E2554" s="522">
        <v>201607</v>
      </c>
      <c r="F2554" s="523">
        <v>133292.62</v>
      </c>
      <c r="G2554" s="521">
        <v>9.5</v>
      </c>
      <c r="H2554" s="524">
        <v>1.3083000000000001E-3</v>
      </c>
      <c r="I2554" s="523">
        <v>1656.67</v>
      </c>
      <c r="J2554" s="523">
        <v>2092.64</v>
      </c>
    </row>
    <row r="2555" spans="1:10" s="559" customFormat="1">
      <c r="A2555" s="521" t="s">
        <v>318</v>
      </c>
      <c r="B2555" s="522" t="s">
        <v>803</v>
      </c>
      <c r="C2555" s="423" t="s">
        <v>330</v>
      </c>
      <c r="D2555" s="521" t="s">
        <v>804</v>
      </c>
      <c r="E2555" s="522">
        <v>201607</v>
      </c>
      <c r="F2555" s="523">
        <v>14.36</v>
      </c>
      <c r="G2555" s="521">
        <v>9.5</v>
      </c>
      <c r="H2555" s="524">
        <v>1.3083000000000001E-3</v>
      </c>
      <c r="I2555" s="523">
        <v>0.18</v>
      </c>
      <c r="J2555" s="523">
        <v>0.23</v>
      </c>
    </row>
    <row r="2556" spans="1:10" s="559" customFormat="1">
      <c r="A2556" s="521" t="s">
        <v>318</v>
      </c>
      <c r="B2556" s="522" t="s">
        <v>805</v>
      </c>
      <c r="C2556" s="423" t="s">
        <v>330</v>
      </c>
      <c r="D2556" s="521" t="s">
        <v>806</v>
      </c>
      <c r="E2556" s="522">
        <v>201607</v>
      </c>
      <c r="F2556" s="523">
        <v>7399.95</v>
      </c>
      <c r="G2556" s="521">
        <v>9.5</v>
      </c>
      <c r="H2556" s="524">
        <v>1.3083000000000001E-3</v>
      </c>
      <c r="I2556" s="523">
        <v>91.97</v>
      </c>
      <c r="J2556" s="523">
        <v>116.18</v>
      </c>
    </row>
    <row r="2557" spans="1:10" s="559" customFormat="1">
      <c r="A2557" s="521" t="s">
        <v>318</v>
      </c>
      <c r="B2557" s="522" t="s">
        <v>598</v>
      </c>
      <c r="C2557" s="423" t="s">
        <v>330</v>
      </c>
      <c r="D2557" s="521" t="s">
        <v>599</v>
      </c>
      <c r="E2557" s="522">
        <v>201607</v>
      </c>
      <c r="F2557" s="523">
        <v>-0.26</v>
      </c>
      <c r="G2557" s="521">
        <v>9.5</v>
      </c>
      <c r="H2557" s="524">
        <v>1.3083000000000001E-3</v>
      </c>
      <c r="I2557" s="523">
        <v>0</v>
      </c>
      <c r="J2557" s="523">
        <v>0</v>
      </c>
    </row>
    <row r="2558" spans="1:10" s="559" customFormat="1">
      <c r="A2558" s="521" t="s">
        <v>318</v>
      </c>
      <c r="B2558" s="522" t="s">
        <v>600</v>
      </c>
      <c r="C2558" s="423" t="s">
        <v>330</v>
      </c>
      <c r="D2558" s="521" t="s">
        <v>601</v>
      </c>
      <c r="E2558" s="522">
        <v>201607</v>
      </c>
      <c r="F2558" s="523">
        <v>1.45</v>
      </c>
      <c r="G2558" s="521">
        <v>9.5</v>
      </c>
      <c r="H2558" s="524">
        <v>1.3083000000000001E-3</v>
      </c>
      <c r="I2558" s="523">
        <v>0.02</v>
      </c>
      <c r="J2558" s="523">
        <v>0.02</v>
      </c>
    </row>
    <row r="2559" spans="1:10" s="559" customFormat="1">
      <c r="A2559" s="521" t="s">
        <v>318</v>
      </c>
      <c r="B2559" s="522" t="s">
        <v>554</v>
      </c>
      <c r="C2559" s="423" t="s">
        <v>330</v>
      </c>
      <c r="D2559" s="521" t="s">
        <v>555</v>
      </c>
      <c r="E2559" s="522">
        <v>201607</v>
      </c>
      <c r="F2559" s="523">
        <v>0.21</v>
      </c>
      <c r="G2559" s="521">
        <v>9.5</v>
      </c>
      <c r="H2559" s="524">
        <v>1.3083000000000001E-3</v>
      </c>
      <c r="I2559" s="523">
        <v>0</v>
      </c>
      <c r="J2559" s="523">
        <v>0</v>
      </c>
    </row>
    <row r="2560" spans="1:10" s="559" customFormat="1">
      <c r="A2560" s="521" t="s">
        <v>318</v>
      </c>
      <c r="B2560" s="522" t="s">
        <v>556</v>
      </c>
      <c r="C2560" s="423" t="s">
        <v>330</v>
      </c>
      <c r="D2560" s="521" t="s">
        <v>557</v>
      </c>
      <c r="E2560" s="522">
        <v>201607</v>
      </c>
      <c r="F2560" s="523">
        <v>0.36</v>
      </c>
      <c r="G2560" s="521">
        <v>9.5</v>
      </c>
      <c r="H2560" s="524">
        <v>1.3083000000000001E-3</v>
      </c>
      <c r="I2560" s="523">
        <v>0</v>
      </c>
      <c r="J2560" s="523">
        <v>0.01</v>
      </c>
    </row>
    <row r="2561" spans="1:10" s="559" customFormat="1">
      <c r="A2561" s="521" t="s">
        <v>318</v>
      </c>
      <c r="B2561" s="522" t="s">
        <v>558</v>
      </c>
      <c r="C2561" s="423" t="s">
        <v>330</v>
      </c>
      <c r="D2561" s="521" t="s">
        <v>559</v>
      </c>
      <c r="E2561" s="522">
        <v>201607</v>
      </c>
      <c r="F2561" s="523">
        <v>-0.22</v>
      </c>
      <c r="G2561" s="521">
        <v>9.5</v>
      </c>
      <c r="H2561" s="524">
        <v>1.3083000000000001E-3</v>
      </c>
      <c r="I2561" s="523">
        <v>0</v>
      </c>
      <c r="J2561" s="523">
        <v>0</v>
      </c>
    </row>
    <row r="2562" spans="1:10" s="559" customFormat="1">
      <c r="A2562" s="521" t="s">
        <v>318</v>
      </c>
      <c r="B2562" s="522" t="s">
        <v>560</v>
      </c>
      <c r="C2562" s="423" t="s">
        <v>330</v>
      </c>
      <c r="D2562" s="521" t="s">
        <v>561</v>
      </c>
      <c r="E2562" s="522">
        <v>201607</v>
      </c>
      <c r="F2562" s="523">
        <v>-0.63</v>
      </c>
      <c r="G2562" s="521">
        <v>9.5</v>
      </c>
      <c r="H2562" s="524">
        <v>1.3083000000000001E-3</v>
      </c>
      <c r="I2562" s="523">
        <v>-0.01</v>
      </c>
      <c r="J2562" s="523">
        <v>-0.01</v>
      </c>
    </row>
    <row r="2563" spans="1:10" s="559" customFormat="1">
      <c r="A2563" s="521" t="s">
        <v>318</v>
      </c>
      <c r="B2563" s="522" t="s">
        <v>602</v>
      </c>
      <c r="C2563" s="423" t="s">
        <v>330</v>
      </c>
      <c r="D2563" s="521" t="s">
        <v>603</v>
      </c>
      <c r="E2563" s="522">
        <v>201607</v>
      </c>
      <c r="F2563" s="523">
        <v>1.26</v>
      </c>
      <c r="G2563" s="521">
        <v>9.5</v>
      </c>
      <c r="H2563" s="524">
        <v>1.3083000000000001E-3</v>
      </c>
      <c r="I2563" s="523">
        <v>0.02</v>
      </c>
      <c r="J2563" s="523">
        <v>0.02</v>
      </c>
    </row>
    <row r="2564" spans="1:10" s="559" customFormat="1">
      <c r="A2564" s="521" t="s">
        <v>318</v>
      </c>
      <c r="B2564" s="522" t="s">
        <v>810</v>
      </c>
      <c r="C2564" s="423" t="s">
        <v>330</v>
      </c>
      <c r="D2564" s="521" t="s">
        <v>811</v>
      </c>
      <c r="E2564" s="522">
        <v>201607</v>
      </c>
      <c r="F2564" s="523">
        <v>7617.92</v>
      </c>
      <c r="G2564" s="521">
        <v>9.5</v>
      </c>
      <c r="H2564" s="524">
        <v>1.3083000000000001E-3</v>
      </c>
      <c r="I2564" s="523">
        <v>94.68</v>
      </c>
      <c r="J2564" s="523">
        <v>119.6</v>
      </c>
    </row>
    <row r="2565" spans="1:10" s="559" customFormat="1">
      <c r="A2565" s="521" t="s">
        <v>318</v>
      </c>
      <c r="B2565" s="522" t="s">
        <v>788</v>
      </c>
      <c r="C2565" s="423" t="s">
        <v>330</v>
      </c>
      <c r="D2565" s="521" t="s">
        <v>789</v>
      </c>
      <c r="E2565" s="522">
        <v>201607</v>
      </c>
      <c r="F2565" s="523">
        <v>3560.16</v>
      </c>
      <c r="G2565" s="521">
        <v>9.5</v>
      </c>
      <c r="H2565" s="524">
        <v>1.3083000000000001E-3</v>
      </c>
      <c r="I2565" s="523">
        <v>44.25</v>
      </c>
      <c r="J2565" s="523">
        <v>55.89</v>
      </c>
    </row>
    <row r="2566" spans="1:10" s="559" customFormat="1">
      <c r="A2566" s="521" t="s">
        <v>318</v>
      </c>
      <c r="B2566" s="522" t="s">
        <v>564</v>
      </c>
      <c r="C2566" s="423" t="s">
        <v>330</v>
      </c>
      <c r="D2566" s="521" t="s">
        <v>669</v>
      </c>
      <c r="E2566" s="522">
        <v>201607</v>
      </c>
      <c r="F2566" s="523">
        <v>-0.36</v>
      </c>
      <c r="G2566" s="521">
        <v>9.5</v>
      </c>
      <c r="H2566" s="524">
        <v>1.3083000000000001E-3</v>
      </c>
      <c r="I2566" s="523">
        <v>0</v>
      </c>
      <c r="J2566" s="523">
        <v>-0.01</v>
      </c>
    </row>
    <row r="2567" spans="1:10" s="559" customFormat="1">
      <c r="A2567" s="521" t="s">
        <v>318</v>
      </c>
      <c r="B2567" s="522" t="s">
        <v>832</v>
      </c>
      <c r="C2567" s="423" t="s">
        <v>330</v>
      </c>
      <c r="D2567" s="521" t="s">
        <v>833</v>
      </c>
      <c r="E2567" s="522">
        <v>201607</v>
      </c>
      <c r="F2567" s="523">
        <v>1713.79</v>
      </c>
      <c r="G2567" s="521">
        <v>9.5</v>
      </c>
      <c r="H2567" s="524">
        <v>1.3083000000000001E-3</v>
      </c>
      <c r="I2567" s="523">
        <v>21.3</v>
      </c>
      <c r="J2567" s="523">
        <v>26.91</v>
      </c>
    </row>
    <row r="2568" spans="1:10" s="559" customFormat="1">
      <c r="A2568" s="521" t="s">
        <v>318</v>
      </c>
      <c r="B2568" s="522" t="s">
        <v>670</v>
      </c>
      <c r="C2568" s="423" t="s">
        <v>330</v>
      </c>
      <c r="D2568" s="521" t="s">
        <v>671</v>
      </c>
      <c r="E2568" s="522">
        <v>201607</v>
      </c>
      <c r="F2568" s="523">
        <v>3428.11</v>
      </c>
      <c r="G2568" s="521">
        <v>9.5</v>
      </c>
      <c r="H2568" s="524">
        <v>1.3083000000000001E-3</v>
      </c>
      <c r="I2568" s="523">
        <v>42.61</v>
      </c>
      <c r="J2568" s="523">
        <v>53.82</v>
      </c>
    </row>
    <row r="2569" spans="1:10" s="559" customFormat="1">
      <c r="A2569" s="521" t="s">
        <v>318</v>
      </c>
      <c r="B2569" s="522" t="s">
        <v>606</v>
      </c>
      <c r="C2569" s="423" t="s">
        <v>330</v>
      </c>
      <c r="D2569" s="521" t="s">
        <v>607</v>
      </c>
      <c r="E2569" s="522">
        <v>201607</v>
      </c>
      <c r="F2569" s="523">
        <v>4.8600000000000003</v>
      </c>
      <c r="G2569" s="521">
        <v>9.5</v>
      </c>
      <c r="H2569" s="524">
        <v>1.3083000000000001E-3</v>
      </c>
      <c r="I2569" s="523">
        <v>0.06</v>
      </c>
      <c r="J2569" s="523">
        <v>0.08</v>
      </c>
    </row>
    <row r="2570" spans="1:10" s="559" customFormat="1">
      <c r="A2570" s="521" t="s">
        <v>318</v>
      </c>
      <c r="B2570" s="522" t="s">
        <v>893</v>
      </c>
      <c r="C2570" s="423" t="s">
        <v>331</v>
      </c>
      <c r="D2570" s="521" t="s">
        <v>894</v>
      </c>
      <c r="E2570" s="522">
        <v>201607</v>
      </c>
      <c r="F2570" s="523">
        <v>584.79</v>
      </c>
      <c r="G2570" s="521">
        <v>9.5</v>
      </c>
      <c r="H2570" s="524">
        <v>1.3083000000000001E-3</v>
      </c>
      <c r="I2570" s="523">
        <v>7.27</v>
      </c>
      <c r="J2570" s="523">
        <v>9.18</v>
      </c>
    </row>
    <row r="2571" spans="1:10" s="559" customFormat="1">
      <c r="A2571" s="521" t="s">
        <v>318</v>
      </c>
      <c r="B2571" s="522" t="s">
        <v>608</v>
      </c>
      <c r="C2571" s="423" t="s">
        <v>330</v>
      </c>
      <c r="D2571" s="521" t="s">
        <v>609</v>
      </c>
      <c r="E2571" s="522">
        <v>201607</v>
      </c>
      <c r="F2571" s="523">
        <v>0.15</v>
      </c>
      <c r="G2571" s="521">
        <v>9.5</v>
      </c>
      <c r="H2571" s="524">
        <v>1.3083000000000001E-3</v>
      </c>
      <c r="I2571" s="523">
        <v>0</v>
      </c>
      <c r="J2571" s="523">
        <v>0</v>
      </c>
    </row>
    <row r="2572" spans="1:10" s="559" customFormat="1">
      <c r="A2572" s="521" t="s">
        <v>318</v>
      </c>
      <c r="B2572" s="522" t="s">
        <v>610</v>
      </c>
      <c r="C2572" s="423" t="s">
        <v>330</v>
      </c>
      <c r="D2572" s="521" t="s">
        <v>611</v>
      </c>
      <c r="E2572" s="522">
        <v>201607</v>
      </c>
      <c r="F2572" s="523">
        <v>1.97</v>
      </c>
      <c r="G2572" s="521">
        <v>9.5</v>
      </c>
      <c r="H2572" s="524">
        <v>1.3083000000000001E-3</v>
      </c>
      <c r="I2572" s="523">
        <v>0.02</v>
      </c>
      <c r="J2572" s="523">
        <v>0.03</v>
      </c>
    </row>
    <row r="2573" spans="1:10" s="559" customFormat="1">
      <c r="A2573" s="521" t="s">
        <v>318</v>
      </c>
      <c r="B2573" s="522" t="s">
        <v>814</v>
      </c>
      <c r="C2573" s="423" t="s">
        <v>330</v>
      </c>
      <c r="D2573" s="521" t="s">
        <v>815</v>
      </c>
      <c r="E2573" s="522">
        <v>201607</v>
      </c>
      <c r="F2573" s="523">
        <v>4794.37</v>
      </c>
      <c r="G2573" s="521">
        <v>9.5</v>
      </c>
      <c r="H2573" s="524">
        <v>1.3083000000000001E-3</v>
      </c>
      <c r="I2573" s="523">
        <v>59.59</v>
      </c>
      <c r="J2573" s="523">
        <v>75.27</v>
      </c>
    </row>
    <row r="2574" spans="1:10" s="559" customFormat="1">
      <c r="A2574" s="521" t="s">
        <v>318</v>
      </c>
      <c r="B2574" s="522" t="s">
        <v>674</v>
      </c>
      <c r="C2574" s="423" t="s">
        <v>330</v>
      </c>
      <c r="D2574" s="521" t="s">
        <v>675</v>
      </c>
      <c r="E2574" s="522">
        <v>201607</v>
      </c>
      <c r="F2574" s="523">
        <v>232.61</v>
      </c>
      <c r="G2574" s="521">
        <v>9.5</v>
      </c>
      <c r="H2574" s="524">
        <v>1.3083000000000001E-3</v>
      </c>
      <c r="I2574" s="523">
        <v>2.89</v>
      </c>
      <c r="J2574" s="523">
        <v>3.65</v>
      </c>
    </row>
    <row r="2575" spans="1:10" s="559" customFormat="1">
      <c r="A2575" s="521" t="s">
        <v>318</v>
      </c>
      <c r="B2575" s="522" t="s">
        <v>790</v>
      </c>
      <c r="C2575" s="423" t="s">
        <v>330</v>
      </c>
      <c r="D2575" s="521" t="s">
        <v>791</v>
      </c>
      <c r="E2575" s="522">
        <v>201607</v>
      </c>
      <c r="F2575" s="523">
        <v>2269.62</v>
      </c>
      <c r="G2575" s="521">
        <v>9.5</v>
      </c>
      <c r="H2575" s="524">
        <v>1.3083000000000001E-3</v>
      </c>
      <c r="I2575" s="523">
        <v>28.21</v>
      </c>
      <c r="J2575" s="523">
        <v>35.630000000000003</v>
      </c>
    </row>
    <row r="2576" spans="1:10" s="559" customFormat="1">
      <c r="A2576" s="521" t="s">
        <v>318</v>
      </c>
      <c r="B2576" s="522" t="s">
        <v>723</v>
      </c>
      <c r="C2576" s="423" t="s">
        <v>331</v>
      </c>
      <c r="D2576" s="521" t="s">
        <v>724</v>
      </c>
      <c r="E2576" s="522">
        <v>201607</v>
      </c>
      <c r="F2576" s="523">
        <v>0.22</v>
      </c>
      <c r="G2576" s="521">
        <v>9.5</v>
      </c>
      <c r="H2576" s="524">
        <v>1.3083000000000001E-3</v>
      </c>
      <c r="I2576" s="523">
        <v>0</v>
      </c>
      <c r="J2576" s="523">
        <v>0</v>
      </c>
    </row>
    <row r="2577" spans="1:10" s="559" customFormat="1">
      <c r="A2577" s="521" t="s">
        <v>318</v>
      </c>
      <c r="B2577" s="522" t="s">
        <v>860</v>
      </c>
      <c r="C2577" s="423" t="s">
        <v>330</v>
      </c>
      <c r="D2577" s="521" t="s">
        <v>861</v>
      </c>
      <c r="E2577" s="522">
        <v>201607</v>
      </c>
      <c r="F2577" s="523">
        <v>10371.14</v>
      </c>
      <c r="G2577" s="521">
        <v>9.5</v>
      </c>
      <c r="H2577" s="524">
        <v>1.3083000000000001E-3</v>
      </c>
      <c r="I2577" s="523">
        <v>128.9</v>
      </c>
      <c r="J2577" s="523">
        <v>162.82</v>
      </c>
    </row>
    <row r="2578" spans="1:10" s="559" customFormat="1">
      <c r="A2578" s="521" t="s">
        <v>318</v>
      </c>
      <c r="B2578" s="522" t="s">
        <v>678</v>
      </c>
      <c r="C2578" s="423" t="s">
        <v>330</v>
      </c>
      <c r="D2578" s="521" t="s">
        <v>679</v>
      </c>
      <c r="E2578" s="522">
        <v>201607</v>
      </c>
      <c r="F2578" s="523">
        <v>3391.88</v>
      </c>
      <c r="G2578" s="521">
        <v>9.5</v>
      </c>
      <c r="H2578" s="524">
        <v>1.3083000000000001E-3</v>
      </c>
      <c r="I2578" s="523">
        <v>42.16</v>
      </c>
      <c r="J2578" s="523">
        <v>53.25</v>
      </c>
    </row>
    <row r="2579" spans="1:10" s="559" customFormat="1">
      <c r="A2579" s="521" t="s">
        <v>318</v>
      </c>
      <c r="B2579" s="522" t="s">
        <v>680</v>
      </c>
      <c r="C2579" s="423" t="s">
        <v>330</v>
      </c>
      <c r="D2579" s="521" t="s">
        <v>681</v>
      </c>
      <c r="E2579" s="522">
        <v>201607</v>
      </c>
      <c r="F2579" s="523">
        <v>-36.090000000000003</v>
      </c>
      <c r="G2579" s="521">
        <v>9.5</v>
      </c>
      <c r="H2579" s="524">
        <v>1.3083000000000001E-3</v>
      </c>
      <c r="I2579" s="523">
        <v>-0.45</v>
      </c>
      <c r="J2579" s="523">
        <v>-0.56999999999999995</v>
      </c>
    </row>
    <row r="2580" spans="1:10" s="559" customFormat="1">
      <c r="A2580" s="521" t="s">
        <v>318</v>
      </c>
      <c r="B2580" s="522" t="s">
        <v>682</v>
      </c>
      <c r="C2580" s="423" t="s">
        <v>330</v>
      </c>
      <c r="D2580" s="521" t="s">
        <v>683</v>
      </c>
      <c r="E2580" s="522">
        <v>201607</v>
      </c>
      <c r="F2580" s="523">
        <v>20735.759999999998</v>
      </c>
      <c r="G2580" s="521">
        <v>9.5</v>
      </c>
      <c r="H2580" s="524">
        <v>1.3083000000000001E-3</v>
      </c>
      <c r="I2580" s="523">
        <v>257.72000000000003</v>
      </c>
      <c r="J2580" s="523">
        <v>325.54000000000002</v>
      </c>
    </row>
    <row r="2581" spans="1:10" s="559" customFormat="1">
      <c r="A2581" s="521" t="s">
        <v>318</v>
      </c>
      <c r="B2581" s="522" t="s">
        <v>623</v>
      </c>
      <c r="C2581" s="423" t="s">
        <v>331</v>
      </c>
      <c r="D2581" s="521" t="s">
        <v>624</v>
      </c>
      <c r="E2581" s="522">
        <v>201607</v>
      </c>
      <c r="F2581" s="523">
        <v>1476.41</v>
      </c>
      <c r="G2581" s="521">
        <v>9.5</v>
      </c>
      <c r="H2581" s="524">
        <v>1.3083000000000001E-3</v>
      </c>
      <c r="I2581" s="523">
        <v>18.350000000000001</v>
      </c>
      <c r="J2581" s="523">
        <v>23.18</v>
      </c>
    </row>
    <row r="2582" spans="1:10" s="559" customFormat="1">
      <c r="A2582" s="521" t="s">
        <v>318</v>
      </c>
      <c r="B2582" s="522" t="s">
        <v>846</v>
      </c>
      <c r="C2582" s="423" t="s">
        <v>330</v>
      </c>
      <c r="D2582" s="521" t="s">
        <v>847</v>
      </c>
      <c r="E2582" s="522">
        <v>201607</v>
      </c>
      <c r="F2582" s="523">
        <v>6241.2</v>
      </c>
      <c r="G2582" s="521">
        <v>9.5</v>
      </c>
      <c r="H2582" s="524">
        <v>1.3083000000000001E-3</v>
      </c>
      <c r="I2582" s="523">
        <v>77.569999999999993</v>
      </c>
      <c r="J2582" s="523">
        <v>97.98</v>
      </c>
    </row>
    <row r="2583" spans="1:10" s="559" customFormat="1">
      <c r="A2583" s="521" t="s">
        <v>318</v>
      </c>
      <c r="B2583" s="522" t="s">
        <v>684</v>
      </c>
      <c r="C2583" s="423" t="s">
        <v>330</v>
      </c>
      <c r="D2583" s="521" t="s">
        <v>685</v>
      </c>
      <c r="E2583" s="522">
        <v>201607</v>
      </c>
      <c r="F2583" s="523">
        <v>-8.31</v>
      </c>
      <c r="G2583" s="521">
        <v>9.5</v>
      </c>
      <c r="H2583" s="524">
        <v>1.3083000000000001E-3</v>
      </c>
      <c r="I2583" s="523">
        <v>-0.1</v>
      </c>
      <c r="J2583" s="523">
        <v>-0.13</v>
      </c>
    </row>
    <row r="2584" spans="1:10" s="559" customFormat="1">
      <c r="A2584" s="521" t="s">
        <v>318</v>
      </c>
      <c r="B2584" s="522" t="s">
        <v>710</v>
      </c>
      <c r="C2584" s="423" t="s">
        <v>439</v>
      </c>
      <c r="D2584" s="521" t="s">
        <v>711</v>
      </c>
      <c r="E2584" s="522">
        <v>201607</v>
      </c>
      <c r="F2584" s="523">
        <v>4.47</v>
      </c>
      <c r="G2584" s="521">
        <v>9.5</v>
      </c>
      <c r="H2584" s="524">
        <v>1.3083000000000001E-3</v>
      </c>
      <c r="I2584" s="523">
        <v>0.06</v>
      </c>
      <c r="J2584" s="523">
        <v>7.0000000000000007E-2</v>
      </c>
    </row>
    <row r="2585" spans="1:10" s="559" customFormat="1">
      <c r="A2585" s="521" t="s">
        <v>318</v>
      </c>
      <c r="B2585" s="522" t="s">
        <v>712</v>
      </c>
      <c r="C2585" s="423" t="s">
        <v>331</v>
      </c>
      <c r="D2585" s="521" t="s">
        <v>713</v>
      </c>
      <c r="E2585" s="522">
        <v>201607</v>
      </c>
      <c r="F2585" s="523">
        <v>3297.39</v>
      </c>
      <c r="G2585" s="521">
        <v>9.5</v>
      </c>
      <c r="H2585" s="524">
        <v>1.3083000000000001E-3</v>
      </c>
      <c r="I2585" s="523">
        <v>40.98</v>
      </c>
      <c r="J2585" s="523">
        <v>51.77</v>
      </c>
    </row>
    <row r="2586" spans="1:10" s="559" customFormat="1">
      <c r="A2586" s="521" t="s">
        <v>318</v>
      </c>
      <c r="B2586" s="522" t="s">
        <v>822</v>
      </c>
      <c r="C2586" s="423" t="s">
        <v>330</v>
      </c>
      <c r="D2586" s="521" t="s">
        <v>823</v>
      </c>
      <c r="E2586" s="522">
        <v>201607</v>
      </c>
      <c r="F2586" s="523">
        <v>10227.23</v>
      </c>
      <c r="G2586" s="521">
        <v>9.5</v>
      </c>
      <c r="H2586" s="524">
        <v>1.3083000000000001E-3</v>
      </c>
      <c r="I2586" s="523">
        <v>127.11</v>
      </c>
      <c r="J2586" s="523">
        <v>160.56</v>
      </c>
    </row>
    <row r="2587" spans="1:10" s="559" customFormat="1">
      <c r="A2587" s="521" t="s">
        <v>318</v>
      </c>
      <c r="B2587" s="522" t="s">
        <v>690</v>
      </c>
      <c r="C2587" s="423" t="s">
        <v>330</v>
      </c>
      <c r="D2587" s="521" t="s">
        <v>691</v>
      </c>
      <c r="E2587" s="522">
        <v>201607</v>
      </c>
      <c r="F2587" s="523">
        <v>5356.69</v>
      </c>
      <c r="G2587" s="521">
        <v>9.5</v>
      </c>
      <c r="H2587" s="524">
        <v>1.3083000000000001E-3</v>
      </c>
      <c r="I2587" s="523">
        <v>66.58</v>
      </c>
      <c r="J2587" s="523">
        <v>84.1</v>
      </c>
    </row>
    <row r="2588" spans="1:10" s="559" customFormat="1">
      <c r="A2588" s="521" t="s">
        <v>318</v>
      </c>
      <c r="B2588" s="522" t="s">
        <v>868</v>
      </c>
      <c r="C2588" s="423" t="s">
        <v>330</v>
      </c>
      <c r="D2588" s="521" t="s">
        <v>869</v>
      </c>
      <c r="E2588" s="522">
        <v>201607</v>
      </c>
      <c r="F2588" s="523">
        <v>14249.27</v>
      </c>
      <c r="G2588" s="521">
        <v>9.5</v>
      </c>
      <c r="H2588" s="524">
        <v>1.3083000000000001E-3</v>
      </c>
      <c r="I2588" s="523">
        <v>177.1</v>
      </c>
      <c r="J2588" s="523">
        <v>223.71</v>
      </c>
    </row>
    <row r="2589" spans="1:10" s="559" customFormat="1">
      <c r="A2589" s="521" t="s">
        <v>318</v>
      </c>
      <c r="B2589" s="522" t="s">
        <v>625</v>
      </c>
      <c r="C2589" s="423" t="s">
        <v>331</v>
      </c>
      <c r="D2589" s="521" t="s">
        <v>626</v>
      </c>
      <c r="E2589" s="522">
        <v>201607</v>
      </c>
      <c r="F2589" s="523">
        <v>0.56000000000000005</v>
      </c>
      <c r="G2589" s="521">
        <v>9.5</v>
      </c>
      <c r="H2589" s="524">
        <v>1.3083000000000001E-3</v>
      </c>
      <c r="I2589" s="523">
        <v>0.01</v>
      </c>
      <c r="J2589" s="523">
        <v>0.01</v>
      </c>
    </row>
    <row r="2590" spans="1:10" s="559" customFormat="1">
      <c r="A2590" s="521" t="s">
        <v>318</v>
      </c>
      <c r="B2590" s="522" t="s">
        <v>692</v>
      </c>
      <c r="C2590" s="423" t="s">
        <v>330</v>
      </c>
      <c r="D2590" s="521" t="s">
        <v>693</v>
      </c>
      <c r="E2590" s="522">
        <v>201607</v>
      </c>
      <c r="F2590" s="523">
        <v>67.31</v>
      </c>
      <c r="G2590" s="521">
        <v>9.5</v>
      </c>
      <c r="H2590" s="524">
        <v>1.3083000000000001E-3</v>
      </c>
      <c r="I2590" s="523">
        <v>0.84</v>
      </c>
      <c r="J2590" s="523">
        <v>1.06</v>
      </c>
    </row>
    <row r="2591" spans="1:10" s="559" customFormat="1">
      <c r="A2591" s="521" t="s">
        <v>318</v>
      </c>
      <c r="B2591" s="522" t="s">
        <v>694</v>
      </c>
      <c r="C2591" s="423" t="s">
        <v>330</v>
      </c>
      <c r="D2591" s="521" t="s">
        <v>695</v>
      </c>
      <c r="E2591" s="522">
        <v>201607</v>
      </c>
      <c r="F2591" s="523">
        <v>2.7</v>
      </c>
      <c r="G2591" s="521">
        <v>9.5</v>
      </c>
      <c r="H2591" s="524">
        <v>1.3083000000000001E-3</v>
      </c>
      <c r="I2591" s="523">
        <v>0.03</v>
      </c>
      <c r="J2591" s="523">
        <v>0.04</v>
      </c>
    </row>
    <row r="2592" spans="1:10" s="559" customFormat="1">
      <c r="A2592" s="521" t="s">
        <v>318</v>
      </c>
      <c r="B2592" s="522" t="s">
        <v>696</v>
      </c>
      <c r="C2592" s="423" t="s">
        <v>330</v>
      </c>
      <c r="D2592" s="521" t="s">
        <v>697</v>
      </c>
      <c r="E2592" s="522">
        <v>201607</v>
      </c>
      <c r="F2592" s="523">
        <v>-0.17</v>
      </c>
      <c r="G2592" s="521">
        <v>9.5</v>
      </c>
      <c r="H2592" s="524">
        <v>1.3083000000000001E-3</v>
      </c>
      <c r="I2592" s="523">
        <v>0</v>
      </c>
      <c r="J2592" s="523">
        <v>0</v>
      </c>
    </row>
    <row r="2593" spans="1:10" s="559" customFormat="1">
      <c r="A2593" s="521" t="s">
        <v>318</v>
      </c>
      <c r="B2593" s="522" t="s">
        <v>698</v>
      </c>
      <c r="C2593" s="423" t="s">
        <v>330</v>
      </c>
      <c r="D2593" s="521" t="s">
        <v>699</v>
      </c>
      <c r="E2593" s="522">
        <v>201607</v>
      </c>
      <c r="F2593" s="523">
        <v>183.13</v>
      </c>
      <c r="G2593" s="521">
        <v>9.5</v>
      </c>
      <c r="H2593" s="524">
        <v>1.3083000000000001E-3</v>
      </c>
      <c r="I2593" s="523">
        <v>2.2799999999999998</v>
      </c>
      <c r="J2593" s="523">
        <v>2.88</v>
      </c>
    </row>
    <row r="2594" spans="1:10" s="559" customFormat="1">
      <c r="A2594" s="521" t="s">
        <v>318</v>
      </c>
      <c r="B2594" s="522" t="s">
        <v>700</v>
      </c>
      <c r="C2594" s="423" t="s">
        <v>330</v>
      </c>
      <c r="D2594" s="521" t="s">
        <v>701</v>
      </c>
      <c r="E2594" s="522">
        <v>201607</v>
      </c>
      <c r="F2594" s="523">
        <v>753.26</v>
      </c>
      <c r="G2594" s="521">
        <v>9.5</v>
      </c>
      <c r="H2594" s="524">
        <v>1.3083000000000001E-3</v>
      </c>
      <c r="I2594" s="523">
        <v>9.36</v>
      </c>
      <c r="J2594" s="523">
        <v>11.83</v>
      </c>
    </row>
    <row r="2595" spans="1:10" s="559" customFormat="1">
      <c r="A2595" s="521" t="s">
        <v>318</v>
      </c>
      <c r="B2595" s="522" t="s">
        <v>794</v>
      </c>
      <c r="C2595" s="423" t="s">
        <v>330</v>
      </c>
      <c r="D2595" s="521" t="s">
        <v>795</v>
      </c>
      <c r="E2595" s="522">
        <v>201607</v>
      </c>
      <c r="F2595" s="523">
        <v>935.22</v>
      </c>
      <c r="G2595" s="521">
        <v>9.5</v>
      </c>
      <c r="H2595" s="524">
        <v>1.3083000000000001E-3</v>
      </c>
      <c r="I2595" s="523">
        <v>11.62</v>
      </c>
      <c r="J2595" s="523">
        <v>14.68</v>
      </c>
    </row>
    <row r="2596" spans="1:10" s="559" customFormat="1">
      <c r="A2596" s="521" t="s">
        <v>318</v>
      </c>
      <c r="B2596" s="522" t="s">
        <v>614</v>
      </c>
      <c r="C2596" s="423" t="s">
        <v>331</v>
      </c>
      <c r="D2596" s="521" t="s">
        <v>714</v>
      </c>
      <c r="E2596" s="522">
        <v>201607</v>
      </c>
      <c r="F2596" s="523">
        <v>-0.01</v>
      </c>
      <c r="G2596" s="521">
        <v>9.5</v>
      </c>
      <c r="H2596" s="524">
        <v>1.3083000000000001E-3</v>
      </c>
      <c r="I2596" s="523">
        <v>0</v>
      </c>
      <c r="J2596" s="523">
        <v>0</v>
      </c>
    </row>
    <row r="2597" spans="1:10" s="559" customFormat="1">
      <c r="A2597" s="521" t="s">
        <v>318</v>
      </c>
      <c r="B2597" s="522" t="s">
        <v>852</v>
      </c>
      <c r="C2597" s="423" t="s">
        <v>330</v>
      </c>
      <c r="D2597" s="521" t="s">
        <v>853</v>
      </c>
      <c r="E2597" s="522">
        <v>201607</v>
      </c>
      <c r="F2597" s="523">
        <v>1337.83</v>
      </c>
      <c r="G2597" s="521">
        <v>9.5</v>
      </c>
      <c r="H2597" s="524">
        <v>1.3083000000000001E-3</v>
      </c>
      <c r="I2597" s="523">
        <v>16.63</v>
      </c>
      <c r="J2597" s="523">
        <v>21</v>
      </c>
    </row>
    <row r="2598" spans="1:10" s="559" customFormat="1">
      <c r="A2598" s="521" t="s">
        <v>318</v>
      </c>
      <c r="B2598" s="522" t="s">
        <v>870</v>
      </c>
      <c r="C2598" s="423" t="s">
        <v>330</v>
      </c>
      <c r="D2598" s="521" t="s">
        <v>871</v>
      </c>
      <c r="E2598" s="522">
        <v>201607</v>
      </c>
      <c r="F2598" s="523">
        <v>703.75</v>
      </c>
      <c r="G2598" s="521">
        <v>9.5</v>
      </c>
      <c r="H2598" s="524">
        <v>1.3083000000000001E-3</v>
      </c>
      <c r="I2598" s="523">
        <v>8.75</v>
      </c>
      <c r="J2598" s="523">
        <v>11.05</v>
      </c>
    </row>
    <row r="2599" spans="1:10" s="559" customFormat="1">
      <c r="A2599" s="521" t="s">
        <v>318</v>
      </c>
      <c r="B2599" s="522" t="s">
        <v>872</v>
      </c>
      <c r="C2599" s="423" t="s">
        <v>330</v>
      </c>
      <c r="D2599" s="521" t="s">
        <v>873</v>
      </c>
      <c r="E2599" s="522">
        <v>201607</v>
      </c>
      <c r="F2599" s="523">
        <v>2804.57</v>
      </c>
      <c r="G2599" s="521">
        <v>9.5</v>
      </c>
      <c r="H2599" s="524">
        <v>1.3083000000000001E-3</v>
      </c>
      <c r="I2599" s="523">
        <v>34.86</v>
      </c>
      <c r="J2599" s="523">
        <v>44.03</v>
      </c>
    </row>
    <row r="2600" spans="1:10" s="559" customFormat="1">
      <c r="A2600" s="521" t="s">
        <v>318</v>
      </c>
      <c r="B2600" s="522" t="s">
        <v>826</v>
      </c>
      <c r="C2600" s="423" t="s">
        <v>330</v>
      </c>
      <c r="D2600" s="521" t="s">
        <v>827</v>
      </c>
      <c r="E2600" s="522">
        <v>201607</v>
      </c>
      <c r="F2600" s="523">
        <v>4186.37</v>
      </c>
      <c r="G2600" s="521">
        <v>9.5</v>
      </c>
      <c r="H2600" s="524">
        <v>1.3083000000000001E-3</v>
      </c>
      <c r="I2600" s="523">
        <v>52.03</v>
      </c>
      <c r="J2600" s="523">
        <v>65.72</v>
      </c>
    </row>
    <row r="2601" spans="1:10" s="559" customFormat="1">
      <c r="A2601" s="521" t="s">
        <v>318</v>
      </c>
      <c r="B2601" s="522" t="s">
        <v>874</v>
      </c>
      <c r="C2601" s="423" t="s">
        <v>330</v>
      </c>
      <c r="D2601" s="521" t="s">
        <v>875</v>
      </c>
      <c r="E2601" s="522">
        <v>201607</v>
      </c>
      <c r="F2601" s="523">
        <v>3394.51</v>
      </c>
      <c r="G2601" s="521">
        <v>9.5</v>
      </c>
      <c r="H2601" s="524">
        <v>1.3083000000000001E-3</v>
      </c>
      <c r="I2601" s="523">
        <v>42.19</v>
      </c>
      <c r="J2601" s="523">
        <v>53.29</v>
      </c>
    </row>
    <row r="2602" spans="1:10" s="559" customFormat="1">
      <c r="A2602" s="521" t="s">
        <v>318</v>
      </c>
      <c r="B2602" s="522" t="s">
        <v>876</v>
      </c>
      <c r="C2602" s="423" t="s">
        <v>330</v>
      </c>
      <c r="D2602" s="521" t="s">
        <v>877</v>
      </c>
      <c r="E2602" s="522">
        <v>201607</v>
      </c>
      <c r="F2602" s="523">
        <v>6053.84</v>
      </c>
      <c r="G2602" s="521">
        <v>9.5</v>
      </c>
      <c r="H2602" s="524">
        <v>1.3083000000000001E-3</v>
      </c>
      <c r="I2602" s="523">
        <v>75.239999999999995</v>
      </c>
      <c r="J2602" s="523">
        <v>95.04</v>
      </c>
    </row>
    <row r="2603" spans="1:10" s="559" customFormat="1">
      <c r="A2603" s="521" t="s">
        <v>318</v>
      </c>
      <c r="B2603" s="522" t="s">
        <v>878</v>
      </c>
      <c r="C2603" s="423" t="s">
        <v>330</v>
      </c>
      <c r="D2603" s="521" t="s">
        <v>879</v>
      </c>
      <c r="E2603" s="522">
        <v>201607</v>
      </c>
      <c r="F2603" s="523">
        <v>3696.03</v>
      </c>
      <c r="G2603" s="521">
        <v>9.5</v>
      </c>
      <c r="H2603" s="524">
        <v>1.3083000000000001E-3</v>
      </c>
      <c r="I2603" s="523">
        <v>45.94</v>
      </c>
      <c r="J2603" s="523">
        <v>58.03</v>
      </c>
    </row>
    <row r="2604" spans="1:10" s="559" customFormat="1">
      <c r="A2604" s="521" t="s">
        <v>318</v>
      </c>
      <c r="B2604" s="522" t="s">
        <v>891</v>
      </c>
      <c r="C2604" s="423" t="s">
        <v>331</v>
      </c>
      <c r="D2604" s="521" t="s">
        <v>892</v>
      </c>
      <c r="E2604" s="522">
        <v>201607</v>
      </c>
      <c r="F2604" s="523">
        <v>277.37</v>
      </c>
      <c r="G2604" s="521">
        <v>9.5</v>
      </c>
      <c r="H2604" s="524">
        <v>1.3083000000000001E-3</v>
      </c>
      <c r="I2604" s="523">
        <v>3.45</v>
      </c>
      <c r="J2604" s="523">
        <v>4.3499999999999996</v>
      </c>
    </row>
    <row r="2605" spans="1:10" s="559" customFormat="1">
      <c r="A2605" s="521" t="s">
        <v>318</v>
      </c>
      <c r="B2605" s="522" t="s">
        <v>882</v>
      </c>
      <c r="C2605" s="423" t="s">
        <v>330</v>
      </c>
      <c r="D2605" s="521" t="s">
        <v>883</v>
      </c>
      <c r="E2605" s="522">
        <v>201607</v>
      </c>
      <c r="F2605" s="523">
        <v>1262.25</v>
      </c>
      <c r="G2605" s="521">
        <v>9.5</v>
      </c>
      <c r="H2605" s="524">
        <v>1.3083000000000001E-3</v>
      </c>
      <c r="I2605" s="523">
        <v>15.69</v>
      </c>
      <c r="J2605" s="523">
        <v>19.82</v>
      </c>
    </row>
    <row r="2606" spans="1:10" s="559" customFormat="1">
      <c r="A2606" s="521" t="s">
        <v>318</v>
      </c>
      <c r="B2606" s="522" t="s">
        <v>854</v>
      </c>
      <c r="C2606" s="423" t="s">
        <v>330</v>
      </c>
      <c r="D2606" s="521" t="s">
        <v>855</v>
      </c>
      <c r="E2606" s="522">
        <v>201607</v>
      </c>
      <c r="F2606" s="523">
        <v>6924.42</v>
      </c>
      <c r="G2606" s="521">
        <v>9.5</v>
      </c>
      <c r="H2606" s="524">
        <v>1.3083000000000001E-3</v>
      </c>
      <c r="I2606" s="523">
        <v>86.06</v>
      </c>
      <c r="J2606" s="523">
        <v>108.71</v>
      </c>
    </row>
    <row r="2607" spans="1:10" s="559" customFormat="1">
      <c r="A2607" s="521" t="s">
        <v>318</v>
      </c>
      <c r="B2607" s="522" t="s">
        <v>887</v>
      </c>
      <c r="C2607" s="423" t="s">
        <v>330</v>
      </c>
      <c r="D2607" s="521" t="s">
        <v>888</v>
      </c>
      <c r="E2607" s="522">
        <v>201607</v>
      </c>
      <c r="F2607" s="523">
        <v>197.61</v>
      </c>
      <c r="G2607" s="521">
        <v>9.5</v>
      </c>
      <c r="H2607" s="524">
        <v>1.3083000000000001E-3</v>
      </c>
      <c r="I2607" s="523">
        <v>2.46</v>
      </c>
      <c r="J2607" s="523">
        <v>3.1</v>
      </c>
    </row>
    <row r="2608" spans="1:10" s="559" customFormat="1">
      <c r="A2608" s="521" t="s">
        <v>318</v>
      </c>
      <c r="B2608" s="522" t="s">
        <v>895</v>
      </c>
      <c r="C2608" s="423" t="s">
        <v>343</v>
      </c>
      <c r="D2608" s="521" t="s">
        <v>896</v>
      </c>
      <c r="E2608" s="522">
        <v>201607</v>
      </c>
      <c r="F2608" s="523">
        <v>223.89</v>
      </c>
      <c r="G2608" s="521">
        <v>9.5</v>
      </c>
      <c r="H2608" s="524">
        <v>1.3083000000000001E-3</v>
      </c>
      <c r="I2608" s="523">
        <v>2.78</v>
      </c>
      <c r="J2608" s="523">
        <v>3.51</v>
      </c>
    </row>
    <row r="2609" spans="1:10" s="559" customFormat="1">
      <c r="A2609" s="521" t="s">
        <v>318</v>
      </c>
      <c r="B2609" s="522" t="s">
        <v>627</v>
      </c>
      <c r="C2609" s="423" t="s">
        <v>330</v>
      </c>
      <c r="D2609" s="521" t="s">
        <v>628</v>
      </c>
      <c r="E2609" s="522">
        <v>201608</v>
      </c>
      <c r="F2609" s="523">
        <v>426.1</v>
      </c>
      <c r="G2609" s="521">
        <v>8.5</v>
      </c>
      <c r="H2609" s="524">
        <v>1.3083000000000001E-3</v>
      </c>
      <c r="I2609" s="523">
        <v>4.74</v>
      </c>
      <c r="J2609" s="523">
        <v>6.69</v>
      </c>
    </row>
    <row r="2610" spans="1:10" s="559" customFormat="1">
      <c r="A2610" s="521" t="s">
        <v>318</v>
      </c>
      <c r="B2610" s="522" t="s">
        <v>706</v>
      </c>
      <c r="C2610" s="423" t="s">
        <v>343</v>
      </c>
      <c r="D2610" s="521" t="s">
        <v>707</v>
      </c>
      <c r="E2610" s="522">
        <v>201608</v>
      </c>
      <c r="F2610" s="523">
        <v>-1.67</v>
      </c>
      <c r="G2610" s="521">
        <v>8.5</v>
      </c>
      <c r="H2610" s="524">
        <v>1.3083000000000001E-3</v>
      </c>
      <c r="I2610" s="523">
        <v>-0.02</v>
      </c>
      <c r="J2610" s="523">
        <v>-0.03</v>
      </c>
    </row>
    <row r="2611" spans="1:10" s="559" customFormat="1">
      <c r="A2611" s="521" t="s">
        <v>318</v>
      </c>
      <c r="B2611" s="522" t="s">
        <v>546</v>
      </c>
      <c r="C2611" s="423" t="s">
        <v>330</v>
      </c>
      <c r="D2611" s="521" t="s">
        <v>547</v>
      </c>
      <c r="E2611" s="522">
        <v>201608</v>
      </c>
      <c r="F2611" s="523">
        <v>-0.02</v>
      </c>
      <c r="G2611" s="521">
        <v>8.5</v>
      </c>
      <c r="H2611" s="524">
        <v>1.3083000000000001E-3</v>
      </c>
      <c r="I2611" s="523">
        <v>0</v>
      </c>
      <c r="J2611" s="523">
        <v>0</v>
      </c>
    </row>
    <row r="2612" spans="1:10" s="559" customFormat="1">
      <c r="A2612" s="521" t="s">
        <v>318</v>
      </c>
      <c r="B2612" s="522" t="s">
        <v>589</v>
      </c>
      <c r="C2612" s="423" t="s">
        <v>330</v>
      </c>
      <c r="D2612" s="521" t="s">
        <v>590</v>
      </c>
      <c r="E2612" s="522">
        <v>201608</v>
      </c>
      <c r="F2612" s="523">
        <v>12.74</v>
      </c>
      <c r="G2612" s="521">
        <v>8.5</v>
      </c>
      <c r="H2612" s="524">
        <v>1.3083000000000001E-3</v>
      </c>
      <c r="I2612" s="523">
        <v>0.14000000000000001</v>
      </c>
      <c r="J2612" s="523">
        <v>0.2</v>
      </c>
    </row>
    <row r="2613" spans="1:10" s="559" customFormat="1">
      <c r="A2613" s="521" t="s">
        <v>318</v>
      </c>
      <c r="B2613" s="522" t="s">
        <v>941</v>
      </c>
      <c r="C2613" s="423" t="s">
        <v>330</v>
      </c>
      <c r="D2613" s="521" t="s">
        <v>942</v>
      </c>
      <c r="E2613" s="522">
        <v>201608</v>
      </c>
      <c r="F2613" s="523">
        <v>294506.64</v>
      </c>
      <c r="G2613" s="521">
        <v>8.5</v>
      </c>
      <c r="H2613" s="524">
        <v>1.3083000000000001E-3</v>
      </c>
      <c r="I2613" s="523">
        <v>3275.08</v>
      </c>
      <c r="J2613" s="523">
        <v>4623.6400000000003</v>
      </c>
    </row>
    <row r="2614" spans="1:10" s="559" customFormat="1">
      <c r="A2614" s="521" t="s">
        <v>318</v>
      </c>
      <c r="B2614" s="522" t="s">
        <v>643</v>
      </c>
      <c r="C2614" s="423" t="s">
        <v>330</v>
      </c>
      <c r="D2614" s="521" t="s">
        <v>644</v>
      </c>
      <c r="E2614" s="522">
        <v>201608</v>
      </c>
      <c r="F2614" s="523">
        <v>-976.4</v>
      </c>
      <c r="G2614" s="521">
        <v>8.5</v>
      </c>
      <c r="H2614" s="524">
        <v>1.3083000000000001E-3</v>
      </c>
      <c r="I2614" s="523">
        <v>-10.86</v>
      </c>
      <c r="J2614" s="523">
        <v>-15.33</v>
      </c>
    </row>
    <row r="2615" spans="1:10" s="559" customFormat="1">
      <c r="A2615" s="521" t="s">
        <v>318</v>
      </c>
      <c r="B2615" s="522" t="s">
        <v>856</v>
      </c>
      <c r="C2615" s="423" t="s">
        <v>330</v>
      </c>
      <c r="D2615" s="521" t="s">
        <v>857</v>
      </c>
      <c r="E2615" s="522">
        <v>201608</v>
      </c>
      <c r="F2615" s="523">
        <v>-397.93</v>
      </c>
      <c r="G2615" s="521">
        <v>8.5</v>
      </c>
      <c r="H2615" s="524">
        <v>1.3083000000000001E-3</v>
      </c>
      <c r="I2615" s="523">
        <v>-4.43</v>
      </c>
      <c r="J2615" s="523">
        <v>-6.25</v>
      </c>
    </row>
    <row r="2616" spans="1:10" s="559" customFormat="1">
      <c r="A2616" s="521" t="s">
        <v>318</v>
      </c>
      <c r="B2616" s="522" t="s">
        <v>708</v>
      </c>
      <c r="C2616" s="423" t="s">
        <v>331</v>
      </c>
      <c r="D2616" s="521" t="s">
        <v>709</v>
      </c>
      <c r="E2616" s="522">
        <v>201608</v>
      </c>
      <c r="F2616" s="523">
        <v>395.8</v>
      </c>
      <c r="G2616" s="521">
        <v>8.5</v>
      </c>
      <c r="H2616" s="524">
        <v>1.3083000000000001E-3</v>
      </c>
      <c r="I2616" s="523">
        <v>4.4000000000000004</v>
      </c>
      <c r="J2616" s="523">
        <v>6.21</v>
      </c>
    </row>
    <row r="2617" spans="1:10" s="559" customFormat="1">
      <c r="A2617" s="521" t="s">
        <v>318</v>
      </c>
      <c r="B2617" s="522" t="s">
        <v>451</v>
      </c>
      <c r="C2617" s="423" t="s">
        <v>330</v>
      </c>
      <c r="D2617" s="521" t="s">
        <v>452</v>
      </c>
      <c r="E2617" s="522">
        <v>201608</v>
      </c>
      <c r="F2617" s="523">
        <v>0.05</v>
      </c>
      <c r="G2617" s="521">
        <v>8.5</v>
      </c>
      <c r="H2617" s="524">
        <v>1.3083000000000001E-3</v>
      </c>
      <c r="I2617" s="523">
        <v>0</v>
      </c>
      <c r="J2617" s="523">
        <v>0</v>
      </c>
    </row>
    <row r="2618" spans="1:10" s="559" customFormat="1">
      <c r="A2618" s="521" t="s">
        <v>318</v>
      </c>
      <c r="B2618" s="522" t="s">
        <v>645</v>
      </c>
      <c r="C2618" s="423" t="s">
        <v>330</v>
      </c>
      <c r="D2618" s="521" t="s">
        <v>646</v>
      </c>
      <c r="E2618" s="522">
        <v>201608</v>
      </c>
      <c r="F2618" s="523">
        <v>-0.01</v>
      </c>
      <c r="G2618" s="521">
        <v>8.5</v>
      </c>
      <c r="H2618" s="524">
        <v>1.3083000000000001E-3</v>
      </c>
      <c r="I2618" s="523">
        <v>0</v>
      </c>
      <c r="J2618" s="523">
        <v>0</v>
      </c>
    </row>
    <row r="2619" spans="1:10" s="559" customFormat="1">
      <c r="A2619" s="521" t="s">
        <v>318</v>
      </c>
      <c r="B2619" s="522" t="s">
        <v>647</v>
      </c>
      <c r="C2619" s="423" t="s">
        <v>330</v>
      </c>
      <c r="D2619" s="521" t="s">
        <v>648</v>
      </c>
      <c r="E2619" s="522">
        <v>201608</v>
      </c>
      <c r="F2619" s="523">
        <v>48.01</v>
      </c>
      <c r="G2619" s="521">
        <v>8.5</v>
      </c>
      <c r="H2619" s="524">
        <v>1.3083000000000001E-3</v>
      </c>
      <c r="I2619" s="523">
        <v>0.53</v>
      </c>
      <c r="J2619" s="523">
        <v>0.75</v>
      </c>
    </row>
    <row r="2620" spans="1:10" s="559" customFormat="1">
      <c r="A2620" s="521" t="s">
        <v>318</v>
      </c>
      <c r="B2620" s="522" t="s">
        <v>629</v>
      </c>
      <c r="C2620" s="423" t="s">
        <v>330</v>
      </c>
      <c r="D2620" s="521" t="s">
        <v>630</v>
      </c>
      <c r="E2620" s="522">
        <v>201608</v>
      </c>
      <c r="F2620" s="523">
        <v>2.19</v>
      </c>
      <c r="G2620" s="521">
        <v>8.5</v>
      </c>
      <c r="H2620" s="524">
        <v>1.3083000000000001E-3</v>
      </c>
      <c r="I2620" s="523">
        <v>0.02</v>
      </c>
      <c r="J2620" s="523">
        <v>0.03</v>
      </c>
    </row>
    <row r="2621" spans="1:10" s="559" customFormat="1">
      <c r="A2621" s="521" t="s">
        <v>318</v>
      </c>
      <c r="B2621" s="522" t="s">
        <v>717</v>
      </c>
      <c r="C2621" s="423" t="s">
        <v>331</v>
      </c>
      <c r="D2621" s="521" t="s">
        <v>718</v>
      </c>
      <c r="E2621" s="522">
        <v>201608</v>
      </c>
      <c r="F2621" s="523">
        <v>133.41</v>
      </c>
      <c r="G2621" s="521">
        <v>8.5</v>
      </c>
      <c r="H2621" s="524">
        <v>1.3083000000000001E-3</v>
      </c>
      <c r="I2621" s="523">
        <v>1.48</v>
      </c>
      <c r="J2621" s="523">
        <v>2.09</v>
      </c>
    </row>
    <row r="2622" spans="1:10" s="559" customFormat="1">
      <c r="A2622" s="521" t="s">
        <v>318</v>
      </c>
      <c r="B2622" s="522" t="s">
        <v>649</v>
      </c>
      <c r="C2622" s="423" t="s">
        <v>330</v>
      </c>
      <c r="D2622" s="521" t="s">
        <v>650</v>
      </c>
      <c r="E2622" s="522">
        <v>201608</v>
      </c>
      <c r="F2622" s="523">
        <v>5621.05</v>
      </c>
      <c r="G2622" s="521">
        <v>8.5</v>
      </c>
      <c r="H2622" s="524">
        <v>1.3083000000000001E-3</v>
      </c>
      <c r="I2622" s="523">
        <v>62.51</v>
      </c>
      <c r="J2622" s="523">
        <v>88.25</v>
      </c>
    </row>
    <row r="2623" spans="1:10" s="559" customFormat="1">
      <c r="A2623" s="521" t="s">
        <v>318</v>
      </c>
      <c r="B2623" s="522" t="s">
        <v>651</v>
      </c>
      <c r="C2623" s="423" t="s">
        <v>330</v>
      </c>
      <c r="D2623" s="521" t="s">
        <v>652</v>
      </c>
      <c r="E2623" s="522">
        <v>201608</v>
      </c>
      <c r="F2623" s="523">
        <v>1770.85</v>
      </c>
      <c r="G2623" s="521">
        <v>8.5</v>
      </c>
      <c r="H2623" s="524">
        <v>1.3083000000000001E-3</v>
      </c>
      <c r="I2623" s="523">
        <v>19.690000000000001</v>
      </c>
      <c r="J2623" s="523">
        <v>27.8</v>
      </c>
    </row>
    <row r="2624" spans="1:10" s="559" customFormat="1">
      <c r="A2624" s="521" t="s">
        <v>318</v>
      </c>
      <c r="B2624" s="522" t="s">
        <v>786</v>
      </c>
      <c r="C2624" s="423" t="s">
        <v>330</v>
      </c>
      <c r="D2624" s="521" t="s">
        <v>787</v>
      </c>
      <c r="E2624" s="522">
        <v>201608</v>
      </c>
      <c r="F2624" s="523">
        <v>5282.96</v>
      </c>
      <c r="G2624" s="521">
        <v>8.5</v>
      </c>
      <c r="H2624" s="524">
        <v>1.3083000000000001E-3</v>
      </c>
      <c r="I2624" s="523">
        <v>58.75</v>
      </c>
      <c r="J2624" s="523">
        <v>82.94</v>
      </c>
    </row>
    <row r="2625" spans="1:10" s="559" customFormat="1">
      <c r="A2625" s="521" t="s">
        <v>318</v>
      </c>
      <c r="B2625" s="522" t="s">
        <v>653</v>
      </c>
      <c r="C2625" s="423" t="s">
        <v>330</v>
      </c>
      <c r="D2625" s="521" t="s">
        <v>654</v>
      </c>
      <c r="E2625" s="522">
        <v>201608</v>
      </c>
      <c r="F2625" s="523">
        <v>1712.46</v>
      </c>
      <c r="G2625" s="521">
        <v>8.5</v>
      </c>
      <c r="H2625" s="524">
        <v>1.3083000000000001E-3</v>
      </c>
      <c r="I2625" s="523">
        <v>19.04</v>
      </c>
      <c r="J2625" s="523">
        <v>26.88</v>
      </c>
    </row>
    <row r="2626" spans="1:10" s="559" customFormat="1">
      <c r="A2626" s="521" t="s">
        <v>318</v>
      </c>
      <c r="B2626" s="522" t="s">
        <v>655</v>
      </c>
      <c r="C2626" s="423" t="s">
        <v>330</v>
      </c>
      <c r="D2626" s="521" t="s">
        <v>656</v>
      </c>
      <c r="E2626" s="522">
        <v>201608</v>
      </c>
      <c r="F2626" s="523">
        <v>6.71</v>
      </c>
      <c r="G2626" s="521">
        <v>8.5</v>
      </c>
      <c r="H2626" s="524">
        <v>1.3083000000000001E-3</v>
      </c>
      <c r="I2626" s="523">
        <v>7.0000000000000007E-2</v>
      </c>
      <c r="J2626" s="523">
        <v>0.11</v>
      </c>
    </row>
    <row r="2627" spans="1:10" s="559" customFormat="1">
      <c r="A2627" s="521" t="s">
        <v>318</v>
      </c>
      <c r="B2627" s="522" t="s">
        <v>594</v>
      </c>
      <c r="C2627" s="423" t="s">
        <v>330</v>
      </c>
      <c r="D2627" s="521" t="s">
        <v>595</v>
      </c>
      <c r="E2627" s="522">
        <v>201608</v>
      </c>
      <c r="F2627" s="523">
        <v>0.43</v>
      </c>
      <c r="G2627" s="521">
        <v>8.5</v>
      </c>
      <c r="H2627" s="524">
        <v>1.3083000000000001E-3</v>
      </c>
      <c r="I2627" s="523">
        <v>0</v>
      </c>
      <c r="J2627" s="523">
        <v>0.01</v>
      </c>
    </row>
    <row r="2628" spans="1:10" s="559" customFormat="1">
      <c r="A2628" s="521" t="s">
        <v>318</v>
      </c>
      <c r="B2628" s="522" t="s">
        <v>596</v>
      </c>
      <c r="C2628" s="423" t="s">
        <v>330</v>
      </c>
      <c r="D2628" s="521" t="s">
        <v>597</v>
      </c>
      <c r="E2628" s="522">
        <v>201608</v>
      </c>
      <c r="F2628" s="523">
        <v>0.88</v>
      </c>
      <c r="G2628" s="521">
        <v>8.5</v>
      </c>
      <c r="H2628" s="524">
        <v>1.3083000000000001E-3</v>
      </c>
      <c r="I2628" s="523">
        <v>0.01</v>
      </c>
      <c r="J2628" s="523">
        <v>0.01</v>
      </c>
    </row>
    <row r="2629" spans="1:10" s="559" customFormat="1">
      <c r="A2629" s="521" t="s">
        <v>318</v>
      </c>
      <c r="B2629" s="522" t="s">
        <v>657</v>
      </c>
      <c r="C2629" s="423" t="s">
        <v>330</v>
      </c>
      <c r="D2629" s="521" t="s">
        <v>658</v>
      </c>
      <c r="E2629" s="522">
        <v>201608</v>
      </c>
      <c r="F2629" s="523">
        <v>-10.99</v>
      </c>
      <c r="G2629" s="521">
        <v>8.5</v>
      </c>
      <c r="H2629" s="524">
        <v>1.3083000000000001E-3</v>
      </c>
      <c r="I2629" s="523">
        <v>-0.12</v>
      </c>
      <c r="J2629" s="523">
        <v>-0.17</v>
      </c>
    </row>
    <row r="2630" spans="1:10" s="559" customFormat="1">
      <c r="A2630" s="521" t="s">
        <v>318</v>
      </c>
      <c r="B2630" s="522" t="s">
        <v>659</v>
      </c>
      <c r="C2630" s="423" t="s">
        <v>330</v>
      </c>
      <c r="D2630" s="521" t="s">
        <v>660</v>
      </c>
      <c r="E2630" s="522">
        <v>201608</v>
      </c>
      <c r="F2630" s="523">
        <v>-69.98</v>
      </c>
      <c r="G2630" s="521">
        <v>8.5</v>
      </c>
      <c r="H2630" s="524">
        <v>1.3083000000000001E-3</v>
      </c>
      <c r="I2630" s="523">
        <v>-0.78</v>
      </c>
      <c r="J2630" s="523">
        <v>-1.1000000000000001</v>
      </c>
    </row>
    <row r="2631" spans="1:10" s="559" customFormat="1">
      <c r="A2631" s="521" t="s">
        <v>318</v>
      </c>
      <c r="B2631" s="522" t="s">
        <v>663</v>
      </c>
      <c r="C2631" s="423" t="s">
        <v>330</v>
      </c>
      <c r="D2631" s="521" t="s">
        <v>664</v>
      </c>
      <c r="E2631" s="522">
        <v>201608</v>
      </c>
      <c r="F2631" s="523">
        <v>2242.7399999999998</v>
      </c>
      <c r="G2631" s="521">
        <v>8.5</v>
      </c>
      <c r="H2631" s="524">
        <v>1.3083000000000001E-3</v>
      </c>
      <c r="I2631" s="523">
        <v>24.94</v>
      </c>
      <c r="J2631" s="523">
        <v>35.21</v>
      </c>
    </row>
    <row r="2632" spans="1:10" s="559" customFormat="1">
      <c r="A2632" s="521" t="s">
        <v>318</v>
      </c>
      <c r="B2632" s="522" t="s">
        <v>665</v>
      </c>
      <c r="C2632" s="423" t="s">
        <v>330</v>
      </c>
      <c r="D2632" s="521" t="s">
        <v>666</v>
      </c>
      <c r="E2632" s="522">
        <v>201608</v>
      </c>
      <c r="F2632" s="523">
        <v>118.32</v>
      </c>
      <c r="G2632" s="521">
        <v>8.5</v>
      </c>
      <c r="H2632" s="524">
        <v>1.3083000000000001E-3</v>
      </c>
      <c r="I2632" s="523">
        <v>1.32</v>
      </c>
      <c r="J2632" s="523">
        <v>1.86</v>
      </c>
    </row>
    <row r="2633" spans="1:10" s="559" customFormat="1">
      <c r="A2633" s="521" t="s">
        <v>318</v>
      </c>
      <c r="B2633" s="522" t="s">
        <v>801</v>
      </c>
      <c r="C2633" s="423" t="s">
        <v>330</v>
      </c>
      <c r="D2633" s="521" t="s">
        <v>802</v>
      </c>
      <c r="E2633" s="522">
        <v>201608</v>
      </c>
      <c r="F2633" s="523">
        <v>3383.66</v>
      </c>
      <c r="G2633" s="521">
        <v>8.5</v>
      </c>
      <c r="H2633" s="524">
        <v>1.3083000000000001E-3</v>
      </c>
      <c r="I2633" s="523">
        <v>37.630000000000003</v>
      </c>
      <c r="J2633" s="523">
        <v>53.12</v>
      </c>
    </row>
    <row r="2634" spans="1:10" s="559" customFormat="1">
      <c r="A2634" s="521" t="s">
        <v>318</v>
      </c>
      <c r="B2634" s="522" t="s">
        <v>803</v>
      </c>
      <c r="C2634" s="423" t="s">
        <v>330</v>
      </c>
      <c r="D2634" s="521" t="s">
        <v>804</v>
      </c>
      <c r="E2634" s="522">
        <v>201608</v>
      </c>
      <c r="F2634" s="523">
        <v>10.19</v>
      </c>
      <c r="G2634" s="521">
        <v>8.5</v>
      </c>
      <c r="H2634" s="524">
        <v>1.3083000000000001E-3</v>
      </c>
      <c r="I2634" s="523">
        <v>0.11</v>
      </c>
      <c r="J2634" s="523">
        <v>0.16</v>
      </c>
    </row>
    <row r="2635" spans="1:10" s="559" customFormat="1">
      <c r="A2635" s="521" t="s">
        <v>318</v>
      </c>
      <c r="B2635" s="522" t="s">
        <v>805</v>
      </c>
      <c r="C2635" s="423" t="s">
        <v>330</v>
      </c>
      <c r="D2635" s="521" t="s">
        <v>806</v>
      </c>
      <c r="E2635" s="522">
        <v>201608</v>
      </c>
      <c r="F2635" s="523">
        <v>6327.56</v>
      </c>
      <c r="G2635" s="521">
        <v>8.5</v>
      </c>
      <c r="H2635" s="524">
        <v>1.3083000000000001E-3</v>
      </c>
      <c r="I2635" s="523">
        <v>70.37</v>
      </c>
      <c r="J2635" s="523">
        <v>99.34</v>
      </c>
    </row>
    <row r="2636" spans="1:10" s="559" customFormat="1">
      <c r="A2636" s="521" t="s">
        <v>318</v>
      </c>
      <c r="B2636" s="522" t="s">
        <v>598</v>
      </c>
      <c r="C2636" s="423" t="s">
        <v>330</v>
      </c>
      <c r="D2636" s="521" t="s">
        <v>599</v>
      </c>
      <c r="E2636" s="522">
        <v>201608</v>
      </c>
      <c r="F2636" s="523">
        <v>-0.18</v>
      </c>
      <c r="G2636" s="521">
        <v>8.5</v>
      </c>
      <c r="H2636" s="524">
        <v>1.3083000000000001E-3</v>
      </c>
      <c r="I2636" s="523">
        <v>0</v>
      </c>
      <c r="J2636" s="523">
        <v>0</v>
      </c>
    </row>
    <row r="2637" spans="1:10" s="559" customFormat="1">
      <c r="A2637" s="521" t="s">
        <v>318</v>
      </c>
      <c r="B2637" s="522" t="s">
        <v>600</v>
      </c>
      <c r="C2637" s="423" t="s">
        <v>330</v>
      </c>
      <c r="D2637" s="521" t="s">
        <v>601</v>
      </c>
      <c r="E2637" s="522">
        <v>201608</v>
      </c>
      <c r="F2637" s="523">
        <v>1.01</v>
      </c>
      <c r="G2637" s="521">
        <v>8.5</v>
      </c>
      <c r="H2637" s="524">
        <v>1.3083000000000001E-3</v>
      </c>
      <c r="I2637" s="523">
        <v>0.01</v>
      </c>
      <c r="J2637" s="523">
        <v>0.02</v>
      </c>
    </row>
    <row r="2638" spans="1:10" s="559" customFormat="1">
      <c r="A2638" s="521" t="s">
        <v>318</v>
      </c>
      <c r="B2638" s="522" t="s">
        <v>554</v>
      </c>
      <c r="C2638" s="423" t="s">
        <v>330</v>
      </c>
      <c r="D2638" s="521" t="s">
        <v>555</v>
      </c>
      <c r="E2638" s="522">
        <v>201608</v>
      </c>
      <c r="F2638" s="523">
        <v>0.14000000000000001</v>
      </c>
      <c r="G2638" s="521">
        <v>8.5</v>
      </c>
      <c r="H2638" s="524">
        <v>1.3083000000000001E-3</v>
      </c>
      <c r="I2638" s="523">
        <v>0</v>
      </c>
      <c r="J2638" s="523">
        <v>0</v>
      </c>
    </row>
    <row r="2639" spans="1:10" s="559" customFormat="1">
      <c r="A2639" s="521" t="s">
        <v>318</v>
      </c>
      <c r="B2639" s="522" t="s">
        <v>556</v>
      </c>
      <c r="C2639" s="423" t="s">
        <v>330</v>
      </c>
      <c r="D2639" s="521" t="s">
        <v>557</v>
      </c>
      <c r="E2639" s="522">
        <v>201608</v>
      </c>
      <c r="F2639" s="523">
        <v>0.25</v>
      </c>
      <c r="G2639" s="521">
        <v>8.5</v>
      </c>
      <c r="H2639" s="524">
        <v>1.3083000000000001E-3</v>
      </c>
      <c r="I2639" s="523">
        <v>0</v>
      </c>
      <c r="J2639" s="523">
        <v>0</v>
      </c>
    </row>
    <row r="2640" spans="1:10" s="559" customFormat="1">
      <c r="A2640" s="521" t="s">
        <v>318</v>
      </c>
      <c r="B2640" s="522" t="s">
        <v>558</v>
      </c>
      <c r="C2640" s="423" t="s">
        <v>330</v>
      </c>
      <c r="D2640" s="521" t="s">
        <v>559</v>
      </c>
      <c r="E2640" s="522">
        <v>201608</v>
      </c>
      <c r="F2640" s="523">
        <v>-0.2</v>
      </c>
      <c r="G2640" s="521">
        <v>8.5</v>
      </c>
      <c r="H2640" s="524">
        <v>1.3083000000000001E-3</v>
      </c>
      <c r="I2640" s="523">
        <v>0</v>
      </c>
      <c r="J2640" s="523">
        <v>0</v>
      </c>
    </row>
    <row r="2641" spans="1:10" s="559" customFormat="1">
      <c r="A2641" s="521" t="s">
        <v>318</v>
      </c>
      <c r="B2641" s="522" t="s">
        <v>560</v>
      </c>
      <c r="C2641" s="423" t="s">
        <v>330</v>
      </c>
      <c r="D2641" s="521" t="s">
        <v>561</v>
      </c>
      <c r="E2641" s="522">
        <v>201608</v>
      </c>
      <c r="F2641" s="523">
        <v>-0.42</v>
      </c>
      <c r="G2641" s="521">
        <v>8.5</v>
      </c>
      <c r="H2641" s="524">
        <v>1.3083000000000001E-3</v>
      </c>
      <c r="I2641" s="523">
        <v>0</v>
      </c>
      <c r="J2641" s="523">
        <v>-0.01</v>
      </c>
    </row>
    <row r="2642" spans="1:10" s="559" customFormat="1">
      <c r="A2642" s="521" t="s">
        <v>318</v>
      </c>
      <c r="B2642" s="522" t="s">
        <v>602</v>
      </c>
      <c r="C2642" s="423" t="s">
        <v>330</v>
      </c>
      <c r="D2642" s="521" t="s">
        <v>603</v>
      </c>
      <c r="E2642" s="522">
        <v>201608</v>
      </c>
      <c r="F2642" s="523">
        <v>0.86</v>
      </c>
      <c r="G2642" s="521">
        <v>8.5</v>
      </c>
      <c r="H2642" s="524">
        <v>1.3083000000000001E-3</v>
      </c>
      <c r="I2642" s="523">
        <v>0.01</v>
      </c>
      <c r="J2642" s="523">
        <v>0.01</v>
      </c>
    </row>
    <row r="2643" spans="1:10" s="559" customFormat="1">
      <c r="A2643" s="521" t="s">
        <v>318</v>
      </c>
      <c r="B2643" s="522" t="s">
        <v>810</v>
      </c>
      <c r="C2643" s="423" t="s">
        <v>330</v>
      </c>
      <c r="D2643" s="521" t="s">
        <v>811</v>
      </c>
      <c r="E2643" s="522">
        <v>201608</v>
      </c>
      <c r="F2643" s="523">
        <v>3139.35</v>
      </c>
      <c r="G2643" s="521">
        <v>8.5</v>
      </c>
      <c r="H2643" s="524">
        <v>1.3083000000000001E-3</v>
      </c>
      <c r="I2643" s="523">
        <v>34.909999999999997</v>
      </c>
      <c r="J2643" s="523">
        <v>49.29</v>
      </c>
    </row>
    <row r="2644" spans="1:10" s="559" customFormat="1">
      <c r="A2644" s="521" t="s">
        <v>318</v>
      </c>
      <c r="B2644" s="522" t="s">
        <v>788</v>
      </c>
      <c r="C2644" s="423" t="s">
        <v>330</v>
      </c>
      <c r="D2644" s="521" t="s">
        <v>789</v>
      </c>
      <c r="E2644" s="522">
        <v>201608</v>
      </c>
      <c r="F2644" s="523">
        <v>2460.2199999999998</v>
      </c>
      <c r="G2644" s="521">
        <v>8.5</v>
      </c>
      <c r="H2644" s="524">
        <v>1.3083000000000001E-3</v>
      </c>
      <c r="I2644" s="523">
        <v>27.36</v>
      </c>
      <c r="J2644" s="523">
        <v>38.619999999999997</v>
      </c>
    </row>
    <row r="2645" spans="1:10" s="559" customFormat="1">
      <c r="A2645" s="521" t="s">
        <v>318</v>
      </c>
      <c r="B2645" s="522" t="s">
        <v>564</v>
      </c>
      <c r="C2645" s="423" t="s">
        <v>330</v>
      </c>
      <c r="D2645" s="521" t="s">
        <v>669</v>
      </c>
      <c r="E2645" s="522">
        <v>201608</v>
      </c>
      <c r="F2645" s="523">
        <v>-0.24</v>
      </c>
      <c r="G2645" s="521">
        <v>8.5</v>
      </c>
      <c r="H2645" s="524">
        <v>1.3083000000000001E-3</v>
      </c>
      <c r="I2645" s="523">
        <v>0</v>
      </c>
      <c r="J2645" s="523">
        <v>0</v>
      </c>
    </row>
    <row r="2646" spans="1:10" s="559" customFormat="1">
      <c r="A2646" s="521" t="s">
        <v>318</v>
      </c>
      <c r="B2646" s="522" t="s">
        <v>832</v>
      </c>
      <c r="C2646" s="423" t="s">
        <v>330</v>
      </c>
      <c r="D2646" s="521" t="s">
        <v>833</v>
      </c>
      <c r="E2646" s="522">
        <v>201608</v>
      </c>
      <c r="F2646" s="523">
        <v>1171.1300000000001</v>
      </c>
      <c r="G2646" s="521">
        <v>8.5</v>
      </c>
      <c r="H2646" s="524">
        <v>1.3083000000000001E-3</v>
      </c>
      <c r="I2646" s="523">
        <v>13.02</v>
      </c>
      <c r="J2646" s="523">
        <v>18.39</v>
      </c>
    </row>
    <row r="2647" spans="1:10" s="559" customFormat="1">
      <c r="A2647" s="521" t="s">
        <v>318</v>
      </c>
      <c r="B2647" s="522" t="s">
        <v>670</v>
      </c>
      <c r="C2647" s="423" t="s">
        <v>330</v>
      </c>
      <c r="D2647" s="521" t="s">
        <v>671</v>
      </c>
      <c r="E2647" s="522">
        <v>201608</v>
      </c>
      <c r="F2647" s="523">
        <v>2354.5</v>
      </c>
      <c r="G2647" s="521">
        <v>8.5</v>
      </c>
      <c r="H2647" s="524">
        <v>1.3083000000000001E-3</v>
      </c>
      <c r="I2647" s="523">
        <v>26.18</v>
      </c>
      <c r="J2647" s="523">
        <v>36.96</v>
      </c>
    </row>
    <row r="2648" spans="1:10" s="559" customFormat="1">
      <c r="A2648" s="521" t="s">
        <v>318</v>
      </c>
      <c r="B2648" s="522" t="s">
        <v>945</v>
      </c>
      <c r="C2648" s="423" t="s">
        <v>330</v>
      </c>
      <c r="D2648" s="521" t="s">
        <v>946</v>
      </c>
      <c r="E2648" s="522">
        <v>201608</v>
      </c>
      <c r="F2648" s="523">
        <v>149265.06</v>
      </c>
      <c r="G2648" s="521">
        <v>8.5</v>
      </c>
      <c r="H2648" s="524">
        <v>1.3083000000000001E-3</v>
      </c>
      <c r="I2648" s="523">
        <v>1659.91</v>
      </c>
      <c r="J2648" s="523">
        <v>2343.4</v>
      </c>
    </row>
    <row r="2649" spans="1:10" s="559" customFormat="1">
      <c r="A2649" s="521" t="s">
        <v>318</v>
      </c>
      <c r="B2649" s="522" t="s">
        <v>606</v>
      </c>
      <c r="C2649" s="423" t="s">
        <v>330</v>
      </c>
      <c r="D2649" s="521" t="s">
        <v>607</v>
      </c>
      <c r="E2649" s="522">
        <v>201608</v>
      </c>
      <c r="F2649" s="523">
        <v>3.34</v>
      </c>
      <c r="G2649" s="521">
        <v>8.5</v>
      </c>
      <c r="H2649" s="524">
        <v>1.3083000000000001E-3</v>
      </c>
      <c r="I2649" s="523">
        <v>0.04</v>
      </c>
      <c r="J2649" s="523">
        <v>0.05</v>
      </c>
    </row>
    <row r="2650" spans="1:10" s="559" customFormat="1">
      <c r="A2650" s="521" t="s">
        <v>318</v>
      </c>
      <c r="B2650" s="522" t="s">
        <v>949</v>
      </c>
      <c r="C2650" s="423" t="s">
        <v>330</v>
      </c>
      <c r="D2650" s="521" t="s">
        <v>950</v>
      </c>
      <c r="E2650" s="522">
        <v>201608</v>
      </c>
      <c r="F2650" s="523">
        <v>159743.04999999999</v>
      </c>
      <c r="G2650" s="521">
        <v>8.5</v>
      </c>
      <c r="H2650" s="524">
        <v>1.3083000000000001E-3</v>
      </c>
      <c r="I2650" s="523">
        <v>1776.43</v>
      </c>
      <c r="J2650" s="523">
        <v>2507.9</v>
      </c>
    </row>
    <row r="2651" spans="1:10" s="559" customFormat="1">
      <c r="A2651" s="521" t="s">
        <v>318</v>
      </c>
      <c r="B2651" s="522" t="s">
        <v>951</v>
      </c>
      <c r="C2651" s="423" t="s">
        <v>330</v>
      </c>
      <c r="D2651" s="521" t="s">
        <v>952</v>
      </c>
      <c r="E2651" s="522">
        <v>201608</v>
      </c>
      <c r="F2651" s="523">
        <v>137126.76999999999</v>
      </c>
      <c r="G2651" s="521">
        <v>8.5</v>
      </c>
      <c r="H2651" s="524">
        <v>1.3083000000000001E-3</v>
      </c>
      <c r="I2651" s="523">
        <v>1524.93</v>
      </c>
      <c r="J2651" s="523">
        <v>2152.84</v>
      </c>
    </row>
    <row r="2652" spans="1:10" s="559" customFormat="1">
      <c r="A2652" s="521" t="s">
        <v>318</v>
      </c>
      <c r="B2652" s="522" t="s">
        <v>953</v>
      </c>
      <c r="C2652" s="423" t="s">
        <v>330</v>
      </c>
      <c r="D2652" s="521" t="s">
        <v>954</v>
      </c>
      <c r="E2652" s="522">
        <v>201608</v>
      </c>
      <c r="F2652" s="523">
        <v>84274.06</v>
      </c>
      <c r="G2652" s="521">
        <v>8.5</v>
      </c>
      <c r="H2652" s="524">
        <v>1.3083000000000001E-3</v>
      </c>
      <c r="I2652" s="523">
        <v>937.17</v>
      </c>
      <c r="J2652" s="523">
        <v>1323.07</v>
      </c>
    </row>
    <row r="2653" spans="1:10" s="559" customFormat="1">
      <c r="A2653" s="521" t="s">
        <v>318</v>
      </c>
      <c r="B2653" s="522" t="s">
        <v>955</v>
      </c>
      <c r="C2653" s="423" t="s">
        <v>330</v>
      </c>
      <c r="D2653" s="521" t="s">
        <v>956</v>
      </c>
      <c r="E2653" s="522">
        <v>201608</v>
      </c>
      <c r="F2653" s="523">
        <v>71521.73</v>
      </c>
      <c r="G2653" s="521">
        <v>8.5</v>
      </c>
      <c r="H2653" s="524">
        <v>1.3083000000000001E-3</v>
      </c>
      <c r="I2653" s="523">
        <v>795.36</v>
      </c>
      <c r="J2653" s="523">
        <v>1122.8599999999999</v>
      </c>
    </row>
    <row r="2654" spans="1:10" s="559" customFormat="1">
      <c r="A2654" s="521" t="s">
        <v>318</v>
      </c>
      <c r="B2654" s="522" t="s">
        <v>957</v>
      </c>
      <c r="C2654" s="423" t="s">
        <v>330</v>
      </c>
      <c r="D2654" s="521" t="s">
        <v>958</v>
      </c>
      <c r="E2654" s="522">
        <v>201608</v>
      </c>
      <c r="F2654" s="523">
        <v>109929.45</v>
      </c>
      <c r="G2654" s="521">
        <v>8.5</v>
      </c>
      <c r="H2654" s="524">
        <v>1.3083000000000001E-3</v>
      </c>
      <c r="I2654" s="523">
        <v>1222.48</v>
      </c>
      <c r="J2654" s="523">
        <v>1725.85</v>
      </c>
    </row>
    <row r="2655" spans="1:10" s="559" customFormat="1">
      <c r="A2655" s="521" t="s">
        <v>318</v>
      </c>
      <c r="B2655" s="522" t="s">
        <v>959</v>
      </c>
      <c r="C2655" s="423" t="s">
        <v>330</v>
      </c>
      <c r="D2655" s="521" t="s">
        <v>960</v>
      </c>
      <c r="E2655" s="522">
        <v>201608</v>
      </c>
      <c r="F2655" s="523">
        <v>63996.95</v>
      </c>
      <c r="G2655" s="521">
        <v>8.5</v>
      </c>
      <c r="H2655" s="524">
        <v>1.3083000000000001E-3</v>
      </c>
      <c r="I2655" s="523">
        <v>711.68</v>
      </c>
      <c r="J2655" s="523">
        <v>1004.73</v>
      </c>
    </row>
    <row r="2656" spans="1:10" s="559" customFormat="1">
      <c r="A2656" s="521" t="s">
        <v>318</v>
      </c>
      <c r="B2656" s="522" t="s">
        <v>893</v>
      </c>
      <c r="C2656" s="423" t="s">
        <v>331</v>
      </c>
      <c r="D2656" s="521" t="s">
        <v>894</v>
      </c>
      <c r="E2656" s="522">
        <v>201608</v>
      </c>
      <c r="F2656" s="523">
        <v>358.34</v>
      </c>
      <c r="G2656" s="521">
        <v>8.5</v>
      </c>
      <c r="H2656" s="524">
        <v>1.3083000000000001E-3</v>
      </c>
      <c r="I2656" s="523">
        <v>3.98</v>
      </c>
      <c r="J2656" s="523">
        <v>5.63</v>
      </c>
    </row>
    <row r="2657" spans="1:10" s="559" customFormat="1">
      <c r="A2657" s="521" t="s">
        <v>318</v>
      </c>
      <c r="B2657" s="522" t="s">
        <v>608</v>
      </c>
      <c r="C2657" s="423" t="s">
        <v>330</v>
      </c>
      <c r="D2657" s="521" t="s">
        <v>609</v>
      </c>
      <c r="E2657" s="522">
        <v>201608</v>
      </c>
      <c r="F2657" s="523">
        <v>0.11</v>
      </c>
      <c r="G2657" s="521">
        <v>8.5</v>
      </c>
      <c r="H2657" s="524">
        <v>1.3083000000000001E-3</v>
      </c>
      <c r="I2657" s="523">
        <v>0</v>
      </c>
      <c r="J2657" s="523">
        <v>0</v>
      </c>
    </row>
    <row r="2658" spans="1:10" s="559" customFormat="1">
      <c r="A2658" s="521" t="s">
        <v>318</v>
      </c>
      <c r="B2658" s="522" t="s">
        <v>610</v>
      </c>
      <c r="C2658" s="423" t="s">
        <v>330</v>
      </c>
      <c r="D2658" s="521" t="s">
        <v>611</v>
      </c>
      <c r="E2658" s="522">
        <v>201608</v>
      </c>
      <c r="F2658" s="523">
        <v>1.34</v>
      </c>
      <c r="G2658" s="521">
        <v>8.5</v>
      </c>
      <c r="H2658" s="524">
        <v>1.3083000000000001E-3</v>
      </c>
      <c r="I2658" s="523">
        <v>0.01</v>
      </c>
      <c r="J2658" s="523">
        <v>0.02</v>
      </c>
    </row>
    <row r="2659" spans="1:10" s="559" customFormat="1">
      <c r="A2659" s="521" t="s">
        <v>318</v>
      </c>
      <c r="B2659" s="522" t="s">
        <v>567</v>
      </c>
      <c r="C2659" s="423" t="s">
        <v>330</v>
      </c>
      <c r="D2659" s="521" t="s">
        <v>568</v>
      </c>
      <c r="E2659" s="522">
        <v>201608</v>
      </c>
      <c r="F2659" s="523">
        <v>7.21</v>
      </c>
      <c r="G2659" s="521">
        <v>8.5</v>
      </c>
      <c r="H2659" s="524">
        <v>1.3083000000000001E-3</v>
      </c>
      <c r="I2659" s="523">
        <v>0.08</v>
      </c>
      <c r="J2659" s="523">
        <v>0.11</v>
      </c>
    </row>
    <row r="2660" spans="1:10" s="559" customFormat="1">
      <c r="A2660" s="521" t="s">
        <v>318</v>
      </c>
      <c r="B2660" s="522" t="s">
        <v>814</v>
      </c>
      <c r="C2660" s="423" t="s">
        <v>330</v>
      </c>
      <c r="D2660" s="521" t="s">
        <v>815</v>
      </c>
      <c r="E2660" s="522">
        <v>201608</v>
      </c>
      <c r="F2660" s="523">
        <v>-6361.48</v>
      </c>
      <c r="G2660" s="521">
        <v>8.5</v>
      </c>
      <c r="H2660" s="524">
        <v>1.3083000000000001E-3</v>
      </c>
      <c r="I2660" s="523">
        <v>-70.739999999999995</v>
      </c>
      <c r="J2660" s="523">
        <v>-99.87</v>
      </c>
    </row>
    <row r="2661" spans="1:10" s="559" customFormat="1">
      <c r="A2661" s="521" t="s">
        <v>318</v>
      </c>
      <c r="B2661" s="522" t="s">
        <v>674</v>
      </c>
      <c r="C2661" s="423" t="s">
        <v>330</v>
      </c>
      <c r="D2661" s="521" t="s">
        <v>675</v>
      </c>
      <c r="E2661" s="522">
        <v>201608</v>
      </c>
      <c r="F2661" s="523">
        <v>162.6</v>
      </c>
      <c r="G2661" s="521">
        <v>8.5</v>
      </c>
      <c r="H2661" s="524">
        <v>1.3083000000000001E-3</v>
      </c>
      <c r="I2661" s="523">
        <v>1.81</v>
      </c>
      <c r="J2661" s="523">
        <v>2.5499999999999998</v>
      </c>
    </row>
    <row r="2662" spans="1:10" s="559" customFormat="1">
      <c r="A2662" s="521" t="s">
        <v>318</v>
      </c>
      <c r="B2662" s="522" t="s">
        <v>790</v>
      </c>
      <c r="C2662" s="423" t="s">
        <v>330</v>
      </c>
      <c r="D2662" s="521" t="s">
        <v>791</v>
      </c>
      <c r="E2662" s="522">
        <v>201608</v>
      </c>
      <c r="F2662" s="523">
        <v>21512.39</v>
      </c>
      <c r="G2662" s="521">
        <v>8.5</v>
      </c>
      <c r="H2662" s="524">
        <v>1.3083000000000001E-3</v>
      </c>
      <c r="I2662" s="523">
        <v>239.23</v>
      </c>
      <c r="J2662" s="523">
        <v>337.74</v>
      </c>
    </row>
    <row r="2663" spans="1:10" s="559" customFormat="1">
      <c r="A2663" s="521" t="s">
        <v>318</v>
      </c>
      <c r="B2663" s="522" t="s">
        <v>963</v>
      </c>
      <c r="C2663" s="423" t="s">
        <v>330</v>
      </c>
      <c r="D2663" s="521" t="s">
        <v>964</v>
      </c>
      <c r="E2663" s="522">
        <v>201608</v>
      </c>
      <c r="F2663" s="523">
        <v>16130.15</v>
      </c>
      <c r="G2663" s="521">
        <v>8.5</v>
      </c>
      <c r="H2663" s="524">
        <v>1.3083000000000001E-3</v>
      </c>
      <c r="I2663" s="523">
        <v>179.38</v>
      </c>
      <c r="J2663" s="523">
        <v>253.24</v>
      </c>
    </row>
    <row r="2664" spans="1:10" s="559" customFormat="1">
      <c r="A2664" s="521" t="s">
        <v>318</v>
      </c>
      <c r="B2664" s="522" t="s">
        <v>965</v>
      </c>
      <c r="C2664" s="423" t="s">
        <v>330</v>
      </c>
      <c r="D2664" s="521" t="s">
        <v>966</v>
      </c>
      <c r="E2664" s="522">
        <v>201608</v>
      </c>
      <c r="F2664" s="523">
        <v>46259.82</v>
      </c>
      <c r="G2664" s="521">
        <v>8.5</v>
      </c>
      <c r="H2664" s="524">
        <v>1.3083000000000001E-3</v>
      </c>
      <c r="I2664" s="523">
        <v>514.42999999999995</v>
      </c>
      <c r="J2664" s="523">
        <v>726.26</v>
      </c>
    </row>
    <row r="2665" spans="1:10" s="559" customFormat="1">
      <c r="A2665" s="521" t="s">
        <v>318</v>
      </c>
      <c r="B2665" s="522" t="s">
        <v>723</v>
      </c>
      <c r="C2665" s="423" t="s">
        <v>331</v>
      </c>
      <c r="D2665" s="521" t="s">
        <v>724</v>
      </c>
      <c r="E2665" s="522">
        <v>201608</v>
      </c>
      <c r="F2665" s="523">
        <v>0.16</v>
      </c>
      <c r="G2665" s="521">
        <v>8.5</v>
      </c>
      <c r="H2665" s="524">
        <v>1.3083000000000001E-3</v>
      </c>
      <c r="I2665" s="523">
        <v>0</v>
      </c>
      <c r="J2665" s="523">
        <v>0</v>
      </c>
    </row>
    <row r="2666" spans="1:10" s="559" customFormat="1">
      <c r="A2666" s="521" t="s">
        <v>318</v>
      </c>
      <c r="B2666" s="522" t="s">
        <v>860</v>
      </c>
      <c r="C2666" s="423" t="s">
        <v>330</v>
      </c>
      <c r="D2666" s="521" t="s">
        <v>861</v>
      </c>
      <c r="E2666" s="522">
        <v>201608</v>
      </c>
      <c r="F2666" s="523">
        <v>7487.16</v>
      </c>
      <c r="G2666" s="521">
        <v>8.5</v>
      </c>
      <c r="H2666" s="524">
        <v>1.3083000000000001E-3</v>
      </c>
      <c r="I2666" s="523">
        <v>83.26</v>
      </c>
      <c r="J2666" s="523">
        <v>117.55</v>
      </c>
    </row>
    <row r="2667" spans="1:10" s="559" customFormat="1">
      <c r="A2667" s="521" t="s">
        <v>318</v>
      </c>
      <c r="B2667" s="522" t="s">
        <v>678</v>
      </c>
      <c r="C2667" s="423" t="s">
        <v>330</v>
      </c>
      <c r="D2667" s="521" t="s">
        <v>679</v>
      </c>
      <c r="E2667" s="522">
        <v>201608</v>
      </c>
      <c r="F2667" s="523">
        <v>2353.23</v>
      </c>
      <c r="G2667" s="521">
        <v>8.5</v>
      </c>
      <c r="H2667" s="524">
        <v>1.3083000000000001E-3</v>
      </c>
      <c r="I2667" s="523">
        <v>26.17</v>
      </c>
      <c r="J2667" s="523">
        <v>36.94</v>
      </c>
    </row>
    <row r="2668" spans="1:10" s="559" customFormat="1">
      <c r="A2668" s="521" t="s">
        <v>318</v>
      </c>
      <c r="B2668" s="522" t="s">
        <v>680</v>
      </c>
      <c r="C2668" s="423" t="s">
        <v>330</v>
      </c>
      <c r="D2668" s="521" t="s">
        <v>681</v>
      </c>
      <c r="E2668" s="522">
        <v>201608</v>
      </c>
      <c r="F2668" s="523">
        <v>-5792.34</v>
      </c>
      <c r="G2668" s="521">
        <v>8.5</v>
      </c>
      <c r="H2668" s="524">
        <v>1.3083000000000001E-3</v>
      </c>
      <c r="I2668" s="523">
        <v>-64.41</v>
      </c>
      <c r="J2668" s="523">
        <v>-90.94</v>
      </c>
    </row>
    <row r="2669" spans="1:10" s="559" customFormat="1">
      <c r="A2669" s="521" t="s">
        <v>318</v>
      </c>
      <c r="B2669" s="522" t="s">
        <v>682</v>
      </c>
      <c r="C2669" s="423" t="s">
        <v>330</v>
      </c>
      <c r="D2669" s="521" t="s">
        <v>683</v>
      </c>
      <c r="E2669" s="522">
        <v>201608</v>
      </c>
      <c r="F2669" s="523">
        <v>24555.18</v>
      </c>
      <c r="G2669" s="521">
        <v>8.5</v>
      </c>
      <c r="H2669" s="524">
        <v>1.3083000000000001E-3</v>
      </c>
      <c r="I2669" s="523">
        <v>273.07</v>
      </c>
      <c r="J2669" s="523">
        <v>385.51</v>
      </c>
    </row>
    <row r="2670" spans="1:10" s="559" customFormat="1">
      <c r="A2670" s="521" t="s">
        <v>318</v>
      </c>
      <c r="B2670" s="522" t="s">
        <v>623</v>
      </c>
      <c r="C2670" s="423" t="s">
        <v>331</v>
      </c>
      <c r="D2670" s="521" t="s">
        <v>624</v>
      </c>
      <c r="E2670" s="522">
        <v>201608</v>
      </c>
      <c r="F2670" s="523">
        <v>984.95</v>
      </c>
      <c r="G2670" s="521">
        <v>8.5</v>
      </c>
      <c r="H2670" s="524">
        <v>1.3083000000000001E-3</v>
      </c>
      <c r="I2670" s="523">
        <v>10.95</v>
      </c>
      <c r="J2670" s="523">
        <v>15.46</v>
      </c>
    </row>
    <row r="2671" spans="1:10" s="559" customFormat="1">
      <c r="A2671" s="521" t="s">
        <v>318</v>
      </c>
      <c r="B2671" s="522" t="s">
        <v>846</v>
      </c>
      <c r="C2671" s="423" t="s">
        <v>330</v>
      </c>
      <c r="D2671" s="521" t="s">
        <v>847</v>
      </c>
      <c r="E2671" s="522">
        <v>201608</v>
      </c>
      <c r="F2671" s="523">
        <v>-5305</v>
      </c>
      <c r="G2671" s="521">
        <v>8.5</v>
      </c>
      <c r="H2671" s="524">
        <v>1.3083000000000001E-3</v>
      </c>
      <c r="I2671" s="523">
        <v>-58.99</v>
      </c>
      <c r="J2671" s="523">
        <v>-83.29</v>
      </c>
    </row>
    <row r="2672" spans="1:10" s="559" customFormat="1">
      <c r="A2672" s="521" t="s">
        <v>318</v>
      </c>
      <c r="B2672" s="522" t="s">
        <v>684</v>
      </c>
      <c r="C2672" s="423" t="s">
        <v>330</v>
      </c>
      <c r="D2672" s="521" t="s">
        <v>685</v>
      </c>
      <c r="E2672" s="522">
        <v>201608</v>
      </c>
      <c r="F2672" s="523">
        <v>-5.13</v>
      </c>
      <c r="G2672" s="521">
        <v>8.5</v>
      </c>
      <c r="H2672" s="524">
        <v>1.3083000000000001E-3</v>
      </c>
      <c r="I2672" s="523">
        <v>-0.06</v>
      </c>
      <c r="J2672" s="523">
        <v>-0.08</v>
      </c>
    </row>
    <row r="2673" spans="1:10" s="559" customFormat="1">
      <c r="A2673" s="521" t="s">
        <v>318</v>
      </c>
      <c r="B2673" s="522" t="s">
        <v>710</v>
      </c>
      <c r="C2673" s="423" t="s">
        <v>439</v>
      </c>
      <c r="D2673" s="521" t="s">
        <v>711</v>
      </c>
      <c r="E2673" s="522">
        <v>201608</v>
      </c>
      <c r="F2673" s="523">
        <v>3.57</v>
      </c>
      <c r="G2673" s="521">
        <v>8.5</v>
      </c>
      <c r="H2673" s="524">
        <v>1.3083000000000001E-3</v>
      </c>
      <c r="I2673" s="523">
        <v>0.04</v>
      </c>
      <c r="J2673" s="523">
        <v>0.06</v>
      </c>
    </row>
    <row r="2674" spans="1:10" s="559" customFormat="1">
      <c r="A2674" s="521" t="s">
        <v>318</v>
      </c>
      <c r="B2674" s="522" t="s">
        <v>712</v>
      </c>
      <c r="C2674" s="423" t="s">
        <v>331</v>
      </c>
      <c r="D2674" s="521" t="s">
        <v>713</v>
      </c>
      <c r="E2674" s="522">
        <v>201608</v>
      </c>
      <c r="F2674" s="523">
        <v>-15.76</v>
      </c>
      <c r="G2674" s="521">
        <v>8.5</v>
      </c>
      <c r="H2674" s="524">
        <v>1.3083000000000001E-3</v>
      </c>
      <c r="I2674" s="523">
        <v>-0.18</v>
      </c>
      <c r="J2674" s="523">
        <v>-0.25</v>
      </c>
    </row>
    <row r="2675" spans="1:10" s="559" customFormat="1">
      <c r="A2675" s="521" t="s">
        <v>318</v>
      </c>
      <c r="B2675" s="522" t="s">
        <v>822</v>
      </c>
      <c r="C2675" s="423" t="s">
        <v>330</v>
      </c>
      <c r="D2675" s="521" t="s">
        <v>823</v>
      </c>
      <c r="E2675" s="522">
        <v>201608</v>
      </c>
      <c r="F2675" s="523">
        <v>3789.97</v>
      </c>
      <c r="G2675" s="521">
        <v>8.5</v>
      </c>
      <c r="H2675" s="524">
        <v>1.3083000000000001E-3</v>
      </c>
      <c r="I2675" s="523">
        <v>42.15</v>
      </c>
      <c r="J2675" s="523">
        <v>59.5</v>
      </c>
    </row>
    <row r="2676" spans="1:10" s="559" customFormat="1">
      <c r="A2676" s="521" t="s">
        <v>318</v>
      </c>
      <c r="B2676" s="522" t="s">
        <v>690</v>
      </c>
      <c r="C2676" s="423" t="s">
        <v>330</v>
      </c>
      <c r="D2676" s="521" t="s">
        <v>691</v>
      </c>
      <c r="E2676" s="522">
        <v>201608</v>
      </c>
      <c r="F2676" s="523">
        <v>3704.36</v>
      </c>
      <c r="G2676" s="521">
        <v>8.5</v>
      </c>
      <c r="H2676" s="524">
        <v>1.3083000000000001E-3</v>
      </c>
      <c r="I2676" s="523">
        <v>41.19</v>
      </c>
      <c r="J2676" s="523">
        <v>58.16</v>
      </c>
    </row>
    <row r="2677" spans="1:10" s="559" customFormat="1">
      <c r="A2677" s="521" t="s">
        <v>318</v>
      </c>
      <c r="B2677" s="522" t="s">
        <v>973</v>
      </c>
      <c r="C2677" s="423" t="s">
        <v>330</v>
      </c>
      <c r="D2677" s="521" t="s">
        <v>974</v>
      </c>
      <c r="E2677" s="522">
        <v>201608</v>
      </c>
      <c r="F2677" s="523">
        <v>122560.85</v>
      </c>
      <c r="G2677" s="521">
        <v>8.5</v>
      </c>
      <c r="H2677" s="524">
        <v>1.3083000000000001E-3</v>
      </c>
      <c r="I2677" s="523">
        <v>1362.94</v>
      </c>
      <c r="J2677" s="523">
        <v>1924.16</v>
      </c>
    </row>
    <row r="2678" spans="1:10" s="559" customFormat="1">
      <c r="A2678" s="521" t="s">
        <v>318</v>
      </c>
      <c r="B2678" s="522" t="s">
        <v>868</v>
      </c>
      <c r="C2678" s="423" t="s">
        <v>330</v>
      </c>
      <c r="D2678" s="521" t="s">
        <v>869</v>
      </c>
      <c r="E2678" s="522">
        <v>201608</v>
      </c>
      <c r="F2678" s="523">
        <v>12269.39</v>
      </c>
      <c r="G2678" s="521">
        <v>8.5</v>
      </c>
      <c r="H2678" s="524">
        <v>1.3083000000000001E-3</v>
      </c>
      <c r="I2678" s="523">
        <v>136.44</v>
      </c>
      <c r="J2678" s="523">
        <v>192.62</v>
      </c>
    </row>
    <row r="2679" spans="1:10" s="559" customFormat="1">
      <c r="A2679" s="521" t="s">
        <v>318</v>
      </c>
      <c r="B2679" s="522" t="s">
        <v>625</v>
      </c>
      <c r="C2679" s="423" t="s">
        <v>331</v>
      </c>
      <c r="D2679" s="521" t="s">
        <v>626</v>
      </c>
      <c r="E2679" s="522">
        <v>201608</v>
      </c>
      <c r="F2679" s="523">
        <v>0.39</v>
      </c>
      <c r="G2679" s="521">
        <v>8.5</v>
      </c>
      <c r="H2679" s="524">
        <v>1.3083000000000001E-3</v>
      </c>
      <c r="I2679" s="523">
        <v>0</v>
      </c>
      <c r="J2679" s="523">
        <v>0.01</v>
      </c>
    </row>
    <row r="2680" spans="1:10" s="559" customFormat="1">
      <c r="A2680" s="521" t="s">
        <v>318</v>
      </c>
      <c r="B2680" s="522" t="s">
        <v>692</v>
      </c>
      <c r="C2680" s="423" t="s">
        <v>330</v>
      </c>
      <c r="D2680" s="521" t="s">
        <v>693</v>
      </c>
      <c r="E2680" s="522">
        <v>201608</v>
      </c>
      <c r="F2680" s="523">
        <v>45.38</v>
      </c>
      <c r="G2680" s="521">
        <v>8.5</v>
      </c>
      <c r="H2680" s="524">
        <v>1.3083000000000001E-3</v>
      </c>
      <c r="I2680" s="523">
        <v>0.5</v>
      </c>
      <c r="J2680" s="523">
        <v>0.71</v>
      </c>
    </row>
    <row r="2681" spans="1:10" s="559" customFormat="1">
      <c r="A2681" s="521" t="s">
        <v>318</v>
      </c>
      <c r="B2681" s="522" t="s">
        <v>694</v>
      </c>
      <c r="C2681" s="423" t="s">
        <v>330</v>
      </c>
      <c r="D2681" s="521" t="s">
        <v>695</v>
      </c>
      <c r="E2681" s="522">
        <v>201608</v>
      </c>
      <c r="F2681" s="523">
        <v>1.84</v>
      </c>
      <c r="G2681" s="521">
        <v>8.5</v>
      </c>
      <c r="H2681" s="524">
        <v>1.3083000000000001E-3</v>
      </c>
      <c r="I2681" s="523">
        <v>0.02</v>
      </c>
      <c r="J2681" s="523">
        <v>0.03</v>
      </c>
    </row>
    <row r="2682" spans="1:10" s="559" customFormat="1">
      <c r="A2682" s="521" t="s">
        <v>318</v>
      </c>
      <c r="B2682" s="522" t="s">
        <v>696</v>
      </c>
      <c r="C2682" s="423" t="s">
        <v>330</v>
      </c>
      <c r="D2682" s="521" t="s">
        <v>697</v>
      </c>
      <c r="E2682" s="522">
        <v>201608</v>
      </c>
      <c r="F2682" s="523">
        <v>-0.13</v>
      </c>
      <c r="G2682" s="521">
        <v>8.5</v>
      </c>
      <c r="H2682" s="524">
        <v>1.3083000000000001E-3</v>
      </c>
      <c r="I2682" s="523">
        <v>0</v>
      </c>
      <c r="J2682" s="523">
        <v>0</v>
      </c>
    </row>
    <row r="2683" spans="1:10" s="559" customFormat="1">
      <c r="A2683" s="521" t="s">
        <v>318</v>
      </c>
      <c r="B2683" s="522" t="s">
        <v>698</v>
      </c>
      <c r="C2683" s="423" t="s">
        <v>330</v>
      </c>
      <c r="D2683" s="521" t="s">
        <v>699</v>
      </c>
      <c r="E2683" s="522">
        <v>201608</v>
      </c>
      <c r="F2683" s="523">
        <v>129.52000000000001</v>
      </c>
      <c r="G2683" s="521">
        <v>8.5</v>
      </c>
      <c r="H2683" s="524">
        <v>1.3083000000000001E-3</v>
      </c>
      <c r="I2683" s="523">
        <v>1.44</v>
      </c>
      <c r="J2683" s="523">
        <v>2.0299999999999998</v>
      </c>
    </row>
    <row r="2684" spans="1:10" s="559" customFormat="1">
      <c r="A2684" s="521" t="s">
        <v>318</v>
      </c>
      <c r="B2684" s="522" t="s">
        <v>700</v>
      </c>
      <c r="C2684" s="423" t="s">
        <v>330</v>
      </c>
      <c r="D2684" s="521" t="s">
        <v>701</v>
      </c>
      <c r="E2684" s="522">
        <v>201608</v>
      </c>
      <c r="F2684" s="523">
        <v>524.25</v>
      </c>
      <c r="G2684" s="521">
        <v>8.5</v>
      </c>
      <c r="H2684" s="524">
        <v>1.3083000000000001E-3</v>
      </c>
      <c r="I2684" s="523">
        <v>5.83</v>
      </c>
      <c r="J2684" s="523">
        <v>8.23</v>
      </c>
    </row>
    <row r="2685" spans="1:10" s="559" customFormat="1">
      <c r="A2685" s="521" t="s">
        <v>318</v>
      </c>
      <c r="B2685" s="522" t="s">
        <v>794</v>
      </c>
      <c r="C2685" s="423" t="s">
        <v>330</v>
      </c>
      <c r="D2685" s="521" t="s">
        <v>795</v>
      </c>
      <c r="E2685" s="522">
        <v>201608</v>
      </c>
      <c r="F2685" s="523">
        <v>669.18</v>
      </c>
      <c r="G2685" s="521">
        <v>8.5</v>
      </c>
      <c r="H2685" s="524">
        <v>1.3083000000000001E-3</v>
      </c>
      <c r="I2685" s="523">
        <v>7.44</v>
      </c>
      <c r="J2685" s="523">
        <v>10.51</v>
      </c>
    </row>
    <row r="2686" spans="1:10" s="559" customFormat="1">
      <c r="A2686" s="521" t="s">
        <v>318</v>
      </c>
      <c r="B2686" s="522" t="s">
        <v>975</v>
      </c>
      <c r="C2686" s="423" t="s">
        <v>330</v>
      </c>
      <c r="D2686" s="521" t="s">
        <v>976</v>
      </c>
      <c r="E2686" s="522">
        <v>201608</v>
      </c>
      <c r="F2686" s="523">
        <v>67543.070000000007</v>
      </c>
      <c r="G2686" s="521">
        <v>8.5</v>
      </c>
      <c r="H2686" s="524">
        <v>1.3083000000000001E-3</v>
      </c>
      <c r="I2686" s="523">
        <v>751.12</v>
      </c>
      <c r="J2686" s="523">
        <v>1060.4000000000001</v>
      </c>
    </row>
    <row r="2687" spans="1:10" s="559" customFormat="1">
      <c r="A2687" s="521" t="s">
        <v>318</v>
      </c>
      <c r="B2687" s="522" t="s">
        <v>852</v>
      </c>
      <c r="C2687" s="423" t="s">
        <v>330</v>
      </c>
      <c r="D2687" s="521" t="s">
        <v>853</v>
      </c>
      <c r="E2687" s="522">
        <v>201608</v>
      </c>
      <c r="F2687" s="523">
        <v>6443.33</v>
      </c>
      <c r="G2687" s="521">
        <v>8.5</v>
      </c>
      <c r="H2687" s="524">
        <v>1.3083000000000001E-3</v>
      </c>
      <c r="I2687" s="523">
        <v>71.650000000000006</v>
      </c>
      <c r="J2687" s="523">
        <v>101.16</v>
      </c>
    </row>
    <row r="2688" spans="1:10" s="559" customFormat="1">
      <c r="A2688" s="521" t="s">
        <v>318</v>
      </c>
      <c r="B2688" s="522" t="s">
        <v>870</v>
      </c>
      <c r="C2688" s="423" t="s">
        <v>330</v>
      </c>
      <c r="D2688" s="521" t="s">
        <v>871</v>
      </c>
      <c r="E2688" s="522">
        <v>201608</v>
      </c>
      <c r="F2688" s="523">
        <v>23.55</v>
      </c>
      <c r="G2688" s="521">
        <v>8.5</v>
      </c>
      <c r="H2688" s="524">
        <v>1.3083000000000001E-3</v>
      </c>
      <c r="I2688" s="523">
        <v>0.26</v>
      </c>
      <c r="J2688" s="523">
        <v>0.37</v>
      </c>
    </row>
    <row r="2689" spans="1:10" s="559" customFormat="1">
      <c r="A2689" s="521" t="s">
        <v>318</v>
      </c>
      <c r="B2689" s="522" t="s">
        <v>872</v>
      </c>
      <c r="C2689" s="423" t="s">
        <v>330</v>
      </c>
      <c r="D2689" s="521" t="s">
        <v>873</v>
      </c>
      <c r="E2689" s="522">
        <v>201608</v>
      </c>
      <c r="F2689" s="523">
        <v>-1358.43</v>
      </c>
      <c r="G2689" s="521">
        <v>8.5</v>
      </c>
      <c r="H2689" s="524">
        <v>1.3083000000000001E-3</v>
      </c>
      <c r="I2689" s="523">
        <v>-15.11</v>
      </c>
      <c r="J2689" s="523">
        <v>-21.33</v>
      </c>
    </row>
    <row r="2690" spans="1:10" s="559" customFormat="1">
      <c r="A2690" s="521" t="s">
        <v>318</v>
      </c>
      <c r="B2690" s="522" t="s">
        <v>977</v>
      </c>
      <c r="C2690" s="423" t="s">
        <v>330</v>
      </c>
      <c r="D2690" s="521" t="s">
        <v>978</v>
      </c>
      <c r="E2690" s="522">
        <v>201608</v>
      </c>
      <c r="F2690" s="523">
        <v>55676.41</v>
      </c>
      <c r="G2690" s="521">
        <v>8.5</v>
      </c>
      <c r="H2690" s="524">
        <v>1.3083000000000001E-3</v>
      </c>
      <c r="I2690" s="523">
        <v>619.15</v>
      </c>
      <c r="J2690" s="523">
        <v>874.1</v>
      </c>
    </row>
    <row r="2691" spans="1:10" s="559" customFormat="1">
      <c r="A2691" s="521" t="s">
        <v>318</v>
      </c>
      <c r="B2691" s="522" t="s">
        <v>826</v>
      </c>
      <c r="C2691" s="423" t="s">
        <v>330</v>
      </c>
      <c r="D2691" s="521" t="s">
        <v>827</v>
      </c>
      <c r="E2691" s="522">
        <v>201608</v>
      </c>
      <c r="F2691" s="523">
        <v>8679.31</v>
      </c>
      <c r="G2691" s="521">
        <v>8.5</v>
      </c>
      <c r="H2691" s="524">
        <v>1.3083000000000001E-3</v>
      </c>
      <c r="I2691" s="523">
        <v>96.52</v>
      </c>
      <c r="J2691" s="523">
        <v>136.26</v>
      </c>
    </row>
    <row r="2692" spans="1:10" s="559" customFormat="1">
      <c r="A2692" s="521" t="s">
        <v>318</v>
      </c>
      <c r="B2692" s="522" t="s">
        <v>979</v>
      </c>
      <c r="C2692" s="423" t="s">
        <v>330</v>
      </c>
      <c r="D2692" s="521" t="s">
        <v>980</v>
      </c>
      <c r="E2692" s="522">
        <v>201608</v>
      </c>
      <c r="F2692" s="523">
        <v>49832.52</v>
      </c>
      <c r="G2692" s="521">
        <v>8.5</v>
      </c>
      <c r="H2692" s="524">
        <v>1.3083000000000001E-3</v>
      </c>
      <c r="I2692" s="523">
        <v>554.16999999999996</v>
      </c>
      <c r="J2692" s="523">
        <v>782.35</v>
      </c>
    </row>
    <row r="2693" spans="1:10" s="559" customFormat="1">
      <c r="A2693" s="521" t="s">
        <v>318</v>
      </c>
      <c r="B2693" s="522" t="s">
        <v>981</v>
      </c>
      <c r="C2693" s="423" t="s">
        <v>330</v>
      </c>
      <c r="D2693" s="521" t="s">
        <v>982</v>
      </c>
      <c r="E2693" s="522">
        <v>201608</v>
      </c>
      <c r="F2693" s="523">
        <v>42513.7</v>
      </c>
      <c r="G2693" s="521">
        <v>8.5</v>
      </c>
      <c r="H2693" s="524">
        <v>1.3083000000000001E-3</v>
      </c>
      <c r="I2693" s="523">
        <v>472.78</v>
      </c>
      <c r="J2693" s="523">
        <v>667.45</v>
      </c>
    </row>
    <row r="2694" spans="1:10" s="559" customFormat="1">
      <c r="A2694" s="521" t="s">
        <v>318</v>
      </c>
      <c r="B2694" s="522" t="s">
        <v>874</v>
      </c>
      <c r="C2694" s="423" t="s">
        <v>330</v>
      </c>
      <c r="D2694" s="521" t="s">
        <v>875</v>
      </c>
      <c r="E2694" s="522">
        <v>201608</v>
      </c>
      <c r="F2694" s="523">
        <v>4567.72</v>
      </c>
      <c r="G2694" s="521">
        <v>8.5</v>
      </c>
      <c r="H2694" s="524">
        <v>1.3083000000000001E-3</v>
      </c>
      <c r="I2694" s="523">
        <v>50.8</v>
      </c>
      <c r="J2694" s="523">
        <v>71.709999999999994</v>
      </c>
    </row>
    <row r="2695" spans="1:10" s="559" customFormat="1">
      <c r="A2695" s="521" t="s">
        <v>318</v>
      </c>
      <c r="B2695" s="522" t="s">
        <v>983</v>
      </c>
      <c r="C2695" s="423" t="s">
        <v>330</v>
      </c>
      <c r="D2695" s="521" t="s">
        <v>984</v>
      </c>
      <c r="E2695" s="522">
        <v>201608</v>
      </c>
      <c r="F2695" s="523">
        <v>96719.56</v>
      </c>
      <c r="G2695" s="521">
        <v>8.5</v>
      </c>
      <c r="H2695" s="524">
        <v>1.3083000000000001E-3</v>
      </c>
      <c r="I2695" s="523">
        <v>1075.57</v>
      </c>
      <c r="J2695" s="523">
        <v>1518.46</v>
      </c>
    </row>
    <row r="2696" spans="1:10" s="559" customFormat="1">
      <c r="A2696" s="521" t="s">
        <v>318</v>
      </c>
      <c r="B2696" s="522" t="s">
        <v>876</v>
      </c>
      <c r="C2696" s="423" t="s">
        <v>330</v>
      </c>
      <c r="D2696" s="521" t="s">
        <v>877</v>
      </c>
      <c r="E2696" s="522">
        <v>201608</v>
      </c>
      <c r="F2696" s="523">
        <v>5002.7299999999996</v>
      </c>
      <c r="G2696" s="521">
        <v>8.5</v>
      </c>
      <c r="H2696" s="524">
        <v>1.3083000000000001E-3</v>
      </c>
      <c r="I2696" s="523">
        <v>55.63</v>
      </c>
      <c r="J2696" s="523">
        <v>78.540000000000006</v>
      </c>
    </row>
    <row r="2697" spans="1:10" s="559" customFormat="1">
      <c r="A2697" s="521" t="s">
        <v>318</v>
      </c>
      <c r="B2697" s="522" t="s">
        <v>985</v>
      </c>
      <c r="C2697" s="423" t="s">
        <v>330</v>
      </c>
      <c r="D2697" s="521" t="s">
        <v>986</v>
      </c>
      <c r="E2697" s="522">
        <v>201608</v>
      </c>
      <c r="F2697" s="523">
        <v>31880.34</v>
      </c>
      <c r="G2697" s="521">
        <v>8.5</v>
      </c>
      <c r="H2697" s="524">
        <v>1.3083000000000001E-3</v>
      </c>
      <c r="I2697" s="523">
        <v>354.53</v>
      </c>
      <c r="J2697" s="523">
        <v>500.51</v>
      </c>
    </row>
    <row r="2698" spans="1:10" s="559" customFormat="1">
      <c r="A2698" s="521" t="s">
        <v>318</v>
      </c>
      <c r="B2698" s="522" t="s">
        <v>878</v>
      </c>
      <c r="C2698" s="423" t="s">
        <v>330</v>
      </c>
      <c r="D2698" s="521" t="s">
        <v>879</v>
      </c>
      <c r="E2698" s="522">
        <v>201608</v>
      </c>
      <c r="F2698" s="523">
        <v>2747.69</v>
      </c>
      <c r="G2698" s="521">
        <v>8.5</v>
      </c>
      <c r="H2698" s="524">
        <v>1.3083000000000001E-3</v>
      </c>
      <c r="I2698" s="523">
        <v>30.56</v>
      </c>
      <c r="J2698" s="523">
        <v>43.14</v>
      </c>
    </row>
    <row r="2699" spans="1:10" s="559" customFormat="1">
      <c r="A2699" s="521" t="s">
        <v>318</v>
      </c>
      <c r="B2699" s="522" t="s">
        <v>987</v>
      </c>
      <c r="C2699" s="423" t="s">
        <v>330</v>
      </c>
      <c r="D2699" s="521" t="s">
        <v>988</v>
      </c>
      <c r="E2699" s="522">
        <v>201608</v>
      </c>
      <c r="F2699" s="523">
        <v>54994.65</v>
      </c>
      <c r="G2699" s="521">
        <v>8.5</v>
      </c>
      <c r="H2699" s="524">
        <v>1.3083000000000001E-3</v>
      </c>
      <c r="I2699" s="523">
        <v>611.57000000000005</v>
      </c>
      <c r="J2699" s="523">
        <v>863.39</v>
      </c>
    </row>
    <row r="2700" spans="1:10" s="559" customFormat="1">
      <c r="A2700" s="521" t="s">
        <v>318</v>
      </c>
      <c r="B2700" s="522" t="s">
        <v>989</v>
      </c>
      <c r="C2700" s="423" t="s">
        <v>330</v>
      </c>
      <c r="D2700" s="521" t="s">
        <v>990</v>
      </c>
      <c r="E2700" s="522">
        <v>201608</v>
      </c>
      <c r="F2700" s="523">
        <v>77258.58</v>
      </c>
      <c r="G2700" s="521">
        <v>8.5</v>
      </c>
      <c r="H2700" s="524">
        <v>1.3083000000000001E-3</v>
      </c>
      <c r="I2700" s="523">
        <v>859.16</v>
      </c>
      <c r="J2700" s="523">
        <v>1212.93</v>
      </c>
    </row>
    <row r="2701" spans="1:10" s="559" customFormat="1">
      <c r="A2701" s="521" t="s">
        <v>318</v>
      </c>
      <c r="B2701" s="522" t="s">
        <v>991</v>
      </c>
      <c r="C2701" s="423" t="s">
        <v>330</v>
      </c>
      <c r="D2701" s="521" t="s">
        <v>992</v>
      </c>
      <c r="E2701" s="522">
        <v>201608</v>
      </c>
      <c r="F2701" s="523">
        <v>16594.849999999999</v>
      </c>
      <c r="G2701" s="521">
        <v>8.5</v>
      </c>
      <c r="H2701" s="524">
        <v>1.3083000000000001E-3</v>
      </c>
      <c r="I2701" s="523">
        <v>184.54</v>
      </c>
      <c r="J2701" s="523">
        <v>260.52999999999997</v>
      </c>
    </row>
    <row r="2702" spans="1:10" s="559" customFormat="1">
      <c r="A2702" s="521" t="s">
        <v>318</v>
      </c>
      <c r="B2702" s="522" t="s">
        <v>993</v>
      </c>
      <c r="C2702" s="423" t="s">
        <v>330</v>
      </c>
      <c r="D2702" s="521" t="s">
        <v>994</v>
      </c>
      <c r="E2702" s="522">
        <v>201608</v>
      </c>
      <c r="F2702" s="523">
        <v>42997</v>
      </c>
      <c r="G2702" s="521">
        <v>8.5</v>
      </c>
      <c r="H2702" s="524">
        <v>1.3083000000000001E-3</v>
      </c>
      <c r="I2702" s="523">
        <v>478.15</v>
      </c>
      <c r="J2702" s="523">
        <v>675.04</v>
      </c>
    </row>
    <row r="2703" spans="1:10" s="559" customFormat="1">
      <c r="A2703" s="521" t="s">
        <v>318</v>
      </c>
      <c r="B2703" s="522" t="s">
        <v>891</v>
      </c>
      <c r="C2703" s="423" t="s">
        <v>331</v>
      </c>
      <c r="D2703" s="521" t="s">
        <v>892</v>
      </c>
      <c r="E2703" s="522">
        <v>201608</v>
      </c>
      <c r="F2703" s="523">
        <v>-128.78</v>
      </c>
      <c r="G2703" s="521">
        <v>8.5</v>
      </c>
      <c r="H2703" s="524">
        <v>1.3083000000000001E-3</v>
      </c>
      <c r="I2703" s="523">
        <v>-1.43</v>
      </c>
      <c r="J2703" s="523">
        <v>-2.02</v>
      </c>
    </row>
    <row r="2704" spans="1:10" s="559" customFormat="1">
      <c r="A2704" s="521" t="s">
        <v>318</v>
      </c>
      <c r="B2704" s="522" t="s">
        <v>882</v>
      </c>
      <c r="C2704" s="423" t="s">
        <v>330</v>
      </c>
      <c r="D2704" s="521" t="s">
        <v>995</v>
      </c>
      <c r="E2704" s="522">
        <v>201608</v>
      </c>
      <c r="F2704" s="523">
        <v>971.16</v>
      </c>
      <c r="G2704" s="521">
        <v>8.5</v>
      </c>
      <c r="H2704" s="524">
        <v>1.3083000000000001E-3</v>
      </c>
      <c r="I2704" s="523">
        <v>10.8</v>
      </c>
      <c r="J2704" s="523">
        <v>15.25</v>
      </c>
    </row>
    <row r="2705" spans="1:10" s="559" customFormat="1">
      <c r="A2705" s="521" t="s">
        <v>318</v>
      </c>
      <c r="B2705" s="522" t="s">
        <v>996</v>
      </c>
      <c r="C2705" s="423" t="s">
        <v>330</v>
      </c>
      <c r="D2705" s="521" t="s">
        <v>997</v>
      </c>
      <c r="E2705" s="522">
        <v>201608</v>
      </c>
      <c r="F2705" s="523">
        <v>220966.18</v>
      </c>
      <c r="G2705" s="521">
        <v>8.5</v>
      </c>
      <c r="H2705" s="524">
        <v>1.3083000000000001E-3</v>
      </c>
      <c r="I2705" s="523">
        <v>2457.27</v>
      </c>
      <c r="J2705" s="523">
        <v>3469.08</v>
      </c>
    </row>
    <row r="2706" spans="1:10" s="559" customFormat="1">
      <c r="A2706" s="521" t="s">
        <v>318</v>
      </c>
      <c r="B2706" s="522" t="s">
        <v>854</v>
      </c>
      <c r="C2706" s="423" t="s">
        <v>330</v>
      </c>
      <c r="D2706" s="521" t="s">
        <v>855</v>
      </c>
      <c r="E2706" s="522">
        <v>201608</v>
      </c>
      <c r="F2706" s="523">
        <v>3094.64</v>
      </c>
      <c r="G2706" s="521">
        <v>8.5</v>
      </c>
      <c r="H2706" s="524">
        <v>1.3083000000000001E-3</v>
      </c>
      <c r="I2706" s="523">
        <v>34.409999999999997</v>
      </c>
      <c r="J2706" s="523">
        <v>48.58</v>
      </c>
    </row>
    <row r="2707" spans="1:10" s="559" customFormat="1">
      <c r="A2707" s="521" t="s">
        <v>318</v>
      </c>
      <c r="B2707" s="522" t="s">
        <v>1000</v>
      </c>
      <c r="C2707" s="423" t="s">
        <v>343</v>
      </c>
      <c r="D2707" s="521" t="s">
        <v>1001</v>
      </c>
      <c r="E2707" s="522">
        <v>201608</v>
      </c>
      <c r="F2707" s="523">
        <v>4407.43</v>
      </c>
      <c r="G2707" s="521">
        <v>8.5</v>
      </c>
      <c r="H2707" s="524">
        <v>1.3083000000000001E-3</v>
      </c>
      <c r="I2707" s="523">
        <v>49.01</v>
      </c>
      <c r="J2707" s="523">
        <v>69.19</v>
      </c>
    </row>
    <row r="2708" spans="1:10" s="559" customFormat="1">
      <c r="A2708" s="521" t="s">
        <v>318</v>
      </c>
      <c r="B2708" s="522" t="s">
        <v>887</v>
      </c>
      <c r="C2708" s="423" t="s">
        <v>330</v>
      </c>
      <c r="D2708" s="521" t="s">
        <v>888</v>
      </c>
      <c r="E2708" s="522">
        <v>201608</v>
      </c>
      <c r="F2708" s="523">
        <v>193.2</v>
      </c>
      <c r="G2708" s="521">
        <v>8.5</v>
      </c>
      <c r="H2708" s="524">
        <v>1.3083000000000001E-3</v>
      </c>
      <c r="I2708" s="523">
        <v>2.15</v>
      </c>
      <c r="J2708" s="523">
        <v>3.03</v>
      </c>
    </row>
    <row r="2709" spans="1:10" s="559" customFormat="1">
      <c r="A2709" s="521" t="s">
        <v>318</v>
      </c>
      <c r="B2709" s="522" t="s">
        <v>1004</v>
      </c>
      <c r="C2709" s="423" t="s">
        <v>330</v>
      </c>
      <c r="D2709" s="521" t="s">
        <v>1005</v>
      </c>
      <c r="E2709" s="522">
        <v>201608</v>
      </c>
      <c r="F2709" s="523">
        <v>481.44</v>
      </c>
      <c r="G2709" s="521">
        <v>8.5</v>
      </c>
      <c r="H2709" s="524">
        <v>1.3083000000000001E-3</v>
      </c>
      <c r="I2709" s="523">
        <v>5.35</v>
      </c>
      <c r="J2709" s="523">
        <v>7.56</v>
      </c>
    </row>
    <row r="2710" spans="1:10" s="559" customFormat="1">
      <c r="A2710" s="521" t="s">
        <v>318</v>
      </c>
      <c r="B2710" s="522" t="s">
        <v>895</v>
      </c>
      <c r="C2710" s="423" t="s">
        <v>343</v>
      </c>
      <c r="D2710" s="521" t="s">
        <v>896</v>
      </c>
      <c r="E2710" s="522">
        <v>201608</v>
      </c>
      <c r="F2710" s="523">
        <v>67.569999999999993</v>
      </c>
      <c r="G2710" s="521">
        <v>8.5</v>
      </c>
      <c r="H2710" s="524">
        <v>1.3083000000000001E-3</v>
      </c>
      <c r="I2710" s="523">
        <v>0.75</v>
      </c>
      <c r="J2710" s="523">
        <v>1.06</v>
      </c>
    </row>
    <row r="2711" spans="1:10" s="559" customFormat="1">
      <c r="A2711" s="521" t="s">
        <v>318</v>
      </c>
      <c r="B2711" s="522" t="s">
        <v>627</v>
      </c>
      <c r="C2711" s="423" t="s">
        <v>330</v>
      </c>
      <c r="D2711" s="521" t="s">
        <v>628</v>
      </c>
      <c r="E2711" s="522">
        <v>201609</v>
      </c>
      <c r="F2711" s="523">
        <v>374.14</v>
      </c>
      <c r="G2711" s="521">
        <v>7.5</v>
      </c>
      <c r="H2711" s="524">
        <v>1.3083000000000001E-3</v>
      </c>
      <c r="I2711" s="523">
        <v>3.67</v>
      </c>
      <c r="J2711" s="523">
        <v>5.87</v>
      </c>
    </row>
    <row r="2712" spans="1:10" s="559" customFormat="1">
      <c r="A2712" s="521" t="s">
        <v>318</v>
      </c>
      <c r="B2712" s="522" t="s">
        <v>706</v>
      </c>
      <c r="C2712" s="423" t="s">
        <v>343</v>
      </c>
      <c r="D2712" s="521" t="s">
        <v>707</v>
      </c>
      <c r="E2712" s="522">
        <v>201609</v>
      </c>
      <c r="F2712" s="523">
        <v>-6.55</v>
      </c>
      <c r="G2712" s="521">
        <v>7.5</v>
      </c>
      <c r="H2712" s="524">
        <v>1.3083000000000001E-3</v>
      </c>
      <c r="I2712" s="523">
        <v>-0.06</v>
      </c>
      <c r="J2712" s="523">
        <v>-0.1</v>
      </c>
    </row>
    <row r="2713" spans="1:10" s="559" customFormat="1">
      <c r="A2713" s="521" t="s">
        <v>318</v>
      </c>
      <c r="B2713" s="522" t="s">
        <v>546</v>
      </c>
      <c r="C2713" s="423" t="s">
        <v>330</v>
      </c>
      <c r="D2713" s="521" t="s">
        <v>547</v>
      </c>
      <c r="E2713" s="522">
        <v>201609</v>
      </c>
      <c r="F2713" s="523">
        <v>-0.01</v>
      </c>
      <c r="G2713" s="521">
        <v>7.5</v>
      </c>
      <c r="H2713" s="524">
        <v>1.3083000000000001E-3</v>
      </c>
      <c r="I2713" s="523">
        <v>0</v>
      </c>
      <c r="J2713" s="523">
        <v>0</v>
      </c>
    </row>
    <row r="2714" spans="1:10" s="559" customFormat="1">
      <c r="A2714" s="521" t="s">
        <v>318</v>
      </c>
      <c r="B2714" s="522" t="s">
        <v>589</v>
      </c>
      <c r="C2714" s="423" t="s">
        <v>330</v>
      </c>
      <c r="D2714" s="521" t="s">
        <v>590</v>
      </c>
      <c r="E2714" s="522">
        <v>201609</v>
      </c>
      <c r="F2714" s="523">
        <v>10.75</v>
      </c>
      <c r="G2714" s="521">
        <v>7.5</v>
      </c>
      <c r="H2714" s="524">
        <v>1.3083000000000001E-3</v>
      </c>
      <c r="I2714" s="523">
        <v>0.11</v>
      </c>
      <c r="J2714" s="523">
        <v>0.17</v>
      </c>
    </row>
    <row r="2715" spans="1:10" s="559" customFormat="1">
      <c r="A2715" s="521" t="s">
        <v>318</v>
      </c>
      <c r="B2715" s="522" t="s">
        <v>941</v>
      </c>
      <c r="C2715" s="423" t="s">
        <v>330</v>
      </c>
      <c r="D2715" s="521" t="s">
        <v>942</v>
      </c>
      <c r="E2715" s="522">
        <v>201609</v>
      </c>
      <c r="F2715" s="523">
        <v>5722.23</v>
      </c>
      <c r="G2715" s="521">
        <v>7.5</v>
      </c>
      <c r="H2715" s="524">
        <v>1.3083000000000001E-3</v>
      </c>
      <c r="I2715" s="523">
        <v>56.15</v>
      </c>
      <c r="J2715" s="523">
        <v>89.84</v>
      </c>
    </row>
    <row r="2716" spans="1:10" s="559" customFormat="1">
      <c r="A2716" s="521" t="s">
        <v>318</v>
      </c>
      <c r="B2716" s="522" t="s">
        <v>643</v>
      </c>
      <c r="C2716" s="423" t="s">
        <v>330</v>
      </c>
      <c r="D2716" s="521" t="s">
        <v>644</v>
      </c>
      <c r="E2716" s="522">
        <v>201609</v>
      </c>
      <c r="F2716" s="523">
        <v>221.97</v>
      </c>
      <c r="G2716" s="521">
        <v>7.5</v>
      </c>
      <c r="H2716" s="524">
        <v>1.3083000000000001E-3</v>
      </c>
      <c r="I2716" s="523">
        <v>2.1800000000000002</v>
      </c>
      <c r="J2716" s="523">
        <v>3.48</v>
      </c>
    </row>
    <row r="2717" spans="1:10" s="559" customFormat="1">
      <c r="A2717" s="521" t="s">
        <v>318</v>
      </c>
      <c r="B2717" s="522" t="s">
        <v>553</v>
      </c>
      <c r="C2717" s="423" t="s">
        <v>330</v>
      </c>
      <c r="D2717" s="521" t="s">
        <v>552</v>
      </c>
      <c r="E2717" s="522">
        <v>201609</v>
      </c>
      <c r="F2717" s="523">
        <v>-24.62</v>
      </c>
      <c r="G2717" s="521">
        <v>7.5</v>
      </c>
      <c r="H2717" s="524">
        <v>1.3083000000000001E-3</v>
      </c>
      <c r="I2717" s="523">
        <v>-0.24</v>
      </c>
      <c r="J2717" s="523">
        <v>-0.39</v>
      </c>
    </row>
    <row r="2718" spans="1:10" s="559" customFormat="1">
      <c r="A2718" s="521" t="s">
        <v>318</v>
      </c>
      <c r="B2718" s="522" t="s">
        <v>856</v>
      </c>
      <c r="C2718" s="423" t="s">
        <v>330</v>
      </c>
      <c r="D2718" s="521" t="s">
        <v>857</v>
      </c>
      <c r="E2718" s="522">
        <v>201609</v>
      </c>
      <c r="F2718" s="523">
        <v>769.64</v>
      </c>
      <c r="G2718" s="521">
        <v>7.5</v>
      </c>
      <c r="H2718" s="524">
        <v>1.3083000000000001E-3</v>
      </c>
      <c r="I2718" s="523">
        <v>7.55</v>
      </c>
      <c r="J2718" s="523">
        <v>12.08</v>
      </c>
    </row>
    <row r="2719" spans="1:10" s="559" customFormat="1">
      <c r="A2719" s="521" t="s">
        <v>318</v>
      </c>
      <c r="B2719" s="522" t="s">
        <v>708</v>
      </c>
      <c r="C2719" s="423" t="s">
        <v>331</v>
      </c>
      <c r="D2719" s="521" t="s">
        <v>709</v>
      </c>
      <c r="E2719" s="522">
        <v>201609</v>
      </c>
      <c r="F2719" s="523">
        <v>291.55</v>
      </c>
      <c r="G2719" s="521">
        <v>7.5</v>
      </c>
      <c r="H2719" s="524">
        <v>1.3083000000000001E-3</v>
      </c>
      <c r="I2719" s="523">
        <v>2.86</v>
      </c>
      <c r="J2719" s="523">
        <v>4.58</v>
      </c>
    </row>
    <row r="2720" spans="1:10" s="559" customFormat="1">
      <c r="A2720" s="521" t="s">
        <v>318</v>
      </c>
      <c r="B2720" s="522" t="s">
        <v>451</v>
      </c>
      <c r="C2720" s="423" t="s">
        <v>330</v>
      </c>
      <c r="D2720" s="521" t="s">
        <v>452</v>
      </c>
      <c r="E2720" s="522">
        <v>201609</v>
      </c>
      <c r="F2720" s="523">
        <v>0.03</v>
      </c>
      <c r="G2720" s="521">
        <v>7.5</v>
      </c>
      <c r="H2720" s="524">
        <v>1.3083000000000001E-3</v>
      </c>
      <c r="I2720" s="523">
        <v>0</v>
      </c>
      <c r="J2720" s="523">
        <v>0</v>
      </c>
    </row>
    <row r="2721" spans="1:10" s="559" customFormat="1">
      <c r="A2721" s="521" t="s">
        <v>318</v>
      </c>
      <c r="B2721" s="522" t="s">
        <v>645</v>
      </c>
      <c r="C2721" s="423" t="s">
        <v>330</v>
      </c>
      <c r="D2721" s="521" t="s">
        <v>646</v>
      </c>
      <c r="E2721" s="522">
        <v>201609</v>
      </c>
      <c r="F2721" s="523">
        <v>-0.03</v>
      </c>
      <c r="G2721" s="521">
        <v>7.5</v>
      </c>
      <c r="H2721" s="524">
        <v>1.3083000000000001E-3</v>
      </c>
      <c r="I2721" s="523">
        <v>0</v>
      </c>
      <c r="J2721" s="523">
        <v>0</v>
      </c>
    </row>
    <row r="2722" spans="1:10" s="559" customFormat="1">
      <c r="A2722" s="521" t="s">
        <v>318</v>
      </c>
      <c r="B2722" s="522" t="s">
        <v>647</v>
      </c>
      <c r="C2722" s="423" t="s">
        <v>330</v>
      </c>
      <c r="D2722" s="521" t="s">
        <v>648</v>
      </c>
      <c r="E2722" s="522">
        <v>201609</v>
      </c>
      <c r="F2722" s="523">
        <v>33.200000000000003</v>
      </c>
      <c r="G2722" s="521">
        <v>7.5</v>
      </c>
      <c r="H2722" s="524">
        <v>1.3083000000000001E-3</v>
      </c>
      <c r="I2722" s="523">
        <v>0.33</v>
      </c>
      <c r="J2722" s="523">
        <v>0.52</v>
      </c>
    </row>
    <row r="2723" spans="1:10" s="559" customFormat="1">
      <c r="A2723" s="521" t="s">
        <v>318</v>
      </c>
      <c r="B2723" s="522" t="s">
        <v>784</v>
      </c>
      <c r="C2723" s="423" t="s">
        <v>330</v>
      </c>
      <c r="D2723" s="521" t="s">
        <v>785</v>
      </c>
      <c r="E2723" s="522">
        <v>201609</v>
      </c>
      <c r="F2723" s="523">
        <v>310672.55</v>
      </c>
      <c r="G2723" s="521">
        <v>7.5</v>
      </c>
      <c r="H2723" s="524">
        <v>1.3083000000000001E-3</v>
      </c>
      <c r="I2723" s="523">
        <v>3048.4</v>
      </c>
      <c r="J2723" s="523">
        <v>4877.43</v>
      </c>
    </row>
    <row r="2724" spans="1:10" s="559" customFormat="1">
      <c r="A2724" s="521" t="s">
        <v>318</v>
      </c>
      <c r="B2724" s="522" t="s">
        <v>629</v>
      </c>
      <c r="C2724" s="423" t="s">
        <v>330</v>
      </c>
      <c r="D2724" s="521" t="s">
        <v>630</v>
      </c>
      <c r="E2724" s="522">
        <v>201609</v>
      </c>
      <c r="F2724" s="523">
        <v>1.86</v>
      </c>
      <c r="G2724" s="521">
        <v>7.5</v>
      </c>
      <c r="H2724" s="524">
        <v>1.3083000000000001E-3</v>
      </c>
      <c r="I2724" s="523">
        <v>0.02</v>
      </c>
      <c r="J2724" s="523">
        <v>0.03</v>
      </c>
    </row>
    <row r="2725" spans="1:10" s="559" customFormat="1">
      <c r="A2725" s="521" t="s">
        <v>318</v>
      </c>
      <c r="B2725" s="522" t="s">
        <v>717</v>
      </c>
      <c r="C2725" s="423" t="s">
        <v>331</v>
      </c>
      <c r="D2725" s="521" t="s">
        <v>718</v>
      </c>
      <c r="E2725" s="522">
        <v>201609</v>
      </c>
      <c r="F2725" s="523">
        <v>82.9</v>
      </c>
      <c r="G2725" s="521">
        <v>7.5</v>
      </c>
      <c r="H2725" s="524">
        <v>1.3083000000000001E-3</v>
      </c>
      <c r="I2725" s="523">
        <v>0.81</v>
      </c>
      <c r="J2725" s="523">
        <v>1.3</v>
      </c>
    </row>
    <row r="2726" spans="1:10" s="559" customFormat="1">
      <c r="A2726" s="521" t="s">
        <v>318</v>
      </c>
      <c r="B2726" s="522" t="s">
        <v>631</v>
      </c>
      <c r="C2726" s="423" t="s">
        <v>330</v>
      </c>
      <c r="D2726" s="521" t="s">
        <v>632</v>
      </c>
      <c r="E2726" s="522">
        <v>201609</v>
      </c>
      <c r="F2726" s="523">
        <v>418206.79</v>
      </c>
      <c r="G2726" s="521">
        <v>7.5</v>
      </c>
      <c r="H2726" s="524">
        <v>1.3083000000000001E-3</v>
      </c>
      <c r="I2726" s="523">
        <v>4103.55</v>
      </c>
      <c r="J2726" s="523">
        <v>6565.68</v>
      </c>
    </row>
    <row r="2727" spans="1:10" s="559" customFormat="1">
      <c r="A2727" s="521" t="s">
        <v>318</v>
      </c>
      <c r="B2727" s="522" t="s">
        <v>649</v>
      </c>
      <c r="C2727" s="423" t="s">
        <v>330</v>
      </c>
      <c r="D2727" s="521" t="s">
        <v>650</v>
      </c>
      <c r="E2727" s="522">
        <v>201609</v>
      </c>
      <c r="F2727" s="523">
        <v>3935.11</v>
      </c>
      <c r="G2727" s="521">
        <v>7.5</v>
      </c>
      <c r="H2727" s="524">
        <v>1.3083000000000001E-3</v>
      </c>
      <c r="I2727" s="523">
        <v>38.61</v>
      </c>
      <c r="J2727" s="523">
        <v>61.78</v>
      </c>
    </row>
    <row r="2728" spans="1:10" s="559" customFormat="1">
      <c r="A2728" s="521" t="s">
        <v>318</v>
      </c>
      <c r="B2728" s="522" t="s">
        <v>651</v>
      </c>
      <c r="C2728" s="423" t="s">
        <v>330</v>
      </c>
      <c r="D2728" s="521" t="s">
        <v>652</v>
      </c>
      <c r="E2728" s="522">
        <v>201609</v>
      </c>
      <c r="F2728" s="523">
        <v>1135.55</v>
      </c>
      <c r="G2728" s="521">
        <v>7.5</v>
      </c>
      <c r="H2728" s="524">
        <v>1.3083000000000001E-3</v>
      </c>
      <c r="I2728" s="523">
        <v>11.14</v>
      </c>
      <c r="J2728" s="523">
        <v>17.829999999999998</v>
      </c>
    </row>
    <row r="2729" spans="1:10" s="559" customFormat="1">
      <c r="A2729" s="521" t="s">
        <v>318</v>
      </c>
      <c r="B2729" s="522" t="s">
        <v>786</v>
      </c>
      <c r="C2729" s="423" t="s">
        <v>330</v>
      </c>
      <c r="D2729" s="521" t="s">
        <v>787</v>
      </c>
      <c r="E2729" s="522">
        <v>201609</v>
      </c>
      <c r="F2729" s="523">
        <v>3680.41</v>
      </c>
      <c r="G2729" s="521">
        <v>7.5</v>
      </c>
      <c r="H2729" s="524">
        <v>1.3083000000000001E-3</v>
      </c>
      <c r="I2729" s="523">
        <v>36.11</v>
      </c>
      <c r="J2729" s="523">
        <v>57.78</v>
      </c>
    </row>
    <row r="2730" spans="1:10" s="559" customFormat="1">
      <c r="A2730" s="521" t="s">
        <v>318</v>
      </c>
      <c r="B2730" s="522" t="s">
        <v>653</v>
      </c>
      <c r="C2730" s="423" t="s">
        <v>330</v>
      </c>
      <c r="D2730" s="521" t="s">
        <v>654</v>
      </c>
      <c r="E2730" s="522">
        <v>201609</v>
      </c>
      <c r="F2730" s="523">
        <v>1134.58</v>
      </c>
      <c r="G2730" s="521">
        <v>7.5</v>
      </c>
      <c r="H2730" s="524">
        <v>1.3083000000000001E-3</v>
      </c>
      <c r="I2730" s="523">
        <v>11.13</v>
      </c>
      <c r="J2730" s="523">
        <v>17.809999999999999</v>
      </c>
    </row>
    <row r="2731" spans="1:10" s="559" customFormat="1">
      <c r="A2731" s="521" t="s">
        <v>318</v>
      </c>
      <c r="B2731" s="522" t="s">
        <v>655</v>
      </c>
      <c r="C2731" s="423" t="s">
        <v>330</v>
      </c>
      <c r="D2731" s="521" t="s">
        <v>656</v>
      </c>
      <c r="E2731" s="522">
        <v>201609</v>
      </c>
      <c r="F2731" s="523">
        <v>5.42</v>
      </c>
      <c r="G2731" s="521">
        <v>7.5</v>
      </c>
      <c r="H2731" s="524">
        <v>1.3083000000000001E-3</v>
      </c>
      <c r="I2731" s="523">
        <v>0.05</v>
      </c>
      <c r="J2731" s="523">
        <v>0.09</v>
      </c>
    </row>
    <row r="2732" spans="1:10" s="559" customFormat="1">
      <c r="A2732" s="521" t="s">
        <v>318</v>
      </c>
      <c r="B2732" s="522" t="s">
        <v>594</v>
      </c>
      <c r="C2732" s="423" t="s">
        <v>330</v>
      </c>
      <c r="D2732" s="521" t="s">
        <v>595</v>
      </c>
      <c r="E2732" s="522">
        <v>201609</v>
      </c>
      <c r="F2732" s="523">
        <v>0.37</v>
      </c>
      <c r="G2732" s="521">
        <v>7.5</v>
      </c>
      <c r="H2732" s="524">
        <v>1.3083000000000001E-3</v>
      </c>
      <c r="I2732" s="523">
        <v>0</v>
      </c>
      <c r="J2732" s="523">
        <v>0.01</v>
      </c>
    </row>
    <row r="2733" spans="1:10" s="559" customFormat="1">
      <c r="A2733" s="521" t="s">
        <v>318</v>
      </c>
      <c r="B2733" s="522" t="s">
        <v>596</v>
      </c>
      <c r="C2733" s="423" t="s">
        <v>330</v>
      </c>
      <c r="D2733" s="521" t="s">
        <v>597</v>
      </c>
      <c r="E2733" s="522">
        <v>201609</v>
      </c>
      <c r="F2733" s="523">
        <v>0.76</v>
      </c>
      <c r="G2733" s="521">
        <v>7.5</v>
      </c>
      <c r="H2733" s="524">
        <v>1.3083000000000001E-3</v>
      </c>
      <c r="I2733" s="523">
        <v>0.01</v>
      </c>
      <c r="J2733" s="523">
        <v>0.01</v>
      </c>
    </row>
    <row r="2734" spans="1:10" s="559" customFormat="1">
      <c r="A2734" s="521" t="s">
        <v>318</v>
      </c>
      <c r="B2734" s="522" t="s">
        <v>657</v>
      </c>
      <c r="C2734" s="423" t="s">
        <v>330</v>
      </c>
      <c r="D2734" s="521" t="s">
        <v>658</v>
      </c>
      <c r="E2734" s="522">
        <v>201609</v>
      </c>
      <c r="F2734" s="523">
        <v>-11.78</v>
      </c>
      <c r="G2734" s="521">
        <v>7.5</v>
      </c>
      <c r="H2734" s="524">
        <v>1.3083000000000001E-3</v>
      </c>
      <c r="I2734" s="523">
        <v>-0.12</v>
      </c>
      <c r="J2734" s="523">
        <v>-0.18</v>
      </c>
    </row>
    <row r="2735" spans="1:10" s="559" customFormat="1">
      <c r="A2735" s="521" t="s">
        <v>318</v>
      </c>
      <c r="B2735" s="522" t="s">
        <v>659</v>
      </c>
      <c r="C2735" s="423" t="s">
        <v>330</v>
      </c>
      <c r="D2735" s="521" t="s">
        <v>660</v>
      </c>
      <c r="E2735" s="522">
        <v>201609</v>
      </c>
      <c r="F2735" s="523">
        <v>-69.36</v>
      </c>
      <c r="G2735" s="521">
        <v>7.5</v>
      </c>
      <c r="H2735" s="524">
        <v>1.3083000000000001E-3</v>
      </c>
      <c r="I2735" s="523">
        <v>-0.68</v>
      </c>
      <c r="J2735" s="523">
        <v>-1.0900000000000001</v>
      </c>
    </row>
    <row r="2736" spans="1:10" s="559" customFormat="1">
      <c r="A2736" s="521" t="s">
        <v>318</v>
      </c>
      <c r="B2736" s="522" t="s">
        <v>663</v>
      </c>
      <c r="C2736" s="423" t="s">
        <v>330</v>
      </c>
      <c r="D2736" s="521" t="s">
        <v>664</v>
      </c>
      <c r="E2736" s="522">
        <v>201609</v>
      </c>
      <c r="F2736" s="523">
        <v>1495.47</v>
      </c>
      <c r="G2736" s="521">
        <v>7.5</v>
      </c>
      <c r="H2736" s="524">
        <v>1.3083000000000001E-3</v>
      </c>
      <c r="I2736" s="523">
        <v>14.67</v>
      </c>
      <c r="J2736" s="523">
        <v>23.48</v>
      </c>
    </row>
    <row r="2737" spans="1:10" s="559" customFormat="1">
      <c r="A2737" s="521" t="s">
        <v>318</v>
      </c>
      <c r="B2737" s="522" t="s">
        <v>665</v>
      </c>
      <c r="C2737" s="423" t="s">
        <v>330</v>
      </c>
      <c r="D2737" s="521" t="s">
        <v>666</v>
      </c>
      <c r="E2737" s="522">
        <v>201609</v>
      </c>
      <c r="F2737" s="523">
        <v>68.45</v>
      </c>
      <c r="G2737" s="521">
        <v>7.5</v>
      </c>
      <c r="H2737" s="524">
        <v>1.3083000000000001E-3</v>
      </c>
      <c r="I2737" s="523">
        <v>0.67</v>
      </c>
      <c r="J2737" s="523">
        <v>1.07</v>
      </c>
    </row>
    <row r="2738" spans="1:10" s="559" customFormat="1">
      <c r="A2738" s="521" t="s">
        <v>318</v>
      </c>
      <c r="B2738" s="522" t="s">
        <v>801</v>
      </c>
      <c r="C2738" s="423" t="s">
        <v>330</v>
      </c>
      <c r="D2738" s="521" t="s">
        <v>802</v>
      </c>
      <c r="E2738" s="522">
        <v>201609</v>
      </c>
      <c r="F2738" s="523">
        <v>2079.96</v>
      </c>
      <c r="G2738" s="521">
        <v>7.5</v>
      </c>
      <c r="H2738" s="524">
        <v>1.3083000000000001E-3</v>
      </c>
      <c r="I2738" s="523">
        <v>20.41</v>
      </c>
      <c r="J2738" s="523">
        <v>32.65</v>
      </c>
    </row>
    <row r="2739" spans="1:10" s="559" customFormat="1">
      <c r="A2739" s="521" t="s">
        <v>318</v>
      </c>
      <c r="B2739" s="522" t="s">
        <v>803</v>
      </c>
      <c r="C2739" s="423" t="s">
        <v>330</v>
      </c>
      <c r="D2739" s="521" t="s">
        <v>804</v>
      </c>
      <c r="E2739" s="522">
        <v>201609</v>
      </c>
      <c r="F2739" s="523">
        <v>165159.25</v>
      </c>
      <c r="G2739" s="521">
        <v>7.5</v>
      </c>
      <c r="H2739" s="524">
        <v>1.3083000000000001E-3</v>
      </c>
      <c r="I2739" s="523">
        <v>1620.58</v>
      </c>
      <c r="J2739" s="523">
        <v>2592.9299999999998</v>
      </c>
    </row>
    <row r="2740" spans="1:10" s="559" customFormat="1">
      <c r="A2740" s="521" t="s">
        <v>318</v>
      </c>
      <c r="B2740" s="522" t="s">
        <v>805</v>
      </c>
      <c r="C2740" s="423" t="s">
        <v>330</v>
      </c>
      <c r="D2740" s="521" t="s">
        <v>806</v>
      </c>
      <c r="E2740" s="522">
        <v>201609</v>
      </c>
      <c r="F2740" s="523">
        <v>115014.71</v>
      </c>
      <c r="G2740" s="521">
        <v>7.5</v>
      </c>
      <c r="H2740" s="524">
        <v>1.3083000000000001E-3</v>
      </c>
      <c r="I2740" s="523">
        <v>1128.55</v>
      </c>
      <c r="J2740" s="523">
        <v>1805.68</v>
      </c>
    </row>
    <row r="2741" spans="1:10" s="559" customFormat="1">
      <c r="A2741" s="521" t="s">
        <v>318</v>
      </c>
      <c r="B2741" s="522" t="s">
        <v>598</v>
      </c>
      <c r="C2741" s="423" t="s">
        <v>330</v>
      </c>
      <c r="D2741" s="521" t="s">
        <v>599</v>
      </c>
      <c r="E2741" s="522">
        <v>201609</v>
      </c>
      <c r="F2741" s="523">
        <v>-0.16</v>
      </c>
      <c r="G2741" s="521">
        <v>7.5</v>
      </c>
      <c r="H2741" s="524">
        <v>1.3083000000000001E-3</v>
      </c>
      <c r="I2741" s="523">
        <v>0</v>
      </c>
      <c r="J2741" s="523">
        <v>0</v>
      </c>
    </row>
    <row r="2742" spans="1:10" s="559" customFormat="1">
      <c r="A2742" s="521" t="s">
        <v>318</v>
      </c>
      <c r="B2742" s="522" t="s">
        <v>600</v>
      </c>
      <c r="C2742" s="423" t="s">
        <v>330</v>
      </c>
      <c r="D2742" s="521" t="s">
        <v>601</v>
      </c>
      <c r="E2742" s="522">
        <v>201609</v>
      </c>
      <c r="F2742" s="523">
        <v>0.84</v>
      </c>
      <c r="G2742" s="521">
        <v>7.5</v>
      </c>
      <c r="H2742" s="524">
        <v>1.3083000000000001E-3</v>
      </c>
      <c r="I2742" s="523">
        <v>0.01</v>
      </c>
      <c r="J2742" s="523">
        <v>0.01</v>
      </c>
    </row>
    <row r="2743" spans="1:10" s="559" customFormat="1">
      <c r="A2743" s="521" t="s">
        <v>318</v>
      </c>
      <c r="B2743" s="522" t="s">
        <v>554</v>
      </c>
      <c r="C2743" s="423" t="s">
        <v>330</v>
      </c>
      <c r="D2743" s="521" t="s">
        <v>555</v>
      </c>
      <c r="E2743" s="522">
        <v>201609</v>
      </c>
      <c r="F2743" s="523">
        <v>0.11</v>
      </c>
      <c r="G2743" s="521">
        <v>7.5</v>
      </c>
      <c r="H2743" s="524">
        <v>1.3083000000000001E-3</v>
      </c>
      <c r="I2743" s="523">
        <v>0</v>
      </c>
      <c r="J2743" s="523">
        <v>0</v>
      </c>
    </row>
    <row r="2744" spans="1:10" s="559" customFormat="1">
      <c r="A2744" s="521" t="s">
        <v>318</v>
      </c>
      <c r="B2744" s="522" t="s">
        <v>556</v>
      </c>
      <c r="C2744" s="423" t="s">
        <v>330</v>
      </c>
      <c r="D2744" s="521" t="s">
        <v>557</v>
      </c>
      <c r="E2744" s="522">
        <v>201609</v>
      </c>
      <c r="F2744" s="523">
        <v>0.22</v>
      </c>
      <c r="G2744" s="521">
        <v>7.5</v>
      </c>
      <c r="H2744" s="524">
        <v>1.3083000000000001E-3</v>
      </c>
      <c r="I2744" s="523">
        <v>0</v>
      </c>
      <c r="J2744" s="523">
        <v>0</v>
      </c>
    </row>
    <row r="2745" spans="1:10" s="559" customFormat="1">
      <c r="A2745" s="521" t="s">
        <v>318</v>
      </c>
      <c r="B2745" s="522" t="s">
        <v>558</v>
      </c>
      <c r="C2745" s="423" t="s">
        <v>330</v>
      </c>
      <c r="D2745" s="521" t="s">
        <v>559</v>
      </c>
      <c r="E2745" s="522">
        <v>201609</v>
      </c>
      <c r="F2745" s="523">
        <v>-0.16</v>
      </c>
      <c r="G2745" s="521">
        <v>7.5</v>
      </c>
      <c r="H2745" s="524">
        <v>1.3083000000000001E-3</v>
      </c>
      <c r="I2745" s="523">
        <v>0</v>
      </c>
      <c r="J2745" s="523">
        <v>0</v>
      </c>
    </row>
    <row r="2746" spans="1:10" s="559" customFormat="1">
      <c r="A2746" s="521" t="s">
        <v>318</v>
      </c>
      <c r="B2746" s="522" t="s">
        <v>560</v>
      </c>
      <c r="C2746" s="423" t="s">
        <v>330</v>
      </c>
      <c r="D2746" s="521" t="s">
        <v>561</v>
      </c>
      <c r="E2746" s="522">
        <v>201609</v>
      </c>
      <c r="F2746" s="523">
        <v>-0.37</v>
      </c>
      <c r="G2746" s="521">
        <v>7.5</v>
      </c>
      <c r="H2746" s="524">
        <v>1.3083000000000001E-3</v>
      </c>
      <c r="I2746" s="523">
        <v>0</v>
      </c>
      <c r="J2746" s="523">
        <v>-0.01</v>
      </c>
    </row>
    <row r="2747" spans="1:10" s="559" customFormat="1">
      <c r="A2747" s="521" t="s">
        <v>318</v>
      </c>
      <c r="B2747" s="522" t="s">
        <v>1033</v>
      </c>
      <c r="C2747" s="423" t="s">
        <v>330</v>
      </c>
      <c r="D2747" s="521" t="s">
        <v>1034</v>
      </c>
      <c r="E2747" s="522">
        <v>201609</v>
      </c>
      <c r="F2747" s="523">
        <v>19362.04</v>
      </c>
      <c r="G2747" s="521">
        <v>7.5</v>
      </c>
      <c r="H2747" s="524">
        <v>1.3083000000000001E-3</v>
      </c>
      <c r="I2747" s="523">
        <v>189.99</v>
      </c>
      <c r="J2747" s="523">
        <v>303.98</v>
      </c>
    </row>
    <row r="2748" spans="1:10" s="559" customFormat="1">
      <c r="A2748" s="521" t="s">
        <v>318</v>
      </c>
      <c r="B2748" s="522" t="s">
        <v>602</v>
      </c>
      <c r="C2748" s="423" t="s">
        <v>330</v>
      </c>
      <c r="D2748" s="521" t="s">
        <v>603</v>
      </c>
      <c r="E2748" s="522">
        <v>201609</v>
      </c>
      <c r="F2748" s="523">
        <v>-14.34</v>
      </c>
      <c r="G2748" s="521">
        <v>7.5</v>
      </c>
      <c r="H2748" s="524">
        <v>1.3083000000000001E-3</v>
      </c>
      <c r="I2748" s="523">
        <v>-0.14000000000000001</v>
      </c>
      <c r="J2748" s="523">
        <v>-0.23</v>
      </c>
    </row>
    <row r="2749" spans="1:10" s="559" customFormat="1">
      <c r="A2749" s="521" t="s">
        <v>318</v>
      </c>
      <c r="B2749" s="522" t="s">
        <v>810</v>
      </c>
      <c r="C2749" s="423" t="s">
        <v>330</v>
      </c>
      <c r="D2749" s="521" t="s">
        <v>811</v>
      </c>
      <c r="E2749" s="522">
        <v>201609</v>
      </c>
      <c r="F2749" s="523">
        <v>2130.4699999999998</v>
      </c>
      <c r="G2749" s="521">
        <v>7.5</v>
      </c>
      <c r="H2749" s="524">
        <v>1.3083000000000001E-3</v>
      </c>
      <c r="I2749" s="523">
        <v>20.9</v>
      </c>
      <c r="J2749" s="523">
        <v>33.450000000000003</v>
      </c>
    </row>
    <row r="2750" spans="1:10" s="559" customFormat="1">
      <c r="A2750" s="521" t="s">
        <v>318</v>
      </c>
      <c r="B2750" s="522" t="s">
        <v>812</v>
      </c>
      <c r="C2750" s="423" t="s">
        <v>330</v>
      </c>
      <c r="D2750" s="521" t="s">
        <v>813</v>
      </c>
      <c r="E2750" s="522">
        <v>201609</v>
      </c>
      <c r="F2750" s="523">
        <v>230947.44</v>
      </c>
      <c r="G2750" s="521">
        <v>7.5</v>
      </c>
      <c r="H2750" s="524">
        <v>1.3083000000000001E-3</v>
      </c>
      <c r="I2750" s="523">
        <v>2266.11</v>
      </c>
      <c r="J2750" s="523">
        <v>3625.78</v>
      </c>
    </row>
    <row r="2751" spans="1:10" s="559" customFormat="1">
      <c r="A2751" s="521" t="s">
        <v>318</v>
      </c>
      <c r="B2751" s="522" t="s">
        <v>788</v>
      </c>
      <c r="C2751" s="423" t="s">
        <v>330</v>
      </c>
      <c r="D2751" s="521" t="s">
        <v>789</v>
      </c>
      <c r="E2751" s="522">
        <v>201609</v>
      </c>
      <c r="F2751" s="523">
        <v>1623.64</v>
      </c>
      <c r="G2751" s="521">
        <v>7.5</v>
      </c>
      <c r="H2751" s="524">
        <v>1.3083000000000001E-3</v>
      </c>
      <c r="I2751" s="523">
        <v>15.93</v>
      </c>
      <c r="J2751" s="523">
        <v>25.49</v>
      </c>
    </row>
    <row r="2752" spans="1:10" s="559" customFormat="1">
      <c r="A2752" s="521" t="s">
        <v>318</v>
      </c>
      <c r="B2752" s="522" t="s">
        <v>564</v>
      </c>
      <c r="C2752" s="423" t="s">
        <v>330</v>
      </c>
      <c r="D2752" s="521" t="s">
        <v>669</v>
      </c>
      <c r="E2752" s="522">
        <v>201609</v>
      </c>
      <c r="F2752" s="523">
        <v>-0.21</v>
      </c>
      <c r="G2752" s="521">
        <v>7.5</v>
      </c>
      <c r="H2752" s="524">
        <v>1.3083000000000001E-3</v>
      </c>
      <c r="I2752" s="523">
        <v>0</v>
      </c>
      <c r="J2752" s="523">
        <v>0</v>
      </c>
    </row>
    <row r="2753" spans="1:10" s="559" customFormat="1">
      <c r="A2753" s="521" t="s">
        <v>318</v>
      </c>
      <c r="B2753" s="522" t="s">
        <v>619</v>
      </c>
      <c r="C2753" s="423" t="s">
        <v>331</v>
      </c>
      <c r="D2753" s="521" t="s">
        <v>620</v>
      </c>
      <c r="E2753" s="522">
        <v>201609</v>
      </c>
      <c r="F2753" s="523">
        <v>4311.04</v>
      </c>
      <c r="G2753" s="521">
        <v>7.5</v>
      </c>
      <c r="H2753" s="524">
        <v>1.3083000000000001E-3</v>
      </c>
      <c r="I2753" s="523">
        <v>42.3</v>
      </c>
      <c r="J2753" s="523">
        <v>67.680000000000007</v>
      </c>
    </row>
    <row r="2754" spans="1:10" s="559" customFormat="1">
      <c r="A2754" s="521" t="s">
        <v>318</v>
      </c>
      <c r="B2754" s="522" t="s">
        <v>829</v>
      </c>
      <c r="C2754" s="423" t="s">
        <v>330</v>
      </c>
      <c r="D2754" s="521" t="s">
        <v>831</v>
      </c>
      <c r="E2754" s="522">
        <v>201609</v>
      </c>
      <c r="F2754" s="523">
        <v>146964.76999999999</v>
      </c>
      <c r="G2754" s="521">
        <v>7.5</v>
      </c>
      <c r="H2754" s="524">
        <v>1.3083000000000001E-3</v>
      </c>
      <c r="I2754" s="523">
        <v>1442.06</v>
      </c>
      <c r="J2754" s="523">
        <v>2307.29</v>
      </c>
    </row>
    <row r="2755" spans="1:10" s="559" customFormat="1">
      <c r="A2755" s="521" t="s">
        <v>318</v>
      </c>
      <c r="B2755" s="522" t="s">
        <v>832</v>
      </c>
      <c r="C2755" s="423" t="s">
        <v>330</v>
      </c>
      <c r="D2755" s="521" t="s">
        <v>833</v>
      </c>
      <c r="E2755" s="522">
        <v>201609</v>
      </c>
      <c r="F2755" s="523">
        <v>748.96</v>
      </c>
      <c r="G2755" s="521">
        <v>7.5</v>
      </c>
      <c r="H2755" s="524">
        <v>1.3083000000000001E-3</v>
      </c>
      <c r="I2755" s="523">
        <v>7.35</v>
      </c>
      <c r="J2755" s="523">
        <v>11.76</v>
      </c>
    </row>
    <row r="2756" spans="1:10" s="559" customFormat="1">
      <c r="A2756" s="521" t="s">
        <v>318</v>
      </c>
      <c r="B2756" s="522" t="s">
        <v>670</v>
      </c>
      <c r="C2756" s="423" t="s">
        <v>330</v>
      </c>
      <c r="D2756" s="521" t="s">
        <v>671</v>
      </c>
      <c r="E2756" s="522">
        <v>201609</v>
      </c>
      <c r="F2756" s="523">
        <v>1506.5</v>
      </c>
      <c r="G2756" s="521">
        <v>7.5</v>
      </c>
      <c r="H2756" s="524">
        <v>1.3083000000000001E-3</v>
      </c>
      <c r="I2756" s="523">
        <v>14.78</v>
      </c>
      <c r="J2756" s="523">
        <v>23.65</v>
      </c>
    </row>
    <row r="2757" spans="1:10" s="559" customFormat="1">
      <c r="A2757" s="521" t="s">
        <v>318</v>
      </c>
      <c r="B2757" s="522" t="s">
        <v>945</v>
      </c>
      <c r="C2757" s="423" t="s">
        <v>330</v>
      </c>
      <c r="D2757" s="521" t="s">
        <v>946</v>
      </c>
      <c r="E2757" s="522">
        <v>201609</v>
      </c>
      <c r="F2757" s="523">
        <v>2173.33</v>
      </c>
      <c r="G2757" s="521">
        <v>7.5</v>
      </c>
      <c r="H2757" s="524">
        <v>1.3083000000000001E-3</v>
      </c>
      <c r="I2757" s="523">
        <v>21.33</v>
      </c>
      <c r="J2757" s="523">
        <v>34.119999999999997</v>
      </c>
    </row>
    <row r="2758" spans="1:10" s="559" customFormat="1">
      <c r="A2758" s="521" t="s">
        <v>318</v>
      </c>
      <c r="B2758" s="522" t="s">
        <v>606</v>
      </c>
      <c r="C2758" s="423" t="s">
        <v>330</v>
      </c>
      <c r="D2758" s="521" t="s">
        <v>607</v>
      </c>
      <c r="E2758" s="522">
        <v>201609</v>
      </c>
      <c r="F2758" s="523">
        <v>2.83</v>
      </c>
      <c r="G2758" s="521">
        <v>7.5</v>
      </c>
      <c r="H2758" s="524">
        <v>1.3083000000000001E-3</v>
      </c>
      <c r="I2758" s="523">
        <v>0.03</v>
      </c>
      <c r="J2758" s="523">
        <v>0.04</v>
      </c>
    </row>
    <row r="2759" spans="1:10" s="559" customFormat="1">
      <c r="A2759" s="521" t="s">
        <v>318</v>
      </c>
      <c r="B2759" s="522" t="s">
        <v>949</v>
      </c>
      <c r="C2759" s="423" t="s">
        <v>330</v>
      </c>
      <c r="D2759" s="521" t="s">
        <v>950</v>
      </c>
      <c r="E2759" s="522">
        <v>201609</v>
      </c>
      <c r="F2759" s="523">
        <v>3540.14</v>
      </c>
      <c r="G2759" s="521">
        <v>7.5</v>
      </c>
      <c r="H2759" s="524">
        <v>1.3083000000000001E-3</v>
      </c>
      <c r="I2759" s="523">
        <v>34.74</v>
      </c>
      <c r="J2759" s="523">
        <v>55.58</v>
      </c>
    </row>
    <row r="2760" spans="1:10" s="559" customFormat="1">
      <c r="A2760" s="521" t="s">
        <v>318</v>
      </c>
      <c r="B2760" s="522" t="s">
        <v>951</v>
      </c>
      <c r="C2760" s="423" t="s">
        <v>330</v>
      </c>
      <c r="D2760" s="521" t="s">
        <v>952</v>
      </c>
      <c r="E2760" s="522">
        <v>201609</v>
      </c>
      <c r="F2760" s="523">
        <v>1850.49</v>
      </c>
      <c r="G2760" s="521">
        <v>7.5</v>
      </c>
      <c r="H2760" s="524">
        <v>1.3083000000000001E-3</v>
      </c>
      <c r="I2760" s="523">
        <v>18.16</v>
      </c>
      <c r="J2760" s="523">
        <v>29.05</v>
      </c>
    </row>
    <row r="2761" spans="1:10" s="559" customFormat="1">
      <c r="A2761" s="521" t="s">
        <v>318</v>
      </c>
      <c r="B2761" s="522" t="s">
        <v>953</v>
      </c>
      <c r="C2761" s="423" t="s">
        <v>330</v>
      </c>
      <c r="D2761" s="521" t="s">
        <v>954</v>
      </c>
      <c r="E2761" s="522">
        <v>201609</v>
      </c>
      <c r="F2761" s="523">
        <v>845.08</v>
      </c>
      <c r="G2761" s="521">
        <v>7.5</v>
      </c>
      <c r="H2761" s="524">
        <v>1.3083000000000001E-3</v>
      </c>
      <c r="I2761" s="523">
        <v>8.2899999999999991</v>
      </c>
      <c r="J2761" s="523">
        <v>13.27</v>
      </c>
    </row>
    <row r="2762" spans="1:10" s="559" customFormat="1">
      <c r="A2762" s="521" t="s">
        <v>318</v>
      </c>
      <c r="B2762" s="522" t="s">
        <v>955</v>
      </c>
      <c r="C2762" s="423" t="s">
        <v>330</v>
      </c>
      <c r="D2762" s="521" t="s">
        <v>956</v>
      </c>
      <c r="E2762" s="522">
        <v>201609</v>
      </c>
      <c r="F2762" s="523">
        <v>1964</v>
      </c>
      <c r="G2762" s="521">
        <v>7.5</v>
      </c>
      <c r="H2762" s="524">
        <v>1.3083000000000001E-3</v>
      </c>
      <c r="I2762" s="523">
        <v>19.27</v>
      </c>
      <c r="J2762" s="523">
        <v>30.83</v>
      </c>
    </row>
    <row r="2763" spans="1:10" s="559" customFormat="1">
      <c r="A2763" s="521" t="s">
        <v>318</v>
      </c>
      <c r="B2763" s="522" t="s">
        <v>957</v>
      </c>
      <c r="C2763" s="423" t="s">
        <v>330</v>
      </c>
      <c r="D2763" s="521" t="s">
        <v>958</v>
      </c>
      <c r="E2763" s="522">
        <v>201609</v>
      </c>
      <c r="F2763" s="523">
        <v>2545.0700000000002</v>
      </c>
      <c r="G2763" s="521">
        <v>7.5</v>
      </c>
      <c r="H2763" s="524">
        <v>1.3083000000000001E-3</v>
      </c>
      <c r="I2763" s="523">
        <v>24.97</v>
      </c>
      <c r="J2763" s="523">
        <v>39.96</v>
      </c>
    </row>
    <row r="2764" spans="1:10" s="559" customFormat="1">
      <c r="A2764" s="521" t="s">
        <v>318</v>
      </c>
      <c r="B2764" s="522" t="s">
        <v>959</v>
      </c>
      <c r="C2764" s="423" t="s">
        <v>330</v>
      </c>
      <c r="D2764" s="521" t="s">
        <v>960</v>
      </c>
      <c r="E2764" s="522">
        <v>201609</v>
      </c>
      <c r="F2764" s="523">
        <v>2110.58</v>
      </c>
      <c r="G2764" s="521">
        <v>7.5</v>
      </c>
      <c r="H2764" s="524">
        <v>1.3083000000000001E-3</v>
      </c>
      <c r="I2764" s="523">
        <v>20.71</v>
      </c>
      <c r="J2764" s="523">
        <v>33.14</v>
      </c>
    </row>
    <row r="2765" spans="1:10" s="559" customFormat="1">
      <c r="A2765" s="521" t="s">
        <v>318</v>
      </c>
      <c r="B2765" s="522" t="s">
        <v>893</v>
      </c>
      <c r="C2765" s="423" t="s">
        <v>331</v>
      </c>
      <c r="D2765" s="521" t="s">
        <v>894</v>
      </c>
      <c r="E2765" s="522">
        <v>201609</v>
      </c>
      <c r="F2765" s="523">
        <v>398.16</v>
      </c>
      <c r="G2765" s="521">
        <v>7.5</v>
      </c>
      <c r="H2765" s="524">
        <v>1.3083000000000001E-3</v>
      </c>
      <c r="I2765" s="523">
        <v>3.91</v>
      </c>
      <c r="J2765" s="523">
        <v>6.25</v>
      </c>
    </row>
    <row r="2766" spans="1:10" s="559" customFormat="1">
      <c r="A2766" s="521" t="s">
        <v>318</v>
      </c>
      <c r="B2766" s="522" t="s">
        <v>608</v>
      </c>
      <c r="C2766" s="423" t="s">
        <v>330</v>
      </c>
      <c r="D2766" s="521" t="s">
        <v>609</v>
      </c>
      <c r="E2766" s="522">
        <v>201609</v>
      </c>
      <c r="F2766" s="523">
        <v>0.09</v>
      </c>
      <c r="G2766" s="521">
        <v>7.5</v>
      </c>
      <c r="H2766" s="524">
        <v>1.3083000000000001E-3</v>
      </c>
      <c r="I2766" s="523">
        <v>0</v>
      </c>
      <c r="J2766" s="523">
        <v>0</v>
      </c>
    </row>
    <row r="2767" spans="1:10" s="559" customFormat="1">
      <c r="A2767" s="521" t="s">
        <v>318</v>
      </c>
      <c r="B2767" s="522" t="s">
        <v>610</v>
      </c>
      <c r="C2767" s="423" t="s">
        <v>330</v>
      </c>
      <c r="D2767" s="521" t="s">
        <v>611</v>
      </c>
      <c r="E2767" s="522">
        <v>201609</v>
      </c>
      <c r="F2767" s="523">
        <v>1.1499999999999999</v>
      </c>
      <c r="G2767" s="521">
        <v>7.5</v>
      </c>
      <c r="H2767" s="524">
        <v>1.3083000000000001E-3</v>
      </c>
      <c r="I2767" s="523">
        <v>0.01</v>
      </c>
      <c r="J2767" s="523">
        <v>0.02</v>
      </c>
    </row>
    <row r="2768" spans="1:10" s="559" customFormat="1">
      <c r="A2768" s="521" t="s">
        <v>318</v>
      </c>
      <c r="B2768" s="522" t="s">
        <v>567</v>
      </c>
      <c r="C2768" s="423" t="s">
        <v>330</v>
      </c>
      <c r="D2768" s="521" t="s">
        <v>568</v>
      </c>
      <c r="E2768" s="522">
        <v>201609</v>
      </c>
      <c r="F2768" s="523">
        <v>0.73</v>
      </c>
      <c r="G2768" s="521">
        <v>7.5</v>
      </c>
      <c r="H2768" s="524">
        <v>1.3083000000000001E-3</v>
      </c>
      <c r="I2768" s="523">
        <v>0.01</v>
      </c>
      <c r="J2768" s="523">
        <v>0.01</v>
      </c>
    </row>
    <row r="2769" spans="1:10" s="559" customFormat="1">
      <c r="A2769" s="521" t="s">
        <v>318</v>
      </c>
      <c r="B2769" s="522" t="s">
        <v>814</v>
      </c>
      <c r="C2769" s="423" t="s">
        <v>330</v>
      </c>
      <c r="D2769" s="521" t="s">
        <v>815</v>
      </c>
      <c r="E2769" s="522">
        <v>201609</v>
      </c>
      <c r="F2769" s="523">
        <v>2349.52</v>
      </c>
      <c r="G2769" s="521">
        <v>7.5</v>
      </c>
      <c r="H2769" s="524">
        <v>1.3083000000000001E-3</v>
      </c>
      <c r="I2769" s="523">
        <v>23.05</v>
      </c>
      <c r="J2769" s="523">
        <v>36.89</v>
      </c>
    </row>
    <row r="2770" spans="1:10" s="559" customFormat="1">
      <c r="A2770" s="521" t="s">
        <v>318</v>
      </c>
      <c r="B2770" s="522" t="s">
        <v>674</v>
      </c>
      <c r="C2770" s="423" t="s">
        <v>330</v>
      </c>
      <c r="D2770" s="521" t="s">
        <v>675</v>
      </c>
      <c r="E2770" s="522">
        <v>201609</v>
      </c>
      <c r="F2770" s="523">
        <v>81.02</v>
      </c>
      <c r="G2770" s="521">
        <v>7.5</v>
      </c>
      <c r="H2770" s="524">
        <v>1.3083000000000001E-3</v>
      </c>
      <c r="I2770" s="523">
        <v>0.79</v>
      </c>
      <c r="J2770" s="523">
        <v>1.27</v>
      </c>
    </row>
    <row r="2771" spans="1:10" s="559" customFormat="1">
      <c r="A2771" s="521" t="s">
        <v>318</v>
      </c>
      <c r="B2771" s="522" t="s">
        <v>790</v>
      </c>
      <c r="C2771" s="423" t="s">
        <v>330</v>
      </c>
      <c r="D2771" s="521" t="s">
        <v>791</v>
      </c>
      <c r="E2771" s="522">
        <v>201609</v>
      </c>
      <c r="F2771" s="523">
        <v>1183.69</v>
      </c>
      <c r="G2771" s="521">
        <v>7.5</v>
      </c>
      <c r="H2771" s="524">
        <v>1.3083000000000001E-3</v>
      </c>
      <c r="I2771" s="523">
        <v>11.61</v>
      </c>
      <c r="J2771" s="523">
        <v>18.579999999999998</v>
      </c>
    </row>
    <row r="2772" spans="1:10" s="559" customFormat="1">
      <c r="A2772" s="521" t="s">
        <v>318</v>
      </c>
      <c r="B2772" s="522" t="s">
        <v>963</v>
      </c>
      <c r="C2772" s="423" t="s">
        <v>330</v>
      </c>
      <c r="D2772" s="521" t="s">
        <v>964</v>
      </c>
      <c r="E2772" s="522">
        <v>201609</v>
      </c>
      <c r="F2772" s="523">
        <v>522.64</v>
      </c>
      <c r="G2772" s="521">
        <v>7.5</v>
      </c>
      <c r="H2772" s="524">
        <v>1.3083000000000001E-3</v>
      </c>
      <c r="I2772" s="523">
        <v>5.13</v>
      </c>
      <c r="J2772" s="523">
        <v>8.2100000000000009</v>
      </c>
    </row>
    <row r="2773" spans="1:10" s="559" customFormat="1">
      <c r="A2773" s="521" t="s">
        <v>318</v>
      </c>
      <c r="B2773" s="522" t="s">
        <v>965</v>
      </c>
      <c r="C2773" s="423" t="s">
        <v>330</v>
      </c>
      <c r="D2773" s="521" t="s">
        <v>966</v>
      </c>
      <c r="E2773" s="522">
        <v>201609</v>
      </c>
      <c r="F2773" s="523">
        <v>-868.72</v>
      </c>
      <c r="G2773" s="521">
        <v>7.5</v>
      </c>
      <c r="H2773" s="524">
        <v>1.3083000000000001E-3</v>
      </c>
      <c r="I2773" s="523">
        <v>-8.52</v>
      </c>
      <c r="J2773" s="523">
        <v>-13.64</v>
      </c>
    </row>
    <row r="2774" spans="1:10" s="559" customFormat="1">
      <c r="A2774" s="521" t="s">
        <v>318</v>
      </c>
      <c r="B2774" s="522" t="s">
        <v>723</v>
      </c>
      <c r="C2774" s="423" t="s">
        <v>331</v>
      </c>
      <c r="D2774" s="521" t="s">
        <v>724</v>
      </c>
      <c r="E2774" s="522">
        <v>201609</v>
      </c>
      <c r="F2774" s="523">
        <v>0.13</v>
      </c>
      <c r="G2774" s="521">
        <v>7.5</v>
      </c>
      <c r="H2774" s="524">
        <v>1.3083000000000001E-3</v>
      </c>
      <c r="I2774" s="523">
        <v>0</v>
      </c>
      <c r="J2774" s="523">
        <v>0</v>
      </c>
    </row>
    <row r="2775" spans="1:10" s="559" customFormat="1">
      <c r="A2775" s="521" t="s">
        <v>318</v>
      </c>
      <c r="B2775" s="522" t="s">
        <v>860</v>
      </c>
      <c r="C2775" s="423" t="s">
        <v>330</v>
      </c>
      <c r="D2775" s="521" t="s">
        <v>861</v>
      </c>
      <c r="E2775" s="522">
        <v>201609</v>
      </c>
      <c r="F2775" s="523">
        <v>5180.21</v>
      </c>
      <c r="G2775" s="521">
        <v>7.5</v>
      </c>
      <c r="H2775" s="524">
        <v>1.3083000000000001E-3</v>
      </c>
      <c r="I2775" s="523">
        <v>50.83</v>
      </c>
      <c r="J2775" s="523">
        <v>81.33</v>
      </c>
    </row>
    <row r="2776" spans="1:10" s="559" customFormat="1">
      <c r="A2776" s="521" t="s">
        <v>318</v>
      </c>
      <c r="B2776" s="522" t="s">
        <v>678</v>
      </c>
      <c r="C2776" s="423" t="s">
        <v>330</v>
      </c>
      <c r="D2776" s="521" t="s">
        <v>679</v>
      </c>
      <c r="E2776" s="522">
        <v>201609</v>
      </c>
      <c r="F2776" s="523">
        <v>1518.1</v>
      </c>
      <c r="G2776" s="521">
        <v>7.5</v>
      </c>
      <c r="H2776" s="524">
        <v>1.3083000000000001E-3</v>
      </c>
      <c r="I2776" s="523">
        <v>14.9</v>
      </c>
      <c r="J2776" s="523">
        <v>23.83</v>
      </c>
    </row>
    <row r="2777" spans="1:10" s="559" customFormat="1">
      <c r="A2777" s="521" t="s">
        <v>318</v>
      </c>
      <c r="B2777" s="522" t="s">
        <v>680</v>
      </c>
      <c r="C2777" s="423" t="s">
        <v>330</v>
      </c>
      <c r="D2777" s="521" t="s">
        <v>681</v>
      </c>
      <c r="E2777" s="522">
        <v>201609</v>
      </c>
      <c r="F2777" s="523">
        <v>-17444.5</v>
      </c>
      <c r="G2777" s="521">
        <v>7.5</v>
      </c>
      <c r="H2777" s="524">
        <v>1.3083000000000001E-3</v>
      </c>
      <c r="I2777" s="523">
        <v>-171.17</v>
      </c>
      <c r="J2777" s="523">
        <v>-273.87</v>
      </c>
    </row>
    <row r="2778" spans="1:10" s="559" customFormat="1">
      <c r="A2778" s="521" t="s">
        <v>318</v>
      </c>
      <c r="B2778" s="522" t="s">
        <v>682</v>
      </c>
      <c r="C2778" s="423" t="s">
        <v>330</v>
      </c>
      <c r="D2778" s="521" t="s">
        <v>683</v>
      </c>
      <c r="E2778" s="522">
        <v>201609</v>
      </c>
      <c r="F2778" s="523">
        <v>28283.78</v>
      </c>
      <c r="G2778" s="521">
        <v>7.5</v>
      </c>
      <c r="H2778" s="524">
        <v>1.3083000000000001E-3</v>
      </c>
      <c r="I2778" s="523">
        <v>277.52999999999997</v>
      </c>
      <c r="J2778" s="523">
        <v>444.04</v>
      </c>
    </row>
    <row r="2779" spans="1:10" s="559" customFormat="1">
      <c r="A2779" s="521" t="s">
        <v>318</v>
      </c>
      <c r="B2779" s="522" t="s">
        <v>623</v>
      </c>
      <c r="C2779" s="423" t="s">
        <v>331</v>
      </c>
      <c r="D2779" s="521" t="s">
        <v>624</v>
      </c>
      <c r="E2779" s="522">
        <v>201609</v>
      </c>
      <c r="F2779" s="523">
        <v>-39309.89</v>
      </c>
      <c r="G2779" s="521">
        <v>7.5</v>
      </c>
      <c r="H2779" s="524">
        <v>1.3083000000000001E-3</v>
      </c>
      <c r="I2779" s="523">
        <v>-385.72</v>
      </c>
      <c r="J2779" s="523">
        <v>-617.15</v>
      </c>
    </row>
    <row r="2780" spans="1:10" s="559" customFormat="1">
      <c r="A2780" s="521" t="s">
        <v>318</v>
      </c>
      <c r="B2780" s="522" t="s">
        <v>846</v>
      </c>
      <c r="C2780" s="423" t="s">
        <v>330</v>
      </c>
      <c r="D2780" s="521" t="s">
        <v>847</v>
      </c>
      <c r="E2780" s="522">
        <v>201609</v>
      </c>
      <c r="F2780" s="523">
        <v>2130.1</v>
      </c>
      <c r="G2780" s="521">
        <v>7.5</v>
      </c>
      <c r="H2780" s="524">
        <v>1.3083000000000001E-3</v>
      </c>
      <c r="I2780" s="523">
        <v>20.9</v>
      </c>
      <c r="J2780" s="523">
        <v>33.44</v>
      </c>
    </row>
    <row r="2781" spans="1:10" s="559" customFormat="1">
      <c r="A2781" s="521" t="s">
        <v>318</v>
      </c>
      <c r="B2781" s="522" t="s">
        <v>684</v>
      </c>
      <c r="C2781" s="423" t="s">
        <v>330</v>
      </c>
      <c r="D2781" s="521" t="s">
        <v>685</v>
      </c>
      <c r="E2781" s="522">
        <v>201609</v>
      </c>
      <c r="F2781" s="523">
        <v>-9.59</v>
      </c>
      <c r="G2781" s="521">
        <v>7.5</v>
      </c>
      <c r="H2781" s="524">
        <v>1.3083000000000001E-3</v>
      </c>
      <c r="I2781" s="523">
        <v>-0.09</v>
      </c>
      <c r="J2781" s="523">
        <v>-0.15</v>
      </c>
    </row>
    <row r="2782" spans="1:10" s="559" customFormat="1">
      <c r="A2782" s="521" t="s">
        <v>318</v>
      </c>
      <c r="B2782" s="522" t="s">
        <v>710</v>
      </c>
      <c r="C2782" s="423" t="s">
        <v>439</v>
      </c>
      <c r="D2782" s="521" t="s">
        <v>711</v>
      </c>
      <c r="E2782" s="522">
        <v>201609</v>
      </c>
      <c r="F2782" s="523">
        <v>0.16</v>
      </c>
      <c r="G2782" s="521">
        <v>7.5</v>
      </c>
      <c r="H2782" s="524">
        <v>1.3083000000000001E-3</v>
      </c>
      <c r="I2782" s="523">
        <v>0</v>
      </c>
      <c r="J2782" s="523">
        <v>0</v>
      </c>
    </row>
    <row r="2783" spans="1:10" s="559" customFormat="1">
      <c r="A2783" s="521" t="s">
        <v>318</v>
      </c>
      <c r="B2783" s="522" t="s">
        <v>712</v>
      </c>
      <c r="C2783" s="423" t="s">
        <v>331</v>
      </c>
      <c r="D2783" s="521" t="s">
        <v>713</v>
      </c>
      <c r="E2783" s="522">
        <v>201609</v>
      </c>
      <c r="F2783" s="523">
        <v>317.7</v>
      </c>
      <c r="G2783" s="521">
        <v>7.5</v>
      </c>
      <c r="H2783" s="524">
        <v>1.3083000000000001E-3</v>
      </c>
      <c r="I2783" s="523">
        <v>3.12</v>
      </c>
      <c r="J2783" s="523">
        <v>4.99</v>
      </c>
    </row>
    <row r="2784" spans="1:10" s="559" customFormat="1">
      <c r="A2784" s="521" t="s">
        <v>318</v>
      </c>
      <c r="B2784" s="522" t="s">
        <v>822</v>
      </c>
      <c r="C2784" s="423" t="s">
        <v>330</v>
      </c>
      <c r="D2784" s="521" t="s">
        <v>823</v>
      </c>
      <c r="E2784" s="522">
        <v>201609</v>
      </c>
      <c r="F2784" s="523">
        <v>-135402</v>
      </c>
      <c r="G2784" s="521">
        <v>7.5</v>
      </c>
      <c r="H2784" s="524">
        <v>1.3083000000000001E-3</v>
      </c>
      <c r="I2784" s="523">
        <v>-1328.6</v>
      </c>
      <c r="J2784" s="523">
        <v>-2125.7600000000002</v>
      </c>
    </row>
    <row r="2785" spans="1:10" s="559" customFormat="1">
      <c r="A2785" s="521" t="s">
        <v>318</v>
      </c>
      <c r="B2785" s="522" t="s">
        <v>822</v>
      </c>
      <c r="C2785" s="423" t="s">
        <v>330</v>
      </c>
      <c r="D2785" s="521" t="s">
        <v>823</v>
      </c>
      <c r="E2785" s="522">
        <v>201609</v>
      </c>
      <c r="F2785" s="523">
        <v>169705.76</v>
      </c>
      <c r="G2785" s="521">
        <v>7.5</v>
      </c>
      <c r="H2785" s="524">
        <v>1.3083000000000001E-3</v>
      </c>
      <c r="I2785" s="523">
        <v>1665.2</v>
      </c>
      <c r="J2785" s="523">
        <v>2664.31</v>
      </c>
    </row>
    <row r="2786" spans="1:10" s="559" customFormat="1">
      <c r="A2786" s="521" t="s">
        <v>318</v>
      </c>
      <c r="B2786" s="522" t="s">
        <v>690</v>
      </c>
      <c r="C2786" s="423" t="s">
        <v>330</v>
      </c>
      <c r="D2786" s="521" t="s">
        <v>691</v>
      </c>
      <c r="E2786" s="522">
        <v>201609</v>
      </c>
      <c r="F2786" s="523">
        <v>2337.06</v>
      </c>
      <c r="G2786" s="521">
        <v>7.5</v>
      </c>
      <c r="H2786" s="524">
        <v>1.3083000000000001E-3</v>
      </c>
      <c r="I2786" s="523">
        <v>22.93</v>
      </c>
      <c r="J2786" s="523">
        <v>36.69</v>
      </c>
    </row>
    <row r="2787" spans="1:10" s="559" customFormat="1">
      <c r="A2787" s="521" t="s">
        <v>318</v>
      </c>
      <c r="B2787" s="522" t="s">
        <v>973</v>
      </c>
      <c r="C2787" s="423" t="s">
        <v>330</v>
      </c>
      <c r="D2787" s="521" t="s">
        <v>974</v>
      </c>
      <c r="E2787" s="522">
        <v>201609</v>
      </c>
      <c r="F2787" s="523">
        <v>3249.13</v>
      </c>
      <c r="G2787" s="521">
        <v>7.5</v>
      </c>
      <c r="H2787" s="524">
        <v>1.3083000000000001E-3</v>
      </c>
      <c r="I2787" s="523">
        <v>31.88</v>
      </c>
      <c r="J2787" s="523">
        <v>51.01</v>
      </c>
    </row>
    <row r="2788" spans="1:10" s="559" customFormat="1">
      <c r="A2788" s="521" t="s">
        <v>318</v>
      </c>
      <c r="B2788" s="522" t="s">
        <v>868</v>
      </c>
      <c r="C2788" s="423" t="s">
        <v>330</v>
      </c>
      <c r="D2788" s="521" t="s">
        <v>869</v>
      </c>
      <c r="E2788" s="522">
        <v>201609</v>
      </c>
      <c r="F2788" s="523">
        <v>6319.48</v>
      </c>
      <c r="G2788" s="521">
        <v>7.5</v>
      </c>
      <c r="H2788" s="524">
        <v>1.3083000000000001E-3</v>
      </c>
      <c r="I2788" s="523">
        <v>62.01</v>
      </c>
      <c r="J2788" s="523">
        <v>99.21</v>
      </c>
    </row>
    <row r="2789" spans="1:10" s="559" customFormat="1">
      <c r="A2789" s="521" t="s">
        <v>318</v>
      </c>
      <c r="B2789" s="522" t="s">
        <v>625</v>
      </c>
      <c r="C2789" s="423" t="s">
        <v>331</v>
      </c>
      <c r="D2789" s="521" t="s">
        <v>626</v>
      </c>
      <c r="E2789" s="522">
        <v>201609</v>
      </c>
      <c r="F2789" s="523">
        <v>0.33</v>
      </c>
      <c r="G2789" s="521">
        <v>7.5</v>
      </c>
      <c r="H2789" s="524">
        <v>1.3083000000000001E-3</v>
      </c>
      <c r="I2789" s="523">
        <v>0</v>
      </c>
      <c r="J2789" s="523">
        <v>0.01</v>
      </c>
    </row>
    <row r="2790" spans="1:10" s="559" customFormat="1">
      <c r="A2790" s="521" t="s">
        <v>318</v>
      </c>
      <c r="B2790" s="522" t="s">
        <v>692</v>
      </c>
      <c r="C2790" s="423" t="s">
        <v>330</v>
      </c>
      <c r="D2790" s="521" t="s">
        <v>693</v>
      </c>
      <c r="E2790" s="522">
        <v>201609</v>
      </c>
      <c r="F2790" s="523">
        <v>24.04</v>
      </c>
      <c r="G2790" s="521">
        <v>7.5</v>
      </c>
      <c r="H2790" s="524">
        <v>1.3083000000000001E-3</v>
      </c>
      <c r="I2790" s="523">
        <v>0.24</v>
      </c>
      <c r="J2790" s="523">
        <v>0.38</v>
      </c>
    </row>
    <row r="2791" spans="1:10" s="559" customFormat="1">
      <c r="A2791" s="521" t="s">
        <v>318</v>
      </c>
      <c r="B2791" s="522" t="s">
        <v>694</v>
      </c>
      <c r="C2791" s="423" t="s">
        <v>330</v>
      </c>
      <c r="D2791" s="521" t="s">
        <v>695</v>
      </c>
      <c r="E2791" s="522">
        <v>201609</v>
      </c>
      <c r="F2791" s="523">
        <v>1.18</v>
      </c>
      <c r="G2791" s="521">
        <v>7.5</v>
      </c>
      <c r="H2791" s="524">
        <v>1.3083000000000001E-3</v>
      </c>
      <c r="I2791" s="523">
        <v>0.01</v>
      </c>
      <c r="J2791" s="523">
        <v>0.02</v>
      </c>
    </row>
    <row r="2792" spans="1:10" s="559" customFormat="1">
      <c r="A2792" s="521" t="s">
        <v>318</v>
      </c>
      <c r="B2792" s="522" t="s">
        <v>696</v>
      </c>
      <c r="C2792" s="423" t="s">
        <v>330</v>
      </c>
      <c r="D2792" s="521" t="s">
        <v>697</v>
      </c>
      <c r="E2792" s="522">
        <v>201609</v>
      </c>
      <c r="F2792" s="523">
        <v>-0.11</v>
      </c>
      <c r="G2792" s="521">
        <v>7.5</v>
      </c>
      <c r="H2792" s="524">
        <v>1.3083000000000001E-3</v>
      </c>
      <c r="I2792" s="523">
        <v>0</v>
      </c>
      <c r="J2792" s="523">
        <v>0</v>
      </c>
    </row>
    <row r="2793" spans="1:10" s="559" customFormat="1">
      <c r="A2793" s="521" t="s">
        <v>318</v>
      </c>
      <c r="B2793" s="522" t="s">
        <v>698</v>
      </c>
      <c r="C2793" s="423" t="s">
        <v>330</v>
      </c>
      <c r="D2793" s="521" t="s">
        <v>699</v>
      </c>
      <c r="E2793" s="522">
        <v>201609</v>
      </c>
      <c r="F2793" s="523">
        <v>80.25</v>
      </c>
      <c r="G2793" s="521">
        <v>7.5</v>
      </c>
      <c r="H2793" s="524">
        <v>1.3083000000000001E-3</v>
      </c>
      <c r="I2793" s="523">
        <v>0.79</v>
      </c>
      <c r="J2793" s="523">
        <v>1.26</v>
      </c>
    </row>
    <row r="2794" spans="1:10" s="559" customFormat="1">
      <c r="A2794" s="521" t="s">
        <v>318</v>
      </c>
      <c r="B2794" s="522" t="s">
        <v>700</v>
      </c>
      <c r="C2794" s="423" t="s">
        <v>330</v>
      </c>
      <c r="D2794" s="521" t="s">
        <v>701</v>
      </c>
      <c r="E2794" s="522">
        <v>201609</v>
      </c>
      <c r="F2794" s="523">
        <v>354.09</v>
      </c>
      <c r="G2794" s="521">
        <v>7.5</v>
      </c>
      <c r="H2794" s="524">
        <v>1.3083000000000001E-3</v>
      </c>
      <c r="I2794" s="523">
        <v>3.47</v>
      </c>
      <c r="J2794" s="523">
        <v>5.56</v>
      </c>
    </row>
    <row r="2795" spans="1:10" s="559" customFormat="1">
      <c r="A2795" s="521" t="s">
        <v>318</v>
      </c>
      <c r="B2795" s="522" t="s">
        <v>794</v>
      </c>
      <c r="C2795" s="423" t="s">
        <v>330</v>
      </c>
      <c r="D2795" s="521" t="s">
        <v>795</v>
      </c>
      <c r="E2795" s="522">
        <v>201609</v>
      </c>
      <c r="F2795" s="523">
        <v>464.01</v>
      </c>
      <c r="G2795" s="521">
        <v>7.5</v>
      </c>
      <c r="H2795" s="524">
        <v>1.3083000000000001E-3</v>
      </c>
      <c r="I2795" s="523">
        <v>4.55</v>
      </c>
      <c r="J2795" s="523">
        <v>7.28</v>
      </c>
    </row>
    <row r="2796" spans="1:10" s="559" customFormat="1">
      <c r="A2796" s="521" t="s">
        <v>318</v>
      </c>
      <c r="B2796" s="522" t="s">
        <v>975</v>
      </c>
      <c r="C2796" s="423" t="s">
        <v>330</v>
      </c>
      <c r="D2796" s="521" t="s">
        <v>976</v>
      </c>
      <c r="E2796" s="522">
        <v>201609</v>
      </c>
      <c r="F2796" s="523">
        <v>2138.7399999999998</v>
      </c>
      <c r="G2796" s="521">
        <v>7.5</v>
      </c>
      <c r="H2796" s="524">
        <v>1.3083000000000001E-3</v>
      </c>
      <c r="I2796" s="523">
        <v>20.99</v>
      </c>
      <c r="J2796" s="523">
        <v>33.58</v>
      </c>
    </row>
    <row r="2797" spans="1:10" s="559" customFormat="1">
      <c r="A2797" s="521" t="s">
        <v>318</v>
      </c>
      <c r="B2797" s="522" t="s">
        <v>852</v>
      </c>
      <c r="C2797" s="423" t="s">
        <v>330</v>
      </c>
      <c r="D2797" s="521" t="s">
        <v>853</v>
      </c>
      <c r="E2797" s="522">
        <v>201609</v>
      </c>
      <c r="F2797" s="523">
        <v>593.83000000000004</v>
      </c>
      <c r="G2797" s="521">
        <v>7.5</v>
      </c>
      <c r="H2797" s="524">
        <v>1.3083000000000001E-3</v>
      </c>
      <c r="I2797" s="523">
        <v>5.83</v>
      </c>
      <c r="J2797" s="523">
        <v>9.32</v>
      </c>
    </row>
    <row r="2798" spans="1:10" s="559" customFormat="1">
      <c r="A2798" s="521" t="s">
        <v>318</v>
      </c>
      <c r="B2798" s="522" t="s">
        <v>870</v>
      </c>
      <c r="C2798" s="423" t="s">
        <v>330</v>
      </c>
      <c r="D2798" s="521" t="s">
        <v>871</v>
      </c>
      <c r="E2798" s="522">
        <v>201609</v>
      </c>
      <c r="F2798" s="523">
        <v>75.31</v>
      </c>
      <c r="G2798" s="521">
        <v>7.5</v>
      </c>
      <c r="H2798" s="524">
        <v>1.3083000000000001E-3</v>
      </c>
      <c r="I2798" s="523">
        <v>0.74</v>
      </c>
      <c r="J2798" s="523">
        <v>1.18</v>
      </c>
    </row>
    <row r="2799" spans="1:10" s="559" customFormat="1">
      <c r="A2799" s="521" t="s">
        <v>318</v>
      </c>
      <c r="B2799" s="522" t="s">
        <v>1039</v>
      </c>
      <c r="C2799" s="423" t="s">
        <v>330</v>
      </c>
      <c r="D2799" s="521" t="s">
        <v>1040</v>
      </c>
      <c r="E2799" s="522">
        <v>201609</v>
      </c>
      <c r="F2799" s="523">
        <v>138812.71</v>
      </c>
      <c r="G2799" s="521">
        <v>7.5</v>
      </c>
      <c r="H2799" s="524">
        <v>1.3083000000000001E-3</v>
      </c>
      <c r="I2799" s="523">
        <v>1362.07</v>
      </c>
      <c r="J2799" s="523">
        <v>2179.3000000000002</v>
      </c>
    </row>
    <row r="2800" spans="1:10" s="559" customFormat="1">
      <c r="A2800" s="521" t="s">
        <v>318</v>
      </c>
      <c r="B2800" s="522" t="s">
        <v>872</v>
      </c>
      <c r="C2800" s="423" t="s">
        <v>330</v>
      </c>
      <c r="D2800" s="521" t="s">
        <v>873</v>
      </c>
      <c r="E2800" s="522">
        <v>201609</v>
      </c>
      <c r="F2800" s="523">
        <v>1141.06</v>
      </c>
      <c r="G2800" s="521">
        <v>7.5</v>
      </c>
      <c r="H2800" s="524">
        <v>1.3083000000000001E-3</v>
      </c>
      <c r="I2800" s="523">
        <v>11.2</v>
      </c>
      <c r="J2800" s="523">
        <v>17.91</v>
      </c>
    </row>
    <row r="2801" spans="1:10" s="559" customFormat="1">
      <c r="A2801" s="521" t="s">
        <v>318</v>
      </c>
      <c r="B2801" s="522" t="s">
        <v>977</v>
      </c>
      <c r="C2801" s="423" t="s">
        <v>330</v>
      </c>
      <c r="D2801" s="521" t="s">
        <v>978</v>
      </c>
      <c r="E2801" s="522">
        <v>201609</v>
      </c>
      <c r="F2801" s="523">
        <v>1570.5</v>
      </c>
      <c r="G2801" s="521">
        <v>7.5</v>
      </c>
      <c r="H2801" s="524">
        <v>1.3083000000000001E-3</v>
      </c>
      <c r="I2801" s="523">
        <v>15.41</v>
      </c>
      <c r="J2801" s="523">
        <v>24.66</v>
      </c>
    </row>
    <row r="2802" spans="1:10" s="559" customFormat="1">
      <c r="A2802" s="521" t="s">
        <v>318</v>
      </c>
      <c r="B2802" s="522" t="s">
        <v>826</v>
      </c>
      <c r="C2802" s="423" t="s">
        <v>330</v>
      </c>
      <c r="D2802" s="521" t="s">
        <v>827</v>
      </c>
      <c r="E2802" s="522">
        <v>201609</v>
      </c>
      <c r="F2802" s="523">
        <v>31785.03</v>
      </c>
      <c r="G2802" s="521">
        <v>7.5</v>
      </c>
      <c r="H2802" s="524">
        <v>1.3083000000000001E-3</v>
      </c>
      <c r="I2802" s="523">
        <v>311.88</v>
      </c>
      <c r="J2802" s="523">
        <v>499.01</v>
      </c>
    </row>
    <row r="2803" spans="1:10" s="559" customFormat="1">
      <c r="A2803" s="521" t="s">
        <v>318</v>
      </c>
      <c r="B2803" s="522" t="s">
        <v>1041</v>
      </c>
      <c r="C2803" s="423" t="s">
        <v>330</v>
      </c>
      <c r="D2803" s="521" t="s">
        <v>1042</v>
      </c>
      <c r="E2803" s="522">
        <v>201609</v>
      </c>
      <c r="F2803" s="523">
        <v>52185.4</v>
      </c>
      <c r="G2803" s="521">
        <v>7.5</v>
      </c>
      <c r="H2803" s="524">
        <v>1.3083000000000001E-3</v>
      </c>
      <c r="I2803" s="523">
        <v>512.05999999999995</v>
      </c>
      <c r="J2803" s="523">
        <v>819.29</v>
      </c>
    </row>
    <row r="2804" spans="1:10" s="559" customFormat="1">
      <c r="A2804" s="521" t="s">
        <v>318</v>
      </c>
      <c r="B2804" s="522" t="s">
        <v>979</v>
      </c>
      <c r="C2804" s="423" t="s">
        <v>330</v>
      </c>
      <c r="D2804" s="521" t="s">
        <v>980</v>
      </c>
      <c r="E2804" s="522">
        <v>201609</v>
      </c>
      <c r="F2804" s="523">
        <v>1736.37</v>
      </c>
      <c r="G2804" s="521">
        <v>7.5</v>
      </c>
      <c r="H2804" s="524">
        <v>1.3083000000000001E-3</v>
      </c>
      <c r="I2804" s="523">
        <v>17.04</v>
      </c>
      <c r="J2804" s="523">
        <v>27.26</v>
      </c>
    </row>
    <row r="2805" spans="1:10" s="559" customFormat="1">
      <c r="A2805" s="521" t="s">
        <v>318</v>
      </c>
      <c r="B2805" s="522" t="s">
        <v>981</v>
      </c>
      <c r="C2805" s="423" t="s">
        <v>330</v>
      </c>
      <c r="D2805" s="521" t="s">
        <v>1014</v>
      </c>
      <c r="E2805" s="522">
        <v>201609</v>
      </c>
      <c r="F2805" s="523">
        <v>2339.34</v>
      </c>
      <c r="G2805" s="521">
        <v>7.5</v>
      </c>
      <c r="H2805" s="524">
        <v>1.3083000000000001E-3</v>
      </c>
      <c r="I2805" s="523">
        <v>22.95</v>
      </c>
      <c r="J2805" s="523">
        <v>36.729999999999997</v>
      </c>
    </row>
    <row r="2806" spans="1:10" s="559" customFormat="1">
      <c r="A2806" s="521" t="s">
        <v>318</v>
      </c>
      <c r="B2806" s="522" t="s">
        <v>874</v>
      </c>
      <c r="C2806" s="423" t="s">
        <v>330</v>
      </c>
      <c r="D2806" s="521" t="s">
        <v>875</v>
      </c>
      <c r="E2806" s="522">
        <v>201609</v>
      </c>
      <c r="F2806" s="523">
        <v>1734.59</v>
      </c>
      <c r="G2806" s="521">
        <v>7.5</v>
      </c>
      <c r="H2806" s="524">
        <v>1.3083000000000001E-3</v>
      </c>
      <c r="I2806" s="523">
        <v>17.02</v>
      </c>
      <c r="J2806" s="523">
        <v>27.23</v>
      </c>
    </row>
    <row r="2807" spans="1:10" s="559" customFormat="1">
      <c r="A2807" s="521" t="s">
        <v>318</v>
      </c>
      <c r="B2807" s="522" t="s">
        <v>983</v>
      </c>
      <c r="C2807" s="423" t="s">
        <v>330</v>
      </c>
      <c r="D2807" s="521" t="s">
        <v>984</v>
      </c>
      <c r="E2807" s="522">
        <v>201609</v>
      </c>
      <c r="F2807" s="523">
        <v>2715.25</v>
      </c>
      <c r="G2807" s="521">
        <v>7.5</v>
      </c>
      <c r="H2807" s="524">
        <v>1.3083000000000001E-3</v>
      </c>
      <c r="I2807" s="523">
        <v>26.64</v>
      </c>
      <c r="J2807" s="523">
        <v>42.63</v>
      </c>
    </row>
    <row r="2808" spans="1:10" s="559" customFormat="1">
      <c r="A2808" s="521" t="s">
        <v>318</v>
      </c>
      <c r="B2808" s="522" t="s">
        <v>1043</v>
      </c>
      <c r="C2808" s="423" t="s">
        <v>330</v>
      </c>
      <c r="D2808" s="521" t="s">
        <v>1044</v>
      </c>
      <c r="E2808" s="522">
        <v>201609</v>
      </c>
      <c r="F2808" s="523">
        <v>6911.79</v>
      </c>
      <c r="G2808" s="521">
        <v>7.5</v>
      </c>
      <c r="H2808" s="524">
        <v>1.3083000000000001E-3</v>
      </c>
      <c r="I2808" s="523">
        <v>67.819999999999993</v>
      </c>
      <c r="J2808" s="523">
        <v>108.51</v>
      </c>
    </row>
    <row r="2809" spans="1:10" s="559" customFormat="1">
      <c r="A2809" s="521" t="s">
        <v>318</v>
      </c>
      <c r="B2809" s="522" t="s">
        <v>876</v>
      </c>
      <c r="C2809" s="423" t="s">
        <v>330</v>
      </c>
      <c r="D2809" s="521" t="s">
        <v>877</v>
      </c>
      <c r="E2809" s="522">
        <v>201609</v>
      </c>
      <c r="F2809" s="523">
        <v>3139.63</v>
      </c>
      <c r="G2809" s="521">
        <v>7.5</v>
      </c>
      <c r="H2809" s="524">
        <v>1.3083000000000001E-3</v>
      </c>
      <c r="I2809" s="523">
        <v>30.81</v>
      </c>
      <c r="J2809" s="523">
        <v>49.29</v>
      </c>
    </row>
    <row r="2810" spans="1:10" s="559" customFormat="1">
      <c r="A2810" s="521" t="s">
        <v>318</v>
      </c>
      <c r="B2810" s="522" t="s">
        <v>1045</v>
      </c>
      <c r="C2810" s="423" t="s">
        <v>330</v>
      </c>
      <c r="D2810" s="521" t="s">
        <v>1046</v>
      </c>
      <c r="E2810" s="522">
        <v>201609</v>
      </c>
      <c r="F2810" s="523">
        <v>90318.02</v>
      </c>
      <c r="G2810" s="521">
        <v>7.5</v>
      </c>
      <c r="H2810" s="524">
        <v>1.3083000000000001E-3</v>
      </c>
      <c r="I2810" s="523">
        <v>886.22</v>
      </c>
      <c r="J2810" s="523">
        <v>1417.96</v>
      </c>
    </row>
    <row r="2811" spans="1:10" s="559" customFormat="1">
      <c r="A2811" s="521" t="s">
        <v>318</v>
      </c>
      <c r="B2811" s="522" t="s">
        <v>985</v>
      </c>
      <c r="C2811" s="423" t="s">
        <v>330</v>
      </c>
      <c r="D2811" s="521" t="s">
        <v>986</v>
      </c>
      <c r="E2811" s="522">
        <v>201609</v>
      </c>
      <c r="F2811" s="523">
        <v>325.77</v>
      </c>
      <c r="G2811" s="521">
        <v>7.5</v>
      </c>
      <c r="H2811" s="524">
        <v>1.3083000000000001E-3</v>
      </c>
      <c r="I2811" s="523">
        <v>3.2</v>
      </c>
      <c r="J2811" s="523">
        <v>5.1100000000000003</v>
      </c>
    </row>
    <row r="2812" spans="1:10" s="559" customFormat="1">
      <c r="A2812" s="521" t="s">
        <v>318</v>
      </c>
      <c r="B2812" s="522" t="s">
        <v>878</v>
      </c>
      <c r="C2812" s="423" t="s">
        <v>330</v>
      </c>
      <c r="D2812" s="521" t="s">
        <v>879</v>
      </c>
      <c r="E2812" s="522">
        <v>201609</v>
      </c>
      <c r="F2812" s="523">
        <v>1670.1</v>
      </c>
      <c r="G2812" s="521">
        <v>7.5</v>
      </c>
      <c r="H2812" s="524">
        <v>1.3083000000000001E-3</v>
      </c>
      <c r="I2812" s="523">
        <v>16.39</v>
      </c>
      <c r="J2812" s="523">
        <v>26.22</v>
      </c>
    </row>
    <row r="2813" spans="1:10" s="559" customFormat="1">
      <c r="A2813" s="521" t="s">
        <v>318</v>
      </c>
      <c r="B2813" s="522" t="s">
        <v>987</v>
      </c>
      <c r="C2813" s="423" t="s">
        <v>330</v>
      </c>
      <c r="D2813" s="521" t="s">
        <v>988</v>
      </c>
      <c r="E2813" s="522">
        <v>201609</v>
      </c>
      <c r="F2813" s="523">
        <v>-2429.2399999999998</v>
      </c>
      <c r="G2813" s="521">
        <v>7.5</v>
      </c>
      <c r="H2813" s="524">
        <v>1.3083000000000001E-3</v>
      </c>
      <c r="I2813" s="523">
        <v>-23.84</v>
      </c>
      <c r="J2813" s="523">
        <v>-38.14</v>
      </c>
    </row>
    <row r="2814" spans="1:10" s="559" customFormat="1">
      <c r="A2814" s="521" t="s">
        <v>318</v>
      </c>
      <c r="B2814" s="522" t="s">
        <v>989</v>
      </c>
      <c r="C2814" s="423" t="s">
        <v>330</v>
      </c>
      <c r="D2814" s="521" t="s">
        <v>990</v>
      </c>
      <c r="E2814" s="522">
        <v>201609</v>
      </c>
      <c r="F2814" s="523">
        <v>2127.8000000000002</v>
      </c>
      <c r="G2814" s="521">
        <v>7.5</v>
      </c>
      <c r="H2814" s="524">
        <v>1.3083000000000001E-3</v>
      </c>
      <c r="I2814" s="523">
        <v>20.88</v>
      </c>
      <c r="J2814" s="523">
        <v>33.409999999999997</v>
      </c>
    </row>
    <row r="2815" spans="1:10" s="559" customFormat="1">
      <c r="A2815" s="521" t="s">
        <v>318</v>
      </c>
      <c r="B2815" s="522" t="s">
        <v>991</v>
      </c>
      <c r="C2815" s="423" t="s">
        <v>330</v>
      </c>
      <c r="D2815" s="521" t="s">
        <v>992</v>
      </c>
      <c r="E2815" s="522">
        <v>201609</v>
      </c>
      <c r="F2815" s="523">
        <v>365.52</v>
      </c>
      <c r="G2815" s="521">
        <v>7.5</v>
      </c>
      <c r="H2815" s="524">
        <v>1.3083000000000001E-3</v>
      </c>
      <c r="I2815" s="523">
        <v>3.59</v>
      </c>
      <c r="J2815" s="523">
        <v>5.74</v>
      </c>
    </row>
    <row r="2816" spans="1:10" s="559" customFormat="1">
      <c r="A2816" s="521" t="s">
        <v>318</v>
      </c>
      <c r="B2816" s="522" t="s">
        <v>993</v>
      </c>
      <c r="C2816" s="423" t="s">
        <v>330</v>
      </c>
      <c r="D2816" s="521" t="s">
        <v>994</v>
      </c>
      <c r="E2816" s="522">
        <v>201609</v>
      </c>
      <c r="F2816" s="523">
        <v>1791.11</v>
      </c>
      <c r="G2816" s="521">
        <v>7.5</v>
      </c>
      <c r="H2816" s="524">
        <v>1.3083000000000001E-3</v>
      </c>
      <c r="I2816" s="523">
        <v>17.57</v>
      </c>
      <c r="J2816" s="523">
        <v>28.12</v>
      </c>
    </row>
    <row r="2817" spans="1:10" s="559" customFormat="1">
      <c r="A2817" s="521" t="s">
        <v>318</v>
      </c>
      <c r="B2817" s="522" t="s">
        <v>891</v>
      </c>
      <c r="C2817" s="423" t="s">
        <v>331</v>
      </c>
      <c r="D2817" s="521" t="s">
        <v>892</v>
      </c>
      <c r="E2817" s="522">
        <v>201609</v>
      </c>
      <c r="F2817" s="523">
        <v>115.49</v>
      </c>
      <c r="G2817" s="521">
        <v>7.5</v>
      </c>
      <c r="H2817" s="524">
        <v>1.3083000000000001E-3</v>
      </c>
      <c r="I2817" s="523">
        <v>1.1299999999999999</v>
      </c>
      <c r="J2817" s="523">
        <v>1.81</v>
      </c>
    </row>
    <row r="2818" spans="1:10" s="559" customFormat="1">
      <c r="A2818" s="521" t="s">
        <v>318</v>
      </c>
      <c r="B2818" s="522" t="s">
        <v>882</v>
      </c>
      <c r="C2818" s="423" t="s">
        <v>330</v>
      </c>
      <c r="D2818" s="521" t="s">
        <v>995</v>
      </c>
      <c r="E2818" s="522">
        <v>201609</v>
      </c>
      <c r="F2818" s="523">
        <v>1915.44</v>
      </c>
      <c r="G2818" s="521">
        <v>7.5</v>
      </c>
      <c r="H2818" s="524">
        <v>1.3083000000000001E-3</v>
      </c>
      <c r="I2818" s="523">
        <v>18.79</v>
      </c>
      <c r="J2818" s="523">
        <v>30.07</v>
      </c>
    </row>
    <row r="2819" spans="1:10" s="559" customFormat="1">
      <c r="A2819" s="521" t="s">
        <v>318</v>
      </c>
      <c r="B2819" s="522" t="s">
        <v>996</v>
      </c>
      <c r="C2819" s="423" t="s">
        <v>330</v>
      </c>
      <c r="D2819" s="521" t="s">
        <v>997</v>
      </c>
      <c r="E2819" s="522">
        <v>201609</v>
      </c>
      <c r="F2819" s="523">
        <v>7625.89</v>
      </c>
      <c r="G2819" s="521">
        <v>7.5</v>
      </c>
      <c r="H2819" s="524">
        <v>1.3083000000000001E-3</v>
      </c>
      <c r="I2819" s="523">
        <v>74.83</v>
      </c>
      <c r="J2819" s="523">
        <v>119.72</v>
      </c>
    </row>
    <row r="2820" spans="1:10" s="559" customFormat="1">
      <c r="A2820" s="521" t="s">
        <v>318</v>
      </c>
      <c r="B2820" s="522" t="s">
        <v>854</v>
      </c>
      <c r="C2820" s="423" t="s">
        <v>330</v>
      </c>
      <c r="D2820" s="521" t="s">
        <v>855</v>
      </c>
      <c r="E2820" s="522">
        <v>201609</v>
      </c>
      <c r="F2820" s="523">
        <v>3359.64</v>
      </c>
      <c r="G2820" s="521">
        <v>7.5</v>
      </c>
      <c r="H2820" s="524">
        <v>1.3083000000000001E-3</v>
      </c>
      <c r="I2820" s="523">
        <v>32.97</v>
      </c>
      <c r="J2820" s="523">
        <v>52.75</v>
      </c>
    </row>
    <row r="2821" spans="1:10" s="559" customFormat="1">
      <c r="A2821" s="521" t="s">
        <v>318</v>
      </c>
      <c r="B2821" s="522" t="s">
        <v>1000</v>
      </c>
      <c r="C2821" s="423" t="s">
        <v>343</v>
      </c>
      <c r="D2821" s="521" t="s">
        <v>1001</v>
      </c>
      <c r="E2821" s="522">
        <v>201609</v>
      </c>
      <c r="F2821" s="523">
        <v>147.44</v>
      </c>
      <c r="G2821" s="521">
        <v>7.5</v>
      </c>
      <c r="H2821" s="524">
        <v>1.3083000000000001E-3</v>
      </c>
      <c r="I2821" s="523">
        <v>1.45</v>
      </c>
      <c r="J2821" s="523">
        <v>2.31</v>
      </c>
    </row>
    <row r="2822" spans="1:10" s="559" customFormat="1">
      <c r="A2822" s="521" t="s">
        <v>318</v>
      </c>
      <c r="B2822" s="522" t="s">
        <v>887</v>
      </c>
      <c r="C2822" s="423" t="s">
        <v>330</v>
      </c>
      <c r="D2822" s="521" t="s">
        <v>888</v>
      </c>
      <c r="E2822" s="522">
        <v>201609</v>
      </c>
      <c r="F2822" s="523">
        <v>113.88</v>
      </c>
      <c r="G2822" s="521">
        <v>7.5</v>
      </c>
      <c r="H2822" s="524">
        <v>1.3083000000000001E-3</v>
      </c>
      <c r="I2822" s="523">
        <v>1.1200000000000001</v>
      </c>
      <c r="J2822" s="523">
        <v>1.79</v>
      </c>
    </row>
    <row r="2823" spans="1:10" s="559" customFormat="1">
      <c r="A2823" s="521" t="s">
        <v>318</v>
      </c>
      <c r="B2823" s="522" t="s">
        <v>1004</v>
      </c>
      <c r="C2823" s="423" t="s">
        <v>330</v>
      </c>
      <c r="D2823" s="521" t="s">
        <v>1005</v>
      </c>
      <c r="E2823" s="522">
        <v>201609</v>
      </c>
      <c r="F2823" s="523">
        <v>18.7</v>
      </c>
      <c r="G2823" s="521">
        <v>7.5</v>
      </c>
      <c r="H2823" s="524">
        <v>1.3083000000000001E-3</v>
      </c>
      <c r="I2823" s="523">
        <v>0.18</v>
      </c>
      <c r="J2823" s="523">
        <v>0.28999999999999998</v>
      </c>
    </row>
    <row r="2824" spans="1:10" s="559" customFormat="1">
      <c r="A2824" s="521" t="s">
        <v>318</v>
      </c>
      <c r="B2824" s="522" t="s">
        <v>895</v>
      </c>
      <c r="C2824" s="423" t="s">
        <v>343</v>
      </c>
      <c r="D2824" s="521" t="s">
        <v>896</v>
      </c>
      <c r="E2824" s="522">
        <v>201609</v>
      </c>
      <c r="F2824" s="523">
        <v>121.76</v>
      </c>
      <c r="G2824" s="521">
        <v>7.5</v>
      </c>
      <c r="H2824" s="524">
        <v>1.3083000000000001E-3</v>
      </c>
      <c r="I2824" s="523">
        <v>1.19</v>
      </c>
      <c r="J2824" s="523">
        <v>1.91</v>
      </c>
    </row>
    <row r="2825" spans="1:10" s="559" customFormat="1">
      <c r="A2825" s="521" t="s">
        <v>318</v>
      </c>
      <c r="B2825" s="522" t="s">
        <v>1051</v>
      </c>
      <c r="C2825" s="423" t="s">
        <v>331</v>
      </c>
      <c r="D2825" s="521" t="s">
        <v>1052</v>
      </c>
      <c r="E2825" s="522">
        <v>201609</v>
      </c>
      <c r="F2825" s="523">
        <v>17452.75</v>
      </c>
      <c r="G2825" s="521">
        <v>7.5</v>
      </c>
      <c r="H2825" s="524">
        <v>1.3083000000000001E-3</v>
      </c>
      <c r="I2825" s="523">
        <v>171.25</v>
      </c>
      <c r="J2825" s="523">
        <v>274</v>
      </c>
    </row>
    <row r="2826" spans="1:10" s="559" customFormat="1">
      <c r="A2826" s="521" t="s">
        <v>318</v>
      </c>
      <c r="B2826" s="522" t="s">
        <v>1049</v>
      </c>
      <c r="C2826" s="423" t="s">
        <v>330</v>
      </c>
      <c r="D2826" s="521" t="s">
        <v>1050</v>
      </c>
      <c r="E2826" s="522">
        <v>201609</v>
      </c>
      <c r="F2826" s="523">
        <v>11534.59</v>
      </c>
      <c r="G2826" s="521">
        <v>7.5</v>
      </c>
      <c r="H2826" s="524">
        <v>1.3083000000000001E-3</v>
      </c>
      <c r="I2826" s="523">
        <v>113.18</v>
      </c>
      <c r="J2826" s="523">
        <v>181.09</v>
      </c>
    </row>
    <row r="2827" spans="1:10" s="559" customFormat="1">
      <c r="A2827" s="521" t="s">
        <v>318</v>
      </c>
      <c r="B2827" s="522" t="s">
        <v>1053</v>
      </c>
      <c r="C2827" s="423" t="s">
        <v>331</v>
      </c>
      <c r="D2827" s="521" t="s">
        <v>1054</v>
      </c>
      <c r="E2827" s="522">
        <v>201609</v>
      </c>
      <c r="F2827" s="523">
        <v>1915.07</v>
      </c>
      <c r="G2827" s="521">
        <v>7.5</v>
      </c>
      <c r="H2827" s="524">
        <v>1.3083000000000001E-3</v>
      </c>
      <c r="I2827" s="523">
        <v>18.79</v>
      </c>
      <c r="J2827" s="523">
        <v>30.07</v>
      </c>
    </row>
    <row r="2828" spans="1:10" s="559" customFormat="1">
      <c r="A2828" s="521" t="s">
        <v>318</v>
      </c>
      <c r="B2828" s="522" t="s">
        <v>941</v>
      </c>
      <c r="C2828" s="423" t="s">
        <v>330</v>
      </c>
      <c r="D2828" s="521" t="s">
        <v>942</v>
      </c>
      <c r="E2828" s="522">
        <v>201610</v>
      </c>
      <c r="F2828" s="523">
        <v>31.88</v>
      </c>
      <c r="G2828" s="521">
        <v>6.5</v>
      </c>
      <c r="H2828" s="524">
        <v>1.3083000000000001E-3</v>
      </c>
      <c r="I2828" s="523">
        <v>0.27</v>
      </c>
      <c r="J2828" s="523">
        <v>0.5</v>
      </c>
    </row>
    <row r="2829" spans="1:10" s="559" customFormat="1">
      <c r="A2829" s="521" t="s">
        <v>318</v>
      </c>
      <c r="B2829" s="522" t="s">
        <v>643</v>
      </c>
      <c r="C2829" s="423" t="s">
        <v>330</v>
      </c>
      <c r="D2829" s="521" t="s">
        <v>644</v>
      </c>
      <c r="E2829" s="522">
        <v>201610</v>
      </c>
      <c r="F2829" s="523">
        <v>220069</v>
      </c>
      <c r="G2829" s="521">
        <v>6.5</v>
      </c>
      <c r="H2829" s="524">
        <v>1.3083000000000001E-3</v>
      </c>
      <c r="I2829" s="523">
        <v>1871.46</v>
      </c>
      <c r="J2829" s="523">
        <v>3455</v>
      </c>
    </row>
    <row r="2830" spans="1:10" s="559" customFormat="1">
      <c r="A2830" s="521" t="s">
        <v>318</v>
      </c>
      <c r="B2830" s="522" t="s">
        <v>856</v>
      </c>
      <c r="C2830" s="423" t="s">
        <v>330</v>
      </c>
      <c r="D2830" s="521" t="s">
        <v>857</v>
      </c>
      <c r="E2830" s="522">
        <v>201610</v>
      </c>
      <c r="F2830" s="523">
        <v>1.41</v>
      </c>
      <c r="G2830" s="521">
        <v>6.5</v>
      </c>
      <c r="H2830" s="524">
        <v>1.3083000000000001E-3</v>
      </c>
      <c r="I2830" s="523">
        <v>0.01</v>
      </c>
      <c r="J2830" s="523">
        <v>0.02</v>
      </c>
    </row>
    <row r="2831" spans="1:10" s="559" customFormat="1">
      <c r="A2831" s="521" t="s">
        <v>318</v>
      </c>
      <c r="B2831" s="522" t="s">
        <v>629</v>
      </c>
      <c r="C2831" s="423" t="s">
        <v>330</v>
      </c>
      <c r="D2831" s="521" t="s">
        <v>630</v>
      </c>
      <c r="E2831" s="522">
        <v>201610</v>
      </c>
      <c r="F2831" s="523">
        <v>191.74</v>
      </c>
      <c r="G2831" s="521">
        <v>6.5</v>
      </c>
      <c r="H2831" s="524">
        <v>1.3083000000000001E-3</v>
      </c>
      <c r="I2831" s="523">
        <v>1.63</v>
      </c>
      <c r="J2831" s="523">
        <v>3.01</v>
      </c>
    </row>
    <row r="2832" spans="1:10" s="559" customFormat="1">
      <c r="A2832" s="521" t="s">
        <v>318</v>
      </c>
      <c r="B2832" s="522" t="s">
        <v>631</v>
      </c>
      <c r="C2832" s="423" t="s">
        <v>330</v>
      </c>
      <c r="D2832" s="521" t="s">
        <v>632</v>
      </c>
      <c r="E2832" s="522">
        <v>201610</v>
      </c>
      <c r="F2832" s="523">
        <v>3.55</v>
      </c>
      <c r="G2832" s="521">
        <v>6.5</v>
      </c>
      <c r="H2832" s="524">
        <v>1.3083000000000001E-3</v>
      </c>
      <c r="I2832" s="523">
        <v>0.03</v>
      </c>
      <c r="J2832" s="523">
        <v>0.06</v>
      </c>
    </row>
    <row r="2833" spans="1:10" s="559" customFormat="1">
      <c r="A2833" s="521" t="s">
        <v>318</v>
      </c>
      <c r="B2833" s="522" t="s">
        <v>805</v>
      </c>
      <c r="C2833" s="423" t="s">
        <v>330</v>
      </c>
      <c r="D2833" s="521" t="s">
        <v>806</v>
      </c>
      <c r="E2833" s="522">
        <v>201610</v>
      </c>
      <c r="F2833" s="523">
        <v>33.630000000000003</v>
      </c>
      <c r="G2833" s="521">
        <v>6.5</v>
      </c>
      <c r="H2833" s="524">
        <v>1.3083000000000001E-3</v>
      </c>
      <c r="I2833" s="523">
        <v>0.28999999999999998</v>
      </c>
      <c r="J2833" s="523">
        <v>0.53</v>
      </c>
    </row>
    <row r="2834" spans="1:10" s="559" customFormat="1">
      <c r="A2834" s="521" t="s">
        <v>318</v>
      </c>
      <c r="B2834" s="522" t="s">
        <v>1033</v>
      </c>
      <c r="C2834" s="423" t="s">
        <v>330</v>
      </c>
      <c r="D2834" s="521" t="s">
        <v>1034</v>
      </c>
      <c r="E2834" s="522">
        <v>201610</v>
      </c>
      <c r="F2834" s="523">
        <v>640.16</v>
      </c>
      <c r="G2834" s="521">
        <v>6.5</v>
      </c>
      <c r="H2834" s="524">
        <v>1.3083000000000001E-3</v>
      </c>
      <c r="I2834" s="523">
        <v>5.44</v>
      </c>
      <c r="J2834" s="523">
        <v>10.050000000000001</v>
      </c>
    </row>
    <row r="2835" spans="1:10" s="559" customFormat="1">
      <c r="A2835" s="521" t="s">
        <v>318</v>
      </c>
      <c r="B2835" s="522" t="s">
        <v>812</v>
      </c>
      <c r="C2835" s="423" t="s">
        <v>330</v>
      </c>
      <c r="D2835" s="521" t="s">
        <v>813</v>
      </c>
      <c r="E2835" s="522">
        <v>201610</v>
      </c>
      <c r="F2835" s="523">
        <v>10.84</v>
      </c>
      <c r="G2835" s="521">
        <v>6.5</v>
      </c>
      <c r="H2835" s="524">
        <v>1.3083000000000001E-3</v>
      </c>
      <c r="I2835" s="523">
        <v>0.09</v>
      </c>
      <c r="J2835" s="523">
        <v>0.17</v>
      </c>
    </row>
    <row r="2836" spans="1:10" s="559" customFormat="1">
      <c r="A2836" s="521" t="s">
        <v>318</v>
      </c>
      <c r="B2836" s="522" t="s">
        <v>619</v>
      </c>
      <c r="C2836" s="423" t="s">
        <v>331</v>
      </c>
      <c r="D2836" s="521" t="s">
        <v>620</v>
      </c>
      <c r="E2836" s="522">
        <v>201610</v>
      </c>
      <c r="F2836" s="523">
        <v>10.62</v>
      </c>
      <c r="G2836" s="521">
        <v>6.5</v>
      </c>
      <c r="H2836" s="524">
        <v>1.3083000000000001E-3</v>
      </c>
      <c r="I2836" s="523">
        <v>0.09</v>
      </c>
      <c r="J2836" s="523">
        <v>0.17</v>
      </c>
    </row>
    <row r="2837" spans="1:10" s="559" customFormat="1">
      <c r="A2837" s="521" t="s">
        <v>318</v>
      </c>
      <c r="B2837" s="522" t="s">
        <v>829</v>
      </c>
      <c r="C2837" s="423" t="s">
        <v>330</v>
      </c>
      <c r="D2837" s="521" t="s">
        <v>831</v>
      </c>
      <c r="E2837" s="522">
        <v>201610</v>
      </c>
      <c r="F2837" s="523">
        <v>1043.8800000000001</v>
      </c>
      <c r="G2837" s="521">
        <v>6.5</v>
      </c>
      <c r="H2837" s="524">
        <v>1.3083000000000001E-3</v>
      </c>
      <c r="I2837" s="523">
        <v>8.8800000000000008</v>
      </c>
      <c r="J2837" s="523">
        <v>16.39</v>
      </c>
    </row>
    <row r="2838" spans="1:10" s="559" customFormat="1">
      <c r="A2838" s="521" t="s">
        <v>318</v>
      </c>
      <c r="B2838" s="522" t="s">
        <v>832</v>
      </c>
      <c r="C2838" s="423" t="s">
        <v>330</v>
      </c>
      <c r="D2838" s="521" t="s">
        <v>833</v>
      </c>
      <c r="E2838" s="522">
        <v>201610</v>
      </c>
      <c r="F2838" s="523">
        <v>1146.74</v>
      </c>
      <c r="G2838" s="521">
        <v>6.5</v>
      </c>
      <c r="H2838" s="524">
        <v>1.3083000000000001E-3</v>
      </c>
      <c r="I2838" s="523">
        <v>9.75</v>
      </c>
      <c r="J2838" s="523">
        <v>18</v>
      </c>
    </row>
    <row r="2839" spans="1:10" s="559" customFormat="1">
      <c r="A2839" s="521" t="s">
        <v>318</v>
      </c>
      <c r="B2839" s="522" t="s">
        <v>951</v>
      </c>
      <c r="C2839" s="423" t="s">
        <v>330</v>
      </c>
      <c r="D2839" s="521" t="s">
        <v>952</v>
      </c>
      <c r="E2839" s="522">
        <v>201610</v>
      </c>
      <c r="F2839" s="523">
        <v>588.02</v>
      </c>
      <c r="G2839" s="521">
        <v>6.5</v>
      </c>
      <c r="H2839" s="524">
        <v>1.3083000000000001E-3</v>
      </c>
      <c r="I2839" s="523">
        <v>5</v>
      </c>
      <c r="J2839" s="523">
        <v>9.23</v>
      </c>
    </row>
    <row r="2840" spans="1:10" s="559" customFormat="1">
      <c r="A2840" s="521" t="s">
        <v>318</v>
      </c>
      <c r="B2840" s="522" t="s">
        <v>955</v>
      </c>
      <c r="C2840" s="423" t="s">
        <v>330</v>
      </c>
      <c r="D2840" s="521" t="s">
        <v>956</v>
      </c>
      <c r="E2840" s="522">
        <v>201610</v>
      </c>
      <c r="F2840" s="523">
        <v>6473.72</v>
      </c>
      <c r="G2840" s="521">
        <v>6.5</v>
      </c>
      <c r="H2840" s="524">
        <v>1.3083000000000001E-3</v>
      </c>
      <c r="I2840" s="523">
        <v>55.05</v>
      </c>
      <c r="J2840" s="523">
        <v>101.63</v>
      </c>
    </row>
    <row r="2841" spans="1:10" s="559" customFormat="1">
      <c r="A2841" s="521" t="s">
        <v>318</v>
      </c>
      <c r="B2841" s="522" t="s">
        <v>963</v>
      </c>
      <c r="C2841" s="423" t="s">
        <v>330</v>
      </c>
      <c r="D2841" s="521" t="s">
        <v>964</v>
      </c>
      <c r="E2841" s="522">
        <v>201610</v>
      </c>
      <c r="F2841" s="523">
        <v>139.87</v>
      </c>
      <c r="G2841" s="521">
        <v>6.5</v>
      </c>
      <c r="H2841" s="524">
        <v>1.3083000000000001E-3</v>
      </c>
      <c r="I2841" s="523">
        <v>1.19</v>
      </c>
      <c r="J2841" s="523">
        <v>2.2000000000000002</v>
      </c>
    </row>
    <row r="2842" spans="1:10" s="559" customFormat="1">
      <c r="A2842" s="521" t="s">
        <v>318</v>
      </c>
      <c r="B2842" s="522" t="s">
        <v>680</v>
      </c>
      <c r="C2842" s="423" t="s">
        <v>330</v>
      </c>
      <c r="D2842" s="521" t="s">
        <v>681</v>
      </c>
      <c r="E2842" s="522">
        <v>201610</v>
      </c>
      <c r="F2842" s="523">
        <v>0.98</v>
      </c>
      <c r="G2842" s="521">
        <v>6.5</v>
      </c>
      <c r="H2842" s="524">
        <v>1.3083000000000001E-3</v>
      </c>
      <c r="I2842" s="523">
        <v>0.01</v>
      </c>
      <c r="J2842" s="523">
        <v>0.02</v>
      </c>
    </row>
    <row r="2843" spans="1:10" s="559" customFormat="1">
      <c r="A2843" s="521" t="s">
        <v>318</v>
      </c>
      <c r="B2843" s="522" t="s">
        <v>682</v>
      </c>
      <c r="C2843" s="423" t="s">
        <v>330</v>
      </c>
      <c r="D2843" s="521" t="s">
        <v>683</v>
      </c>
      <c r="E2843" s="522">
        <v>201610</v>
      </c>
      <c r="F2843" s="523">
        <v>26611.43</v>
      </c>
      <c r="G2843" s="521">
        <v>6.5</v>
      </c>
      <c r="H2843" s="524">
        <v>1.3083000000000001E-3</v>
      </c>
      <c r="I2843" s="523">
        <v>226.3</v>
      </c>
      <c r="J2843" s="523">
        <v>417.79</v>
      </c>
    </row>
    <row r="2844" spans="1:10" s="559" customFormat="1">
      <c r="A2844" s="521" t="s">
        <v>318</v>
      </c>
      <c r="B2844" s="522" t="s">
        <v>822</v>
      </c>
      <c r="C2844" s="423" t="s">
        <v>330</v>
      </c>
      <c r="D2844" s="521" t="s">
        <v>823</v>
      </c>
      <c r="E2844" s="522">
        <v>201610</v>
      </c>
      <c r="F2844" s="523">
        <v>479.6</v>
      </c>
      <c r="G2844" s="521">
        <v>6.5</v>
      </c>
      <c r="H2844" s="524">
        <v>1.3083000000000001E-3</v>
      </c>
      <c r="I2844" s="523">
        <v>4.08</v>
      </c>
      <c r="J2844" s="523">
        <v>7.53</v>
      </c>
    </row>
    <row r="2845" spans="1:10" s="559" customFormat="1">
      <c r="A2845" s="521" t="s">
        <v>318</v>
      </c>
      <c r="B2845" s="522" t="s">
        <v>973</v>
      </c>
      <c r="C2845" s="423" t="s">
        <v>330</v>
      </c>
      <c r="D2845" s="521" t="s">
        <v>974</v>
      </c>
      <c r="E2845" s="522">
        <v>201610</v>
      </c>
      <c r="F2845" s="523">
        <v>23.95</v>
      </c>
      <c r="G2845" s="521">
        <v>6.5</v>
      </c>
      <c r="H2845" s="524">
        <v>1.3083000000000001E-3</v>
      </c>
      <c r="I2845" s="523">
        <v>0.2</v>
      </c>
      <c r="J2845" s="523">
        <v>0.38</v>
      </c>
    </row>
    <row r="2846" spans="1:10" s="559" customFormat="1">
      <c r="A2846" s="521" t="s">
        <v>318</v>
      </c>
      <c r="B2846" s="522" t="s">
        <v>868</v>
      </c>
      <c r="C2846" s="423" t="s">
        <v>330</v>
      </c>
      <c r="D2846" s="521" t="s">
        <v>869</v>
      </c>
      <c r="E2846" s="522">
        <v>201610</v>
      </c>
      <c r="F2846" s="523">
        <v>28.79</v>
      </c>
      <c r="G2846" s="521">
        <v>6.5</v>
      </c>
      <c r="H2846" s="524">
        <v>1.3083000000000001E-3</v>
      </c>
      <c r="I2846" s="523">
        <v>0.24</v>
      </c>
      <c r="J2846" s="523">
        <v>0.45</v>
      </c>
    </row>
    <row r="2847" spans="1:10" s="559" customFormat="1">
      <c r="A2847" s="521" t="s">
        <v>318</v>
      </c>
      <c r="B2847" s="522" t="s">
        <v>1069</v>
      </c>
      <c r="C2847" s="423" t="s">
        <v>330</v>
      </c>
      <c r="D2847" s="521" t="s">
        <v>1070</v>
      </c>
      <c r="E2847" s="522">
        <v>201610</v>
      </c>
      <c r="F2847" s="523">
        <v>4718.72</v>
      </c>
      <c r="G2847" s="521">
        <v>6.5</v>
      </c>
      <c r="H2847" s="524">
        <v>1.3083000000000001E-3</v>
      </c>
      <c r="I2847" s="523">
        <v>40.130000000000003</v>
      </c>
      <c r="J2847" s="523">
        <v>74.08</v>
      </c>
    </row>
    <row r="2848" spans="1:10" s="559" customFormat="1">
      <c r="A2848" s="521" t="s">
        <v>318</v>
      </c>
      <c r="B2848" s="522" t="s">
        <v>870</v>
      </c>
      <c r="C2848" s="423" t="s">
        <v>330</v>
      </c>
      <c r="D2848" s="521" t="s">
        <v>871</v>
      </c>
      <c r="E2848" s="522">
        <v>201610</v>
      </c>
      <c r="F2848" s="523">
        <v>-251.16</v>
      </c>
      <c r="G2848" s="521">
        <v>6.5</v>
      </c>
      <c r="H2848" s="524">
        <v>1.3083000000000001E-3</v>
      </c>
      <c r="I2848" s="523">
        <v>-2.14</v>
      </c>
      <c r="J2848" s="523">
        <v>-3.94</v>
      </c>
    </row>
    <row r="2849" spans="1:10" s="559" customFormat="1">
      <c r="A2849" s="521" t="s">
        <v>318</v>
      </c>
      <c r="B2849" s="522" t="s">
        <v>1039</v>
      </c>
      <c r="C2849" s="423" t="s">
        <v>330</v>
      </c>
      <c r="D2849" s="521" t="s">
        <v>1040</v>
      </c>
      <c r="E2849" s="522">
        <v>201610</v>
      </c>
      <c r="F2849" s="523">
        <v>-726.48</v>
      </c>
      <c r="G2849" s="521">
        <v>6.5</v>
      </c>
      <c r="H2849" s="524">
        <v>1.3083000000000001E-3</v>
      </c>
      <c r="I2849" s="523">
        <v>-6.18</v>
      </c>
      <c r="J2849" s="523">
        <v>-11.41</v>
      </c>
    </row>
    <row r="2850" spans="1:10" s="559" customFormat="1">
      <c r="A2850" s="521" t="s">
        <v>318</v>
      </c>
      <c r="B2850" s="522" t="s">
        <v>872</v>
      </c>
      <c r="C2850" s="423" t="s">
        <v>330</v>
      </c>
      <c r="D2850" s="521" t="s">
        <v>873</v>
      </c>
      <c r="E2850" s="522">
        <v>201610</v>
      </c>
      <c r="F2850" s="523">
        <v>20.81</v>
      </c>
      <c r="G2850" s="521">
        <v>6.5</v>
      </c>
      <c r="H2850" s="524">
        <v>1.3083000000000001E-3</v>
      </c>
      <c r="I2850" s="523">
        <v>0.18</v>
      </c>
      <c r="J2850" s="523">
        <v>0.33</v>
      </c>
    </row>
    <row r="2851" spans="1:10" s="559" customFormat="1">
      <c r="A2851" s="521" t="s">
        <v>318</v>
      </c>
      <c r="B2851" s="522" t="s">
        <v>977</v>
      </c>
      <c r="C2851" s="423" t="s">
        <v>330</v>
      </c>
      <c r="D2851" s="521" t="s">
        <v>978</v>
      </c>
      <c r="E2851" s="522">
        <v>201610</v>
      </c>
      <c r="F2851" s="523">
        <v>103.35</v>
      </c>
      <c r="G2851" s="521">
        <v>6.5</v>
      </c>
      <c r="H2851" s="524">
        <v>1.3083000000000001E-3</v>
      </c>
      <c r="I2851" s="523">
        <v>0.88</v>
      </c>
      <c r="J2851" s="523">
        <v>1.62</v>
      </c>
    </row>
    <row r="2852" spans="1:10" s="559" customFormat="1">
      <c r="A2852" s="521" t="s">
        <v>318</v>
      </c>
      <c r="B2852" s="522" t="s">
        <v>826</v>
      </c>
      <c r="C2852" s="423" t="s">
        <v>330</v>
      </c>
      <c r="D2852" s="521" t="s">
        <v>827</v>
      </c>
      <c r="E2852" s="522">
        <v>201610</v>
      </c>
      <c r="F2852" s="523">
        <v>213.84</v>
      </c>
      <c r="G2852" s="521">
        <v>6.5</v>
      </c>
      <c r="H2852" s="524">
        <v>1.3083000000000001E-3</v>
      </c>
      <c r="I2852" s="523">
        <v>1.82</v>
      </c>
      <c r="J2852" s="523">
        <v>3.36</v>
      </c>
    </row>
    <row r="2853" spans="1:10" s="559" customFormat="1">
      <c r="A2853" s="521" t="s">
        <v>318</v>
      </c>
      <c r="B2853" s="522" t="s">
        <v>1041</v>
      </c>
      <c r="C2853" s="423" t="s">
        <v>330</v>
      </c>
      <c r="D2853" s="521" t="s">
        <v>1042</v>
      </c>
      <c r="E2853" s="522">
        <v>201610</v>
      </c>
      <c r="F2853" s="523">
        <v>-1179.76</v>
      </c>
      <c r="G2853" s="521">
        <v>6.5</v>
      </c>
      <c r="H2853" s="524">
        <v>1.3083000000000001E-3</v>
      </c>
      <c r="I2853" s="523">
        <v>-10.029999999999999</v>
      </c>
      <c r="J2853" s="523">
        <v>-18.52</v>
      </c>
    </row>
    <row r="2854" spans="1:10" s="559" customFormat="1">
      <c r="A2854" s="521" t="s">
        <v>318</v>
      </c>
      <c r="B2854" s="522" t="s">
        <v>979</v>
      </c>
      <c r="C2854" s="423" t="s">
        <v>330</v>
      </c>
      <c r="D2854" s="521" t="s">
        <v>980</v>
      </c>
      <c r="E2854" s="522">
        <v>201610</v>
      </c>
      <c r="F2854" s="523">
        <v>38.630000000000003</v>
      </c>
      <c r="G2854" s="521">
        <v>6.5</v>
      </c>
      <c r="H2854" s="524">
        <v>1.3083000000000001E-3</v>
      </c>
      <c r="I2854" s="523">
        <v>0.33</v>
      </c>
      <c r="J2854" s="523">
        <v>0.61</v>
      </c>
    </row>
    <row r="2855" spans="1:10" s="559" customFormat="1">
      <c r="A2855" s="521" t="s">
        <v>318</v>
      </c>
      <c r="B2855" s="522" t="s">
        <v>981</v>
      </c>
      <c r="C2855" s="423" t="s">
        <v>330</v>
      </c>
      <c r="D2855" s="521" t="s">
        <v>1014</v>
      </c>
      <c r="E2855" s="522">
        <v>201610</v>
      </c>
      <c r="F2855" s="523">
        <v>363.16</v>
      </c>
      <c r="G2855" s="521">
        <v>6.5</v>
      </c>
      <c r="H2855" s="524">
        <v>1.3083000000000001E-3</v>
      </c>
      <c r="I2855" s="523">
        <v>3.09</v>
      </c>
      <c r="J2855" s="523">
        <v>5.7</v>
      </c>
    </row>
    <row r="2856" spans="1:10" s="559" customFormat="1">
      <c r="A2856" s="521" t="s">
        <v>318</v>
      </c>
      <c r="B2856" s="522" t="s">
        <v>983</v>
      </c>
      <c r="C2856" s="423" t="s">
        <v>330</v>
      </c>
      <c r="D2856" s="521" t="s">
        <v>984</v>
      </c>
      <c r="E2856" s="522">
        <v>201610</v>
      </c>
      <c r="F2856" s="523">
        <v>39.29</v>
      </c>
      <c r="G2856" s="521">
        <v>6.5</v>
      </c>
      <c r="H2856" s="524">
        <v>1.3083000000000001E-3</v>
      </c>
      <c r="I2856" s="523">
        <v>0.33</v>
      </c>
      <c r="J2856" s="523">
        <v>0.62</v>
      </c>
    </row>
    <row r="2857" spans="1:10" s="559" customFormat="1">
      <c r="A2857" s="521" t="s">
        <v>318</v>
      </c>
      <c r="B2857" s="522" t="s">
        <v>1043</v>
      </c>
      <c r="C2857" s="423" t="s">
        <v>330</v>
      </c>
      <c r="D2857" s="521" t="s">
        <v>1044</v>
      </c>
      <c r="E2857" s="522">
        <v>201610</v>
      </c>
      <c r="F2857" s="523">
        <v>-192.64</v>
      </c>
      <c r="G2857" s="521">
        <v>6.5</v>
      </c>
      <c r="H2857" s="524">
        <v>1.3083000000000001E-3</v>
      </c>
      <c r="I2857" s="523">
        <v>-1.64</v>
      </c>
      <c r="J2857" s="523">
        <v>-3.02</v>
      </c>
    </row>
    <row r="2858" spans="1:10" s="559" customFormat="1">
      <c r="A2858" s="521" t="s">
        <v>318</v>
      </c>
      <c r="B2858" s="522" t="s">
        <v>876</v>
      </c>
      <c r="C2858" s="423" t="s">
        <v>330</v>
      </c>
      <c r="D2858" s="521" t="s">
        <v>877</v>
      </c>
      <c r="E2858" s="522">
        <v>201610</v>
      </c>
      <c r="F2858" s="523">
        <v>676.9</v>
      </c>
      <c r="G2858" s="521">
        <v>6.5</v>
      </c>
      <c r="H2858" s="524">
        <v>1.3083000000000001E-3</v>
      </c>
      <c r="I2858" s="523">
        <v>5.76</v>
      </c>
      <c r="J2858" s="523">
        <v>10.63</v>
      </c>
    </row>
    <row r="2859" spans="1:10" s="559" customFormat="1">
      <c r="A2859" s="521" t="s">
        <v>318</v>
      </c>
      <c r="B2859" s="522" t="s">
        <v>1045</v>
      </c>
      <c r="C2859" s="423" t="s">
        <v>330</v>
      </c>
      <c r="D2859" s="521" t="s">
        <v>1046</v>
      </c>
      <c r="E2859" s="522">
        <v>201610</v>
      </c>
      <c r="F2859" s="523">
        <v>-507.42</v>
      </c>
      <c r="G2859" s="521">
        <v>6.5</v>
      </c>
      <c r="H2859" s="524">
        <v>1.3083000000000001E-3</v>
      </c>
      <c r="I2859" s="523">
        <v>-4.32</v>
      </c>
      <c r="J2859" s="523">
        <v>-7.97</v>
      </c>
    </row>
    <row r="2860" spans="1:10" s="559" customFormat="1">
      <c r="A2860" s="521" t="s">
        <v>318</v>
      </c>
      <c r="B2860" s="522" t="s">
        <v>878</v>
      </c>
      <c r="C2860" s="423" t="s">
        <v>330</v>
      </c>
      <c r="D2860" s="521" t="s">
        <v>879</v>
      </c>
      <c r="E2860" s="522">
        <v>201610</v>
      </c>
      <c r="F2860" s="523">
        <v>137.69999999999999</v>
      </c>
      <c r="G2860" s="521">
        <v>6.5</v>
      </c>
      <c r="H2860" s="524">
        <v>1.3083000000000001E-3</v>
      </c>
      <c r="I2860" s="523">
        <v>1.17</v>
      </c>
      <c r="J2860" s="523">
        <v>2.16</v>
      </c>
    </row>
    <row r="2861" spans="1:10" s="559" customFormat="1">
      <c r="A2861" s="521" t="s">
        <v>318</v>
      </c>
      <c r="B2861" s="522" t="s">
        <v>987</v>
      </c>
      <c r="C2861" s="423" t="s">
        <v>330</v>
      </c>
      <c r="D2861" s="521" t="s">
        <v>988</v>
      </c>
      <c r="E2861" s="522">
        <v>201610</v>
      </c>
      <c r="F2861" s="523">
        <v>1754.81</v>
      </c>
      <c r="G2861" s="521">
        <v>6.5</v>
      </c>
      <c r="H2861" s="524">
        <v>1.3083000000000001E-3</v>
      </c>
      <c r="I2861" s="523">
        <v>14.92</v>
      </c>
      <c r="J2861" s="523">
        <v>27.55</v>
      </c>
    </row>
    <row r="2862" spans="1:10" s="559" customFormat="1">
      <c r="A2862" s="521" t="s">
        <v>318</v>
      </c>
      <c r="B2862" s="522" t="s">
        <v>993</v>
      </c>
      <c r="C2862" s="423" t="s">
        <v>330</v>
      </c>
      <c r="D2862" s="521" t="s">
        <v>994</v>
      </c>
      <c r="E2862" s="522">
        <v>201610</v>
      </c>
      <c r="F2862" s="523">
        <v>7.89</v>
      </c>
      <c r="G2862" s="521">
        <v>6.5</v>
      </c>
      <c r="H2862" s="524">
        <v>1.3083000000000001E-3</v>
      </c>
      <c r="I2862" s="523">
        <v>7.0000000000000007E-2</v>
      </c>
      <c r="J2862" s="523">
        <v>0.12</v>
      </c>
    </row>
    <row r="2863" spans="1:10" s="559" customFormat="1">
      <c r="A2863" s="521" t="s">
        <v>318</v>
      </c>
      <c r="B2863" s="522" t="s">
        <v>996</v>
      </c>
      <c r="C2863" s="423" t="s">
        <v>330</v>
      </c>
      <c r="D2863" s="521" t="s">
        <v>997</v>
      </c>
      <c r="E2863" s="522">
        <v>201610</v>
      </c>
      <c r="F2863" s="523">
        <v>3085.2</v>
      </c>
      <c r="G2863" s="521">
        <v>6.5</v>
      </c>
      <c r="H2863" s="524">
        <v>1.3083000000000001E-3</v>
      </c>
      <c r="I2863" s="523">
        <v>26.24</v>
      </c>
      <c r="J2863" s="523">
        <v>48.44</v>
      </c>
    </row>
    <row r="2864" spans="1:10" s="559" customFormat="1">
      <c r="A2864" s="521" t="s">
        <v>318</v>
      </c>
      <c r="B2864" s="522" t="s">
        <v>887</v>
      </c>
      <c r="C2864" s="423" t="s">
        <v>330</v>
      </c>
      <c r="D2864" s="521" t="s">
        <v>888</v>
      </c>
      <c r="E2864" s="522">
        <v>201610</v>
      </c>
      <c r="F2864" s="523">
        <v>537.70000000000005</v>
      </c>
      <c r="G2864" s="521">
        <v>6.5</v>
      </c>
      <c r="H2864" s="524">
        <v>1.3083000000000001E-3</v>
      </c>
      <c r="I2864" s="523">
        <v>4.57</v>
      </c>
      <c r="J2864" s="523">
        <v>8.44</v>
      </c>
    </row>
    <row r="2865" spans="1:10" s="559" customFormat="1">
      <c r="A2865" s="521" t="s">
        <v>318</v>
      </c>
      <c r="B2865" s="522" t="s">
        <v>1075</v>
      </c>
      <c r="C2865" s="423" t="s">
        <v>331</v>
      </c>
      <c r="D2865" s="521" t="s">
        <v>1076</v>
      </c>
      <c r="E2865" s="522">
        <v>201610</v>
      </c>
      <c r="F2865" s="523">
        <v>28206.560000000001</v>
      </c>
      <c r="G2865" s="521">
        <v>6.5</v>
      </c>
      <c r="H2865" s="524">
        <v>1.3083000000000001E-3</v>
      </c>
      <c r="I2865" s="523">
        <v>239.87</v>
      </c>
      <c r="J2865" s="523">
        <v>442.83</v>
      </c>
    </row>
    <row r="2866" spans="1:10" s="559" customFormat="1">
      <c r="A2866" s="521" t="s">
        <v>318</v>
      </c>
      <c r="B2866" s="522" t="s">
        <v>1049</v>
      </c>
      <c r="C2866" s="423" t="s">
        <v>330</v>
      </c>
      <c r="D2866" s="521" t="s">
        <v>1050</v>
      </c>
      <c r="E2866" s="522">
        <v>201610</v>
      </c>
      <c r="F2866" s="523">
        <v>-297.55</v>
      </c>
      <c r="G2866" s="521">
        <v>6.5</v>
      </c>
      <c r="H2866" s="524">
        <v>1.3083000000000001E-3</v>
      </c>
      <c r="I2866" s="523">
        <v>-2.5299999999999998</v>
      </c>
      <c r="J2866" s="523">
        <v>-4.67</v>
      </c>
    </row>
    <row r="2867" spans="1:10" s="559" customFormat="1">
      <c r="A2867" s="521" t="s">
        <v>318</v>
      </c>
      <c r="B2867" s="522" t="s">
        <v>1077</v>
      </c>
      <c r="C2867" s="423" t="s">
        <v>330</v>
      </c>
      <c r="D2867" s="521" t="s">
        <v>1078</v>
      </c>
      <c r="E2867" s="522">
        <v>201610</v>
      </c>
      <c r="F2867" s="523">
        <v>11030.8</v>
      </c>
      <c r="G2867" s="521">
        <v>6.5</v>
      </c>
      <c r="H2867" s="524">
        <v>1.3083000000000001E-3</v>
      </c>
      <c r="I2867" s="523">
        <v>93.81</v>
      </c>
      <c r="J2867" s="523">
        <v>173.18</v>
      </c>
    </row>
    <row r="2868" spans="1:10" s="559" customFormat="1">
      <c r="A2868" s="521" t="s">
        <v>318</v>
      </c>
      <c r="B2868" s="522" t="s">
        <v>1079</v>
      </c>
      <c r="C2868" s="423" t="s">
        <v>330</v>
      </c>
      <c r="D2868" s="521" t="s">
        <v>1080</v>
      </c>
      <c r="E2868" s="522">
        <v>201610</v>
      </c>
      <c r="F2868" s="523">
        <v>30160.41</v>
      </c>
      <c r="G2868" s="521">
        <v>6.5</v>
      </c>
      <c r="H2868" s="524">
        <v>1.3083000000000001E-3</v>
      </c>
      <c r="I2868" s="523">
        <v>256.48</v>
      </c>
      <c r="J2868" s="523">
        <v>473.51</v>
      </c>
    </row>
    <row r="2869" spans="1:10" s="559" customFormat="1">
      <c r="A2869" s="521" t="s">
        <v>318</v>
      </c>
      <c r="B2869" s="522" t="s">
        <v>1053</v>
      </c>
      <c r="C2869" s="423" t="s">
        <v>331</v>
      </c>
      <c r="D2869" s="521" t="s">
        <v>1054</v>
      </c>
      <c r="E2869" s="522">
        <v>201610</v>
      </c>
      <c r="F2869" s="523">
        <v>-19.329999999999998</v>
      </c>
      <c r="G2869" s="521">
        <v>6.5</v>
      </c>
      <c r="H2869" s="524">
        <v>1.3083000000000001E-3</v>
      </c>
      <c r="I2869" s="523">
        <v>-0.16</v>
      </c>
      <c r="J2869" s="523">
        <v>-0.3</v>
      </c>
    </row>
    <row r="2870" spans="1:10" s="559" customFormat="1">
      <c r="A2870" s="521" t="s">
        <v>318</v>
      </c>
      <c r="B2870" s="522" t="s">
        <v>941</v>
      </c>
      <c r="C2870" s="423" t="s">
        <v>330</v>
      </c>
      <c r="D2870" s="521" t="s">
        <v>942</v>
      </c>
      <c r="E2870" s="522">
        <v>201611</v>
      </c>
      <c r="F2870" s="523">
        <v>1570.33</v>
      </c>
      <c r="G2870" s="521">
        <v>5.5</v>
      </c>
      <c r="H2870" s="524">
        <v>1.3083000000000001E-3</v>
      </c>
      <c r="I2870" s="523">
        <v>11.3</v>
      </c>
      <c r="J2870" s="523">
        <v>24.65</v>
      </c>
    </row>
    <row r="2871" spans="1:10" s="559" customFormat="1">
      <c r="A2871" s="521" t="s">
        <v>318</v>
      </c>
      <c r="B2871" s="522" t="s">
        <v>856</v>
      </c>
      <c r="C2871" s="423" t="s">
        <v>330</v>
      </c>
      <c r="D2871" s="521" t="s">
        <v>857</v>
      </c>
      <c r="E2871" s="522">
        <v>201611</v>
      </c>
      <c r="F2871" s="523">
        <v>-0.1</v>
      </c>
      <c r="G2871" s="521">
        <v>5.5</v>
      </c>
      <c r="H2871" s="524">
        <v>1.3083000000000001E-3</v>
      </c>
      <c r="I2871" s="523">
        <v>0</v>
      </c>
      <c r="J2871" s="523">
        <v>0</v>
      </c>
    </row>
    <row r="2872" spans="1:10" s="559" customFormat="1">
      <c r="A2872" s="521" t="s">
        <v>318</v>
      </c>
      <c r="B2872" s="522" t="s">
        <v>629</v>
      </c>
      <c r="C2872" s="423" t="s">
        <v>330</v>
      </c>
      <c r="D2872" s="521" t="s">
        <v>630</v>
      </c>
      <c r="E2872" s="522">
        <v>201611</v>
      </c>
      <c r="F2872" s="523">
        <v>1.02</v>
      </c>
      <c r="G2872" s="521">
        <v>5.5</v>
      </c>
      <c r="H2872" s="524">
        <v>1.3083000000000001E-3</v>
      </c>
      <c r="I2872" s="523">
        <v>0.01</v>
      </c>
      <c r="J2872" s="523">
        <v>0.02</v>
      </c>
    </row>
    <row r="2873" spans="1:10" s="559" customFormat="1">
      <c r="A2873" s="521" t="s">
        <v>318</v>
      </c>
      <c r="B2873" s="522" t="s">
        <v>805</v>
      </c>
      <c r="C2873" s="423" t="s">
        <v>330</v>
      </c>
      <c r="D2873" s="521" t="s">
        <v>806</v>
      </c>
      <c r="E2873" s="522">
        <v>201611</v>
      </c>
      <c r="F2873" s="523">
        <v>-4.12</v>
      </c>
      <c r="G2873" s="521">
        <v>5.5</v>
      </c>
      <c r="H2873" s="524">
        <v>1.3083000000000001E-3</v>
      </c>
      <c r="I2873" s="523">
        <v>-0.03</v>
      </c>
      <c r="J2873" s="523">
        <v>-0.06</v>
      </c>
    </row>
    <row r="2874" spans="1:10" s="559" customFormat="1">
      <c r="A2874" s="521" t="s">
        <v>318</v>
      </c>
      <c r="B2874" s="522" t="s">
        <v>1033</v>
      </c>
      <c r="C2874" s="423" t="s">
        <v>330</v>
      </c>
      <c r="D2874" s="521" t="s">
        <v>1034</v>
      </c>
      <c r="E2874" s="522">
        <v>201611</v>
      </c>
      <c r="F2874" s="523">
        <v>-8.1</v>
      </c>
      <c r="G2874" s="521">
        <v>5.5</v>
      </c>
      <c r="H2874" s="524">
        <v>1.3083000000000001E-3</v>
      </c>
      <c r="I2874" s="523">
        <v>-0.06</v>
      </c>
      <c r="J2874" s="523">
        <v>-0.13</v>
      </c>
    </row>
    <row r="2875" spans="1:10" s="559" customFormat="1">
      <c r="A2875" s="521" t="s">
        <v>318</v>
      </c>
      <c r="B2875" s="522" t="s">
        <v>832</v>
      </c>
      <c r="C2875" s="423" t="s">
        <v>330</v>
      </c>
      <c r="D2875" s="521" t="s">
        <v>833</v>
      </c>
      <c r="E2875" s="522">
        <v>201611</v>
      </c>
      <c r="F2875" s="523">
        <v>79.83</v>
      </c>
      <c r="G2875" s="521">
        <v>5.5</v>
      </c>
      <c r="H2875" s="524">
        <v>1.3083000000000001E-3</v>
      </c>
      <c r="I2875" s="523">
        <v>0.56999999999999995</v>
      </c>
      <c r="J2875" s="523">
        <v>1.25</v>
      </c>
    </row>
    <row r="2876" spans="1:10" s="559" customFormat="1">
      <c r="A2876" s="521" t="s">
        <v>318</v>
      </c>
      <c r="B2876" s="522" t="s">
        <v>951</v>
      </c>
      <c r="C2876" s="423" t="s">
        <v>330</v>
      </c>
      <c r="D2876" s="521" t="s">
        <v>952</v>
      </c>
      <c r="E2876" s="522">
        <v>201611</v>
      </c>
      <c r="F2876" s="523">
        <v>-265.14999999999998</v>
      </c>
      <c r="G2876" s="521">
        <v>5.5</v>
      </c>
      <c r="H2876" s="524">
        <v>1.3083000000000001E-3</v>
      </c>
      <c r="I2876" s="523">
        <v>-1.91</v>
      </c>
      <c r="J2876" s="523">
        <v>-4.16</v>
      </c>
    </row>
    <row r="2877" spans="1:10" s="559" customFormat="1">
      <c r="A2877" s="521" t="s">
        <v>318</v>
      </c>
      <c r="B2877" s="522" t="s">
        <v>955</v>
      </c>
      <c r="C2877" s="423" t="s">
        <v>330</v>
      </c>
      <c r="D2877" s="521" t="s">
        <v>956</v>
      </c>
      <c r="E2877" s="522">
        <v>201611</v>
      </c>
      <c r="F2877" s="523">
        <v>441.2</v>
      </c>
      <c r="G2877" s="521">
        <v>5.5</v>
      </c>
      <c r="H2877" s="524">
        <v>1.3083000000000001E-3</v>
      </c>
      <c r="I2877" s="523">
        <v>3.17</v>
      </c>
      <c r="J2877" s="523">
        <v>6.93</v>
      </c>
    </row>
    <row r="2878" spans="1:10" s="559" customFormat="1">
      <c r="A2878" s="521" t="s">
        <v>318</v>
      </c>
      <c r="B2878" s="522" t="s">
        <v>963</v>
      </c>
      <c r="C2878" s="423" t="s">
        <v>330</v>
      </c>
      <c r="D2878" s="521" t="s">
        <v>964</v>
      </c>
      <c r="E2878" s="522">
        <v>201611</v>
      </c>
      <c r="F2878" s="523">
        <v>31.38</v>
      </c>
      <c r="G2878" s="521">
        <v>5.5</v>
      </c>
      <c r="H2878" s="524">
        <v>1.3083000000000001E-3</v>
      </c>
      <c r="I2878" s="523">
        <v>0.23</v>
      </c>
      <c r="J2878" s="523">
        <v>0.49</v>
      </c>
    </row>
    <row r="2879" spans="1:10" s="559" customFormat="1">
      <c r="A2879" s="521" t="s">
        <v>318</v>
      </c>
      <c r="B2879" s="522" t="s">
        <v>682</v>
      </c>
      <c r="C2879" s="423" t="s">
        <v>330</v>
      </c>
      <c r="D2879" s="521" t="s">
        <v>683</v>
      </c>
      <c r="E2879" s="522">
        <v>201611</v>
      </c>
      <c r="F2879" s="523">
        <v>5352.6</v>
      </c>
      <c r="G2879" s="521">
        <v>5.5</v>
      </c>
      <c r="H2879" s="524">
        <v>1.3083000000000001E-3</v>
      </c>
      <c r="I2879" s="523">
        <v>38.520000000000003</v>
      </c>
      <c r="J2879" s="523">
        <v>84.03</v>
      </c>
    </row>
    <row r="2880" spans="1:10" s="559" customFormat="1">
      <c r="A2880" s="521" t="s">
        <v>318</v>
      </c>
      <c r="B2880" s="522" t="s">
        <v>846</v>
      </c>
      <c r="C2880" s="423" t="s">
        <v>330</v>
      </c>
      <c r="D2880" s="521" t="s">
        <v>847</v>
      </c>
      <c r="E2880" s="522">
        <v>201611</v>
      </c>
      <c r="F2880" s="523">
        <v>-9868.06</v>
      </c>
      <c r="G2880" s="521">
        <v>5.5</v>
      </c>
      <c r="H2880" s="524">
        <v>1.3083000000000001E-3</v>
      </c>
      <c r="I2880" s="523">
        <v>-71.010000000000005</v>
      </c>
      <c r="J2880" s="523">
        <v>-154.91999999999999</v>
      </c>
    </row>
    <row r="2881" spans="1:10" s="559" customFormat="1">
      <c r="A2881" s="521" t="s">
        <v>318</v>
      </c>
      <c r="B2881" s="522" t="s">
        <v>973</v>
      </c>
      <c r="C2881" s="423" t="s">
        <v>330</v>
      </c>
      <c r="D2881" s="521" t="s">
        <v>974</v>
      </c>
      <c r="E2881" s="522">
        <v>201611</v>
      </c>
      <c r="F2881" s="523">
        <v>-1.26</v>
      </c>
      <c r="G2881" s="521">
        <v>5.5</v>
      </c>
      <c r="H2881" s="524">
        <v>1.3083000000000001E-3</v>
      </c>
      <c r="I2881" s="523">
        <v>-0.01</v>
      </c>
      <c r="J2881" s="523">
        <v>-0.02</v>
      </c>
    </row>
    <row r="2882" spans="1:10" s="559" customFormat="1">
      <c r="A2882" s="521" t="s">
        <v>318</v>
      </c>
      <c r="B2882" s="522" t="s">
        <v>868</v>
      </c>
      <c r="C2882" s="423" t="s">
        <v>330</v>
      </c>
      <c r="D2882" s="521" t="s">
        <v>869</v>
      </c>
      <c r="E2882" s="522">
        <v>201611</v>
      </c>
      <c r="F2882" s="523">
        <v>-332768.51</v>
      </c>
      <c r="G2882" s="521">
        <v>5.5</v>
      </c>
      <c r="H2882" s="524">
        <v>1.3083000000000001E-3</v>
      </c>
      <c r="I2882" s="523">
        <v>-2394.4899999999998</v>
      </c>
      <c r="J2882" s="523">
        <v>-5224.33</v>
      </c>
    </row>
    <row r="2883" spans="1:10" s="559" customFormat="1">
      <c r="A2883" s="521" t="s">
        <v>318</v>
      </c>
      <c r="B2883" s="522" t="s">
        <v>868</v>
      </c>
      <c r="C2883" s="423" t="s">
        <v>330</v>
      </c>
      <c r="D2883" s="521" t="s">
        <v>869</v>
      </c>
      <c r="E2883" s="522">
        <v>201611</v>
      </c>
      <c r="F2883" s="523">
        <v>231903.57</v>
      </c>
      <c r="G2883" s="521">
        <v>5.5</v>
      </c>
      <c r="H2883" s="524">
        <v>1.3083000000000001E-3</v>
      </c>
      <c r="I2883" s="523">
        <v>1668.7</v>
      </c>
      <c r="J2883" s="523">
        <v>3640.79</v>
      </c>
    </row>
    <row r="2884" spans="1:10" s="559" customFormat="1">
      <c r="A2884" s="521" t="s">
        <v>318</v>
      </c>
      <c r="B2884" s="522" t="s">
        <v>1069</v>
      </c>
      <c r="C2884" s="423" t="s">
        <v>330</v>
      </c>
      <c r="D2884" s="521" t="s">
        <v>1105</v>
      </c>
      <c r="E2884" s="522">
        <v>201611</v>
      </c>
      <c r="F2884" s="523">
        <v>-30.14</v>
      </c>
      <c r="G2884" s="521">
        <v>5.5</v>
      </c>
      <c r="H2884" s="524">
        <v>1.3083000000000001E-3</v>
      </c>
      <c r="I2884" s="523">
        <v>-0.22</v>
      </c>
      <c r="J2884" s="523">
        <v>-0.47</v>
      </c>
    </row>
    <row r="2885" spans="1:10" s="559" customFormat="1">
      <c r="A2885" s="521" t="s">
        <v>318</v>
      </c>
      <c r="B2885" s="522" t="s">
        <v>975</v>
      </c>
      <c r="C2885" s="423" t="s">
        <v>330</v>
      </c>
      <c r="D2885" s="521" t="s">
        <v>976</v>
      </c>
      <c r="E2885" s="522">
        <v>201611</v>
      </c>
      <c r="F2885" s="523">
        <v>40.33</v>
      </c>
      <c r="G2885" s="521">
        <v>5.5</v>
      </c>
      <c r="H2885" s="524">
        <v>1.3083000000000001E-3</v>
      </c>
      <c r="I2885" s="523">
        <v>0.28999999999999998</v>
      </c>
      <c r="J2885" s="523">
        <v>0.63</v>
      </c>
    </row>
    <row r="2886" spans="1:10" s="559" customFormat="1">
      <c r="A2886" s="521" t="s">
        <v>318</v>
      </c>
      <c r="B2886" s="522" t="s">
        <v>852</v>
      </c>
      <c r="C2886" s="423" t="s">
        <v>330</v>
      </c>
      <c r="D2886" s="521" t="s">
        <v>853</v>
      </c>
      <c r="E2886" s="522">
        <v>201611</v>
      </c>
      <c r="F2886" s="523">
        <v>-3306.1</v>
      </c>
      <c r="G2886" s="521">
        <v>5.5</v>
      </c>
      <c r="H2886" s="524">
        <v>1.3083000000000001E-3</v>
      </c>
      <c r="I2886" s="523">
        <v>-23.79</v>
      </c>
      <c r="J2886" s="523">
        <v>-51.9</v>
      </c>
    </row>
    <row r="2887" spans="1:10" s="559" customFormat="1">
      <c r="A2887" s="521" t="s">
        <v>318</v>
      </c>
      <c r="B2887" s="522" t="s">
        <v>870</v>
      </c>
      <c r="C2887" s="423" t="s">
        <v>330</v>
      </c>
      <c r="D2887" s="521" t="s">
        <v>871</v>
      </c>
      <c r="E2887" s="522">
        <v>201611</v>
      </c>
      <c r="F2887" s="523">
        <v>2287.91</v>
      </c>
      <c r="G2887" s="521">
        <v>5.5</v>
      </c>
      <c r="H2887" s="524">
        <v>1.3083000000000001E-3</v>
      </c>
      <c r="I2887" s="523">
        <v>16.46</v>
      </c>
      <c r="J2887" s="523">
        <v>35.92</v>
      </c>
    </row>
    <row r="2888" spans="1:10" s="559" customFormat="1">
      <c r="A2888" s="521" t="s">
        <v>318</v>
      </c>
      <c r="B2888" s="522" t="s">
        <v>1039</v>
      </c>
      <c r="C2888" s="423" t="s">
        <v>330</v>
      </c>
      <c r="D2888" s="521" t="s">
        <v>1040</v>
      </c>
      <c r="E2888" s="522">
        <v>201611</v>
      </c>
      <c r="F2888" s="523">
        <v>3502.1</v>
      </c>
      <c r="G2888" s="521">
        <v>5.5</v>
      </c>
      <c r="H2888" s="524">
        <v>1.3083000000000001E-3</v>
      </c>
      <c r="I2888" s="523">
        <v>25.2</v>
      </c>
      <c r="J2888" s="523">
        <v>54.98</v>
      </c>
    </row>
    <row r="2889" spans="1:10" s="559" customFormat="1">
      <c r="A2889" s="521" t="s">
        <v>318</v>
      </c>
      <c r="B2889" s="522" t="s">
        <v>872</v>
      </c>
      <c r="C2889" s="423" t="s">
        <v>330</v>
      </c>
      <c r="D2889" s="521" t="s">
        <v>873</v>
      </c>
      <c r="E2889" s="522">
        <v>201611</v>
      </c>
      <c r="F2889" s="523">
        <v>19353.900000000001</v>
      </c>
      <c r="G2889" s="521">
        <v>5.5</v>
      </c>
      <c r="H2889" s="524">
        <v>1.3083000000000001E-3</v>
      </c>
      <c r="I2889" s="523">
        <v>139.26</v>
      </c>
      <c r="J2889" s="523">
        <v>303.85000000000002</v>
      </c>
    </row>
    <row r="2890" spans="1:10" s="559" customFormat="1">
      <c r="A2890" s="521" t="s">
        <v>318</v>
      </c>
      <c r="B2890" s="522" t="s">
        <v>977</v>
      </c>
      <c r="C2890" s="423" t="s">
        <v>330</v>
      </c>
      <c r="D2890" s="521" t="s">
        <v>978</v>
      </c>
      <c r="E2890" s="522">
        <v>201611</v>
      </c>
      <c r="F2890" s="523">
        <v>97.64</v>
      </c>
      <c r="G2890" s="521">
        <v>5.5</v>
      </c>
      <c r="H2890" s="524">
        <v>1.3083000000000001E-3</v>
      </c>
      <c r="I2890" s="523">
        <v>0.7</v>
      </c>
      <c r="J2890" s="523">
        <v>1.53</v>
      </c>
    </row>
    <row r="2891" spans="1:10" s="559" customFormat="1">
      <c r="A2891" s="521" t="s">
        <v>318</v>
      </c>
      <c r="B2891" s="522" t="s">
        <v>1041</v>
      </c>
      <c r="C2891" s="423" t="s">
        <v>330</v>
      </c>
      <c r="D2891" s="521" t="s">
        <v>1042</v>
      </c>
      <c r="E2891" s="522">
        <v>201611</v>
      </c>
      <c r="F2891" s="523">
        <v>2680.46</v>
      </c>
      <c r="G2891" s="521">
        <v>5.5</v>
      </c>
      <c r="H2891" s="524">
        <v>1.3083000000000001E-3</v>
      </c>
      <c r="I2891" s="523">
        <v>19.29</v>
      </c>
      <c r="J2891" s="523">
        <v>42.08</v>
      </c>
    </row>
    <row r="2892" spans="1:10" s="559" customFormat="1">
      <c r="A2892" s="521" t="s">
        <v>318</v>
      </c>
      <c r="B2892" s="522" t="s">
        <v>979</v>
      </c>
      <c r="C2892" s="423" t="s">
        <v>330</v>
      </c>
      <c r="D2892" s="521" t="s">
        <v>980</v>
      </c>
      <c r="E2892" s="522">
        <v>201611</v>
      </c>
      <c r="F2892" s="523">
        <v>18.420000000000002</v>
      </c>
      <c r="G2892" s="521">
        <v>5.5</v>
      </c>
      <c r="H2892" s="524">
        <v>1.3083000000000001E-3</v>
      </c>
      <c r="I2892" s="523">
        <v>0.13</v>
      </c>
      <c r="J2892" s="523">
        <v>0.28999999999999998</v>
      </c>
    </row>
    <row r="2893" spans="1:10" s="559" customFormat="1">
      <c r="A2893" s="521" t="s">
        <v>318</v>
      </c>
      <c r="B2893" s="522" t="s">
        <v>981</v>
      </c>
      <c r="C2893" s="423" t="s">
        <v>330</v>
      </c>
      <c r="D2893" s="521" t="s">
        <v>1014</v>
      </c>
      <c r="E2893" s="522">
        <v>201611</v>
      </c>
      <c r="F2893" s="523">
        <v>672.44</v>
      </c>
      <c r="G2893" s="521">
        <v>5.5</v>
      </c>
      <c r="H2893" s="524">
        <v>1.3083000000000001E-3</v>
      </c>
      <c r="I2893" s="523">
        <v>4.84</v>
      </c>
      <c r="J2893" s="523">
        <v>10.56</v>
      </c>
    </row>
    <row r="2894" spans="1:10" s="559" customFormat="1">
      <c r="A2894" s="521" t="s">
        <v>318</v>
      </c>
      <c r="B2894" s="522" t="s">
        <v>874</v>
      </c>
      <c r="C2894" s="423" t="s">
        <v>330</v>
      </c>
      <c r="D2894" s="521" t="s">
        <v>875</v>
      </c>
      <c r="E2894" s="522">
        <v>201611</v>
      </c>
      <c r="F2894" s="523">
        <v>1076.58</v>
      </c>
      <c r="G2894" s="521">
        <v>5.5</v>
      </c>
      <c r="H2894" s="524">
        <v>1.3083000000000001E-3</v>
      </c>
      <c r="I2894" s="523">
        <v>7.75</v>
      </c>
      <c r="J2894" s="523">
        <v>16.899999999999999</v>
      </c>
    </row>
    <row r="2895" spans="1:10" s="559" customFormat="1">
      <c r="A2895" s="521" t="s">
        <v>318</v>
      </c>
      <c r="B2895" s="522" t="s">
        <v>983</v>
      </c>
      <c r="C2895" s="423" t="s">
        <v>330</v>
      </c>
      <c r="D2895" s="521" t="s">
        <v>984</v>
      </c>
      <c r="E2895" s="522">
        <v>201611</v>
      </c>
      <c r="F2895" s="523">
        <v>32.549999999999997</v>
      </c>
      <c r="G2895" s="521">
        <v>5.5</v>
      </c>
      <c r="H2895" s="524">
        <v>1.3083000000000001E-3</v>
      </c>
      <c r="I2895" s="523">
        <v>0.23</v>
      </c>
      <c r="J2895" s="523">
        <v>0.51</v>
      </c>
    </row>
    <row r="2896" spans="1:10" s="559" customFormat="1">
      <c r="A2896" s="521" t="s">
        <v>318</v>
      </c>
      <c r="B2896" s="522" t="s">
        <v>1043</v>
      </c>
      <c r="C2896" s="423" t="s">
        <v>330</v>
      </c>
      <c r="D2896" s="521" t="s">
        <v>1044</v>
      </c>
      <c r="E2896" s="522">
        <v>201611</v>
      </c>
      <c r="F2896" s="523">
        <v>25.5</v>
      </c>
      <c r="G2896" s="521">
        <v>5.5</v>
      </c>
      <c r="H2896" s="524">
        <v>1.3083000000000001E-3</v>
      </c>
      <c r="I2896" s="523">
        <v>0.18</v>
      </c>
      <c r="J2896" s="523">
        <v>0.4</v>
      </c>
    </row>
    <row r="2897" spans="1:10" s="559" customFormat="1">
      <c r="A2897" s="521" t="s">
        <v>318</v>
      </c>
      <c r="B2897" s="522" t="s">
        <v>876</v>
      </c>
      <c r="C2897" s="423" t="s">
        <v>330</v>
      </c>
      <c r="D2897" s="521" t="s">
        <v>877</v>
      </c>
      <c r="E2897" s="522">
        <v>201611</v>
      </c>
      <c r="F2897" s="523">
        <v>-44.26</v>
      </c>
      <c r="G2897" s="521">
        <v>5.5</v>
      </c>
      <c r="H2897" s="524">
        <v>1.3083000000000001E-3</v>
      </c>
      <c r="I2897" s="523">
        <v>-0.32</v>
      </c>
      <c r="J2897" s="523">
        <v>-0.69</v>
      </c>
    </row>
    <row r="2898" spans="1:10" s="559" customFormat="1">
      <c r="A2898" s="521" t="s">
        <v>318</v>
      </c>
      <c r="B2898" s="522" t="s">
        <v>1045</v>
      </c>
      <c r="C2898" s="423" t="s">
        <v>330</v>
      </c>
      <c r="D2898" s="521" t="s">
        <v>1046</v>
      </c>
      <c r="E2898" s="522">
        <v>201611</v>
      </c>
      <c r="F2898" s="523">
        <v>13.63</v>
      </c>
      <c r="G2898" s="521">
        <v>5.5</v>
      </c>
      <c r="H2898" s="524">
        <v>1.3083000000000001E-3</v>
      </c>
      <c r="I2898" s="523">
        <v>0.1</v>
      </c>
      <c r="J2898" s="523">
        <v>0.21</v>
      </c>
    </row>
    <row r="2899" spans="1:10" s="559" customFormat="1">
      <c r="A2899" s="521" t="s">
        <v>318</v>
      </c>
      <c r="B2899" s="522" t="s">
        <v>987</v>
      </c>
      <c r="C2899" s="423" t="s">
        <v>330</v>
      </c>
      <c r="D2899" s="521" t="s">
        <v>988</v>
      </c>
      <c r="E2899" s="522">
        <v>201611</v>
      </c>
      <c r="F2899" s="523">
        <v>1.5</v>
      </c>
      <c r="G2899" s="521">
        <v>5.5</v>
      </c>
      <c r="H2899" s="524">
        <v>1.3083000000000001E-3</v>
      </c>
      <c r="I2899" s="523">
        <v>0.01</v>
      </c>
      <c r="J2899" s="523">
        <v>0.02</v>
      </c>
    </row>
    <row r="2900" spans="1:10" s="559" customFormat="1">
      <c r="A2900" s="521" t="s">
        <v>318</v>
      </c>
      <c r="B2900" s="522" t="s">
        <v>991</v>
      </c>
      <c r="C2900" s="423" t="s">
        <v>330</v>
      </c>
      <c r="D2900" s="521" t="s">
        <v>992</v>
      </c>
      <c r="E2900" s="522">
        <v>201611</v>
      </c>
      <c r="F2900" s="523">
        <v>18.510000000000002</v>
      </c>
      <c r="G2900" s="521">
        <v>5.5</v>
      </c>
      <c r="H2900" s="524">
        <v>1.3083000000000001E-3</v>
      </c>
      <c r="I2900" s="523">
        <v>0.13</v>
      </c>
      <c r="J2900" s="523">
        <v>0.28999999999999998</v>
      </c>
    </row>
    <row r="2901" spans="1:10" s="559" customFormat="1">
      <c r="A2901" s="521" t="s">
        <v>318</v>
      </c>
      <c r="B2901" s="522" t="s">
        <v>880</v>
      </c>
      <c r="C2901" s="423" t="s">
        <v>330</v>
      </c>
      <c r="D2901" s="521" t="s">
        <v>881</v>
      </c>
      <c r="E2901" s="522">
        <v>201611</v>
      </c>
      <c r="F2901" s="523">
        <v>57274.94</v>
      </c>
      <c r="G2901" s="521">
        <v>5.5</v>
      </c>
      <c r="H2901" s="524">
        <v>1.3083000000000001E-3</v>
      </c>
      <c r="I2901" s="523">
        <v>412.13</v>
      </c>
      <c r="J2901" s="523">
        <v>899.19</v>
      </c>
    </row>
    <row r="2902" spans="1:10" s="559" customFormat="1">
      <c r="A2902" s="521" t="s">
        <v>318</v>
      </c>
      <c r="B2902" s="522" t="s">
        <v>993</v>
      </c>
      <c r="C2902" s="423" t="s">
        <v>330</v>
      </c>
      <c r="D2902" s="521" t="s">
        <v>994</v>
      </c>
      <c r="E2902" s="522">
        <v>201611</v>
      </c>
      <c r="F2902" s="523">
        <v>666.93</v>
      </c>
      <c r="G2902" s="521">
        <v>5.5</v>
      </c>
      <c r="H2902" s="524">
        <v>1.3083000000000001E-3</v>
      </c>
      <c r="I2902" s="523">
        <v>4.8</v>
      </c>
      <c r="J2902" s="523">
        <v>10.47</v>
      </c>
    </row>
    <row r="2903" spans="1:10" s="559" customFormat="1">
      <c r="A2903" s="521" t="s">
        <v>318</v>
      </c>
      <c r="B2903" s="522" t="s">
        <v>891</v>
      </c>
      <c r="C2903" s="423" t="s">
        <v>331</v>
      </c>
      <c r="D2903" s="521" t="s">
        <v>892</v>
      </c>
      <c r="E2903" s="522">
        <v>201611</v>
      </c>
      <c r="F2903" s="523">
        <v>53.07</v>
      </c>
      <c r="G2903" s="521">
        <v>5.5</v>
      </c>
      <c r="H2903" s="524">
        <v>1.3083000000000001E-3</v>
      </c>
      <c r="I2903" s="523">
        <v>0.38</v>
      </c>
      <c r="J2903" s="523">
        <v>0.83</v>
      </c>
    </row>
    <row r="2904" spans="1:10" s="559" customFormat="1">
      <c r="A2904" s="521" t="s">
        <v>318</v>
      </c>
      <c r="B2904" s="522" t="s">
        <v>996</v>
      </c>
      <c r="C2904" s="423" t="s">
        <v>330</v>
      </c>
      <c r="D2904" s="521" t="s">
        <v>997</v>
      </c>
      <c r="E2904" s="522">
        <v>201611</v>
      </c>
      <c r="F2904" s="523">
        <v>1084.55</v>
      </c>
      <c r="G2904" s="521">
        <v>5.5</v>
      </c>
      <c r="H2904" s="524">
        <v>1.3083000000000001E-3</v>
      </c>
      <c r="I2904" s="523">
        <v>7.8</v>
      </c>
      <c r="J2904" s="523">
        <v>17.03</v>
      </c>
    </row>
    <row r="2905" spans="1:10" s="559" customFormat="1">
      <c r="A2905" s="521" t="s">
        <v>318</v>
      </c>
      <c r="B2905" s="522" t="s">
        <v>887</v>
      </c>
      <c r="C2905" s="423" t="s">
        <v>330</v>
      </c>
      <c r="D2905" s="521" t="s">
        <v>888</v>
      </c>
      <c r="E2905" s="522">
        <v>201611</v>
      </c>
      <c r="F2905" s="523">
        <v>31.01</v>
      </c>
      <c r="G2905" s="521">
        <v>5.5</v>
      </c>
      <c r="H2905" s="524">
        <v>1.3083000000000001E-3</v>
      </c>
      <c r="I2905" s="523">
        <v>0.22</v>
      </c>
      <c r="J2905" s="523">
        <v>0.49</v>
      </c>
    </row>
    <row r="2906" spans="1:10" s="559" customFormat="1">
      <c r="A2906" s="521" t="s">
        <v>318</v>
      </c>
      <c r="B2906" s="522" t="s">
        <v>1075</v>
      </c>
      <c r="C2906" s="423" t="s">
        <v>331</v>
      </c>
      <c r="D2906" s="521" t="s">
        <v>1076</v>
      </c>
      <c r="E2906" s="522">
        <v>201611</v>
      </c>
      <c r="F2906" s="523">
        <v>-4002.6</v>
      </c>
      <c r="G2906" s="521">
        <v>5.5</v>
      </c>
      <c r="H2906" s="524">
        <v>1.3083000000000001E-3</v>
      </c>
      <c r="I2906" s="523">
        <v>-28.8</v>
      </c>
      <c r="J2906" s="523">
        <v>-62.84</v>
      </c>
    </row>
    <row r="2907" spans="1:10" s="559" customFormat="1">
      <c r="A2907" s="521" t="s">
        <v>318</v>
      </c>
      <c r="B2907" s="522" t="s">
        <v>1049</v>
      </c>
      <c r="C2907" s="423" t="s">
        <v>330</v>
      </c>
      <c r="D2907" s="521" t="s">
        <v>1050</v>
      </c>
      <c r="E2907" s="522">
        <v>201611</v>
      </c>
      <c r="F2907" s="523">
        <v>148.69999999999999</v>
      </c>
      <c r="G2907" s="521">
        <v>5.5</v>
      </c>
      <c r="H2907" s="524">
        <v>1.3083000000000001E-3</v>
      </c>
      <c r="I2907" s="523">
        <v>1.07</v>
      </c>
      <c r="J2907" s="523">
        <v>2.33</v>
      </c>
    </row>
    <row r="2908" spans="1:10" s="559" customFormat="1">
      <c r="A2908" s="521" t="s">
        <v>318</v>
      </c>
      <c r="B2908" s="522" t="s">
        <v>1077</v>
      </c>
      <c r="C2908" s="423" t="s">
        <v>330</v>
      </c>
      <c r="D2908" s="521" t="s">
        <v>1078</v>
      </c>
      <c r="E2908" s="522">
        <v>201611</v>
      </c>
      <c r="F2908" s="523">
        <v>-244.82</v>
      </c>
      <c r="G2908" s="521">
        <v>5.5</v>
      </c>
      <c r="H2908" s="524">
        <v>1.3083000000000001E-3</v>
      </c>
      <c r="I2908" s="523">
        <v>-1.76</v>
      </c>
      <c r="J2908" s="523">
        <v>-3.84</v>
      </c>
    </row>
    <row r="2909" spans="1:10" s="559" customFormat="1">
      <c r="A2909" s="521" t="s">
        <v>318</v>
      </c>
      <c r="B2909" s="522" t="s">
        <v>1079</v>
      </c>
      <c r="C2909" s="423" t="s">
        <v>330</v>
      </c>
      <c r="D2909" s="521" t="s">
        <v>1080</v>
      </c>
      <c r="E2909" s="522">
        <v>201611</v>
      </c>
      <c r="F2909" s="523">
        <v>-1401.28</v>
      </c>
      <c r="G2909" s="521">
        <v>5.5</v>
      </c>
      <c r="H2909" s="524">
        <v>1.3083000000000001E-3</v>
      </c>
      <c r="I2909" s="523">
        <v>-10.08</v>
      </c>
      <c r="J2909" s="523">
        <v>-22</v>
      </c>
    </row>
    <row r="2910" spans="1:10" s="559" customFormat="1">
      <c r="A2910" s="521" t="s">
        <v>318</v>
      </c>
      <c r="B2910" s="522" t="s">
        <v>1053</v>
      </c>
      <c r="C2910" s="423" t="s">
        <v>331</v>
      </c>
      <c r="D2910" s="521" t="s">
        <v>1054</v>
      </c>
      <c r="E2910" s="522">
        <v>201611</v>
      </c>
      <c r="F2910" s="523">
        <v>0.72</v>
      </c>
      <c r="G2910" s="521">
        <v>5.5</v>
      </c>
      <c r="H2910" s="524">
        <v>1.3083000000000001E-3</v>
      </c>
      <c r="I2910" s="523">
        <v>0.01</v>
      </c>
      <c r="J2910" s="523">
        <v>0.01</v>
      </c>
    </row>
    <row r="2911" spans="1:10" s="559" customFormat="1">
      <c r="A2911" s="521" t="s">
        <v>318</v>
      </c>
      <c r="B2911" s="522" t="s">
        <v>941</v>
      </c>
      <c r="C2911" s="423" t="s">
        <v>330</v>
      </c>
      <c r="D2911" s="521" t="s">
        <v>942</v>
      </c>
      <c r="E2911" s="522">
        <v>201612</v>
      </c>
      <c r="F2911" s="523">
        <v>-50.77</v>
      </c>
      <c r="G2911" s="521">
        <v>4.5</v>
      </c>
      <c r="H2911" s="524">
        <v>1.3083000000000001E-3</v>
      </c>
      <c r="I2911" s="523">
        <v>-0.3</v>
      </c>
      <c r="J2911" s="523">
        <v>-0.8</v>
      </c>
    </row>
    <row r="2912" spans="1:10" s="559" customFormat="1">
      <c r="A2912" s="521" t="s">
        <v>318</v>
      </c>
      <c r="B2912" s="522" t="s">
        <v>856</v>
      </c>
      <c r="C2912" s="423" t="s">
        <v>330</v>
      </c>
      <c r="D2912" s="521" t="s">
        <v>857</v>
      </c>
      <c r="E2912" s="522">
        <v>201612</v>
      </c>
      <c r="F2912" s="523">
        <v>-35792.54</v>
      </c>
      <c r="G2912" s="521">
        <v>4.5</v>
      </c>
      <c r="H2912" s="524">
        <v>1.3083000000000001E-3</v>
      </c>
      <c r="I2912" s="523">
        <v>-210.72</v>
      </c>
      <c r="J2912" s="523">
        <v>-561.92999999999995</v>
      </c>
    </row>
    <row r="2913" spans="1:10" s="559" customFormat="1">
      <c r="A2913" s="521" t="s">
        <v>318</v>
      </c>
      <c r="B2913" s="522" t="s">
        <v>856</v>
      </c>
      <c r="C2913" s="423" t="s">
        <v>330</v>
      </c>
      <c r="D2913" s="521" t="s">
        <v>857</v>
      </c>
      <c r="E2913" s="522">
        <v>201612</v>
      </c>
      <c r="F2913" s="523">
        <v>62513.919999999998</v>
      </c>
      <c r="G2913" s="521">
        <v>4.5</v>
      </c>
      <c r="H2913" s="524">
        <v>1.3083000000000001E-3</v>
      </c>
      <c r="I2913" s="523">
        <v>368.04</v>
      </c>
      <c r="J2913" s="523">
        <v>981.44</v>
      </c>
    </row>
    <row r="2914" spans="1:10" s="559" customFormat="1">
      <c r="A2914" s="521" t="s">
        <v>318</v>
      </c>
      <c r="B2914" s="522" t="s">
        <v>800</v>
      </c>
      <c r="C2914" s="423" t="s">
        <v>330</v>
      </c>
      <c r="D2914" s="521" t="s">
        <v>830</v>
      </c>
      <c r="E2914" s="522">
        <v>201612</v>
      </c>
      <c r="F2914" s="523">
        <v>7779.01</v>
      </c>
      <c r="G2914" s="521">
        <v>4.5</v>
      </c>
      <c r="H2914" s="524">
        <v>1.3083000000000001E-3</v>
      </c>
      <c r="I2914" s="523">
        <v>45.8</v>
      </c>
      <c r="J2914" s="523">
        <v>122.13</v>
      </c>
    </row>
    <row r="2915" spans="1:10" s="559" customFormat="1">
      <c r="A2915" s="521" t="s">
        <v>318</v>
      </c>
      <c r="B2915" s="522" t="s">
        <v>629</v>
      </c>
      <c r="C2915" s="423" t="s">
        <v>330</v>
      </c>
      <c r="D2915" s="521" t="s">
        <v>630</v>
      </c>
      <c r="E2915" s="522">
        <v>201612</v>
      </c>
      <c r="F2915" s="523">
        <v>15.81</v>
      </c>
      <c r="G2915" s="521">
        <v>4.5</v>
      </c>
      <c r="H2915" s="524">
        <v>1.3083000000000001E-3</v>
      </c>
      <c r="I2915" s="523">
        <v>0.09</v>
      </c>
      <c r="J2915" s="523">
        <v>0.25</v>
      </c>
    </row>
    <row r="2916" spans="1:10" s="559" customFormat="1">
      <c r="A2916" s="521" t="s">
        <v>318</v>
      </c>
      <c r="B2916" s="522" t="s">
        <v>838</v>
      </c>
      <c r="C2916" s="423" t="s">
        <v>330</v>
      </c>
      <c r="D2916" s="521" t="s">
        <v>1015</v>
      </c>
      <c r="E2916" s="522">
        <v>201612</v>
      </c>
      <c r="F2916" s="523">
        <v>120449.78</v>
      </c>
      <c r="G2916" s="521">
        <v>4.5</v>
      </c>
      <c r="H2916" s="524">
        <v>1.3083000000000001E-3</v>
      </c>
      <c r="I2916" s="523">
        <v>709.13</v>
      </c>
      <c r="J2916" s="523">
        <v>1891.01</v>
      </c>
    </row>
    <row r="2917" spans="1:10" s="559" customFormat="1">
      <c r="A2917" s="521" t="s">
        <v>318</v>
      </c>
      <c r="B2917" s="522" t="s">
        <v>801</v>
      </c>
      <c r="C2917" s="423" t="s">
        <v>330</v>
      </c>
      <c r="D2917" s="521" t="s">
        <v>802</v>
      </c>
      <c r="E2917" s="522">
        <v>201612</v>
      </c>
      <c r="F2917" s="523">
        <v>-17.36</v>
      </c>
      <c r="G2917" s="521">
        <v>4.5</v>
      </c>
      <c r="H2917" s="524">
        <v>1.3083000000000001E-3</v>
      </c>
      <c r="I2917" s="523">
        <v>-0.1</v>
      </c>
      <c r="J2917" s="523">
        <v>-0.27</v>
      </c>
    </row>
    <row r="2918" spans="1:10" s="559" customFormat="1">
      <c r="A2918" s="521" t="s">
        <v>318</v>
      </c>
      <c r="B2918" s="522" t="s">
        <v>803</v>
      </c>
      <c r="C2918" s="423" t="s">
        <v>330</v>
      </c>
      <c r="D2918" s="521" t="s">
        <v>804</v>
      </c>
      <c r="E2918" s="522">
        <v>201612</v>
      </c>
      <c r="F2918" s="523">
        <v>-77.91</v>
      </c>
      <c r="G2918" s="521">
        <v>4.5</v>
      </c>
      <c r="H2918" s="524">
        <v>1.3083000000000001E-3</v>
      </c>
      <c r="I2918" s="523">
        <v>-0.46</v>
      </c>
      <c r="J2918" s="523">
        <v>-1.22</v>
      </c>
    </row>
    <row r="2919" spans="1:10" s="559" customFormat="1">
      <c r="A2919" s="521" t="s">
        <v>318</v>
      </c>
      <c r="B2919" s="522" t="s">
        <v>805</v>
      </c>
      <c r="C2919" s="423" t="s">
        <v>330</v>
      </c>
      <c r="D2919" s="521" t="s">
        <v>806</v>
      </c>
      <c r="E2919" s="522">
        <v>201612</v>
      </c>
      <c r="F2919" s="523">
        <v>1.1499999999999999</v>
      </c>
      <c r="G2919" s="521">
        <v>4.5</v>
      </c>
      <c r="H2919" s="524">
        <v>1.3083000000000001E-3</v>
      </c>
      <c r="I2919" s="523">
        <v>0.01</v>
      </c>
      <c r="J2919" s="523">
        <v>0.02</v>
      </c>
    </row>
    <row r="2920" spans="1:10" s="559" customFormat="1">
      <c r="A2920" s="521" t="s">
        <v>318</v>
      </c>
      <c r="B2920" s="522" t="s">
        <v>1033</v>
      </c>
      <c r="C2920" s="423" t="s">
        <v>330</v>
      </c>
      <c r="D2920" s="521" t="s">
        <v>1034</v>
      </c>
      <c r="E2920" s="522">
        <v>201612</v>
      </c>
      <c r="F2920" s="523">
        <v>107.19</v>
      </c>
      <c r="G2920" s="521">
        <v>4.5</v>
      </c>
      <c r="H2920" s="524">
        <v>1.3083000000000001E-3</v>
      </c>
      <c r="I2920" s="523">
        <v>0.63</v>
      </c>
      <c r="J2920" s="523">
        <v>1.68</v>
      </c>
    </row>
    <row r="2921" spans="1:10" s="559" customFormat="1">
      <c r="A2921" s="521" t="s">
        <v>318</v>
      </c>
      <c r="B2921" s="522" t="s">
        <v>832</v>
      </c>
      <c r="C2921" s="423" t="s">
        <v>330</v>
      </c>
      <c r="D2921" s="521" t="s">
        <v>833</v>
      </c>
      <c r="E2921" s="522">
        <v>201612</v>
      </c>
      <c r="F2921" s="523">
        <v>2.13</v>
      </c>
      <c r="G2921" s="521">
        <v>4.5</v>
      </c>
      <c r="H2921" s="524">
        <v>1.3083000000000001E-3</v>
      </c>
      <c r="I2921" s="523">
        <v>0.01</v>
      </c>
      <c r="J2921" s="523">
        <v>0.03</v>
      </c>
    </row>
    <row r="2922" spans="1:10" s="559" customFormat="1">
      <c r="A2922" s="521" t="s">
        <v>318</v>
      </c>
      <c r="B2922" s="522" t="s">
        <v>834</v>
      </c>
      <c r="C2922" s="423" t="s">
        <v>330</v>
      </c>
      <c r="D2922" s="521" t="s">
        <v>835</v>
      </c>
      <c r="E2922" s="522">
        <v>201612</v>
      </c>
      <c r="F2922" s="523">
        <v>240834.66</v>
      </c>
      <c r="G2922" s="521">
        <v>4.5</v>
      </c>
      <c r="H2922" s="524">
        <v>1.3083000000000001E-3</v>
      </c>
      <c r="I2922" s="523">
        <v>1417.88</v>
      </c>
      <c r="J2922" s="523">
        <v>3781.01</v>
      </c>
    </row>
    <row r="2923" spans="1:10" s="559" customFormat="1">
      <c r="A2923" s="521" t="s">
        <v>318</v>
      </c>
      <c r="B2923" s="522" t="s">
        <v>951</v>
      </c>
      <c r="C2923" s="423" t="s">
        <v>330</v>
      </c>
      <c r="D2923" s="521" t="s">
        <v>952</v>
      </c>
      <c r="E2923" s="522">
        <v>201612</v>
      </c>
      <c r="F2923" s="523">
        <v>-108.99</v>
      </c>
      <c r="G2923" s="521">
        <v>4.5</v>
      </c>
      <c r="H2923" s="524">
        <v>1.3083000000000001E-3</v>
      </c>
      <c r="I2923" s="523">
        <v>-0.64</v>
      </c>
      <c r="J2923" s="523">
        <v>-1.71</v>
      </c>
    </row>
    <row r="2924" spans="1:10" s="559" customFormat="1">
      <c r="A2924" s="521" t="s">
        <v>318</v>
      </c>
      <c r="B2924" s="522" t="s">
        <v>953</v>
      </c>
      <c r="C2924" s="423" t="s">
        <v>330</v>
      </c>
      <c r="D2924" s="521" t="s">
        <v>954</v>
      </c>
      <c r="E2924" s="522">
        <v>201612</v>
      </c>
      <c r="F2924" s="523">
        <v>-6165.57</v>
      </c>
      <c r="G2924" s="521">
        <v>4.5</v>
      </c>
      <c r="H2924" s="524">
        <v>1.3083000000000001E-3</v>
      </c>
      <c r="I2924" s="523">
        <v>-36.299999999999997</v>
      </c>
      <c r="J2924" s="523">
        <v>-96.8</v>
      </c>
    </row>
    <row r="2925" spans="1:10" s="559" customFormat="1">
      <c r="A2925" s="521" t="s">
        <v>318</v>
      </c>
      <c r="B2925" s="522" t="s">
        <v>955</v>
      </c>
      <c r="C2925" s="423" t="s">
        <v>330</v>
      </c>
      <c r="D2925" s="521" t="s">
        <v>956</v>
      </c>
      <c r="E2925" s="522">
        <v>201612</v>
      </c>
      <c r="F2925" s="523">
        <v>15.22</v>
      </c>
      <c r="G2925" s="521">
        <v>4.5</v>
      </c>
      <c r="H2925" s="524">
        <v>1.3083000000000001E-3</v>
      </c>
      <c r="I2925" s="523">
        <v>0.09</v>
      </c>
      <c r="J2925" s="523">
        <v>0.24</v>
      </c>
    </row>
    <row r="2926" spans="1:10" s="559" customFormat="1">
      <c r="A2926" s="521" t="s">
        <v>318</v>
      </c>
      <c r="B2926" s="522" t="s">
        <v>893</v>
      </c>
      <c r="C2926" s="423" t="s">
        <v>331</v>
      </c>
      <c r="D2926" s="521" t="s">
        <v>894</v>
      </c>
      <c r="E2926" s="522">
        <v>201612</v>
      </c>
      <c r="F2926" s="523">
        <v>-2500.42</v>
      </c>
      <c r="G2926" s="521">
        <v>4.5</v>
      </c>
      <c r="H2926" s="524">
        <v>1.3083000000000001E-3</v>
      </c>
      <c r="I2926" s="523">
        <v>-14.72</v>
      </c>
      <c r="J2926" s="523">
        <v>-39.26</v>
      </c>
    </row>
    <row r="2927" spans="1:10" s="559" customFormat="1">
      <c r="A2927" s="521" t="s">
        <v>318</v>
      </c>
      <c r="B2927" s="522" t="s">
        <v>814</v>
      </c>
      <c r="C2927" s="423" t="s">
        <v>330</v>
      </c>
      <c r="D2927" s="521" t="s">
        <v>815</v>
      </c>
      <c r="E2927" s="522">
        <v>201612</v>
      </c>
      <c r="F2927" s="523">
        <v>-69670.28</v>
      </c>
      <c r="G2927" s="521">
        <v>4.5</v>
      </c>
      <c r="H2927" s="524">
        <v>1.3083000000000001E-3</v>
      </c>
      <c r="I2927" s="523">
        <v>-410.17</v>
      </c>
      <c r="J2927" s="523">
        <v>-1093.8</v>
      </c>
    </row>
    <row r="2928" spans="1:10" s="559" customFormat="1">
      <c r="A2928" s="521" t="s">
        <v>318</v>
      </c>
      <c r="B2928" s="522" t="s">
        <v>963</v>
      </c>
      <c r="C2928" s="423" t="s">
        <v>330</v>
      </c>
      <c r="D2928" s="521" t="s">
        <v>964</v>
      </c>
      <c r="E2928" s="522">
        <v>201612</v>
      </c>
      <c r="F2928" s="523">
        <v>22.03</v>
      </c>
      <c r="G2928" s="521">
        <v>4.5</v>
      </c>
      <c r="H2928" s="524">
        <v>1.3083000000000001E-3</v>
      </c>
      <c r="I2928" s="523">
        <v>0.13</v>
      </c>
      <c r="J2928" s="523">
        <v>0.35</v>
      </c>
    </row>
    <row r="2929" spans="1:10" s="559" customFormat="1">
      <c r="A2929" s="521" t="s">
        <v>318</v>
      </c>
      <c r="B2929" s="522" t="s">
        <v>862</v>
      </c>
      <c r="C2929" s="423" t="s">
        <v>330</v>
      </c>
      <c r="D2929" s="521" t="s">
        <v>863</v>
      </c>
      <c r="E2929" s="522">
        <v>201612</v>
      </c>
      <c r="F2929" s="523">
        <v>133374.53</v>
      </c>
      <c r="G2929" s="521">
        <v>4.5</v>
      </c>
      <c r="H2929" s="524">
        <v>1.3083000000000001E-3</v>
      </c>
      <c r="I2929" s="523">
        <v>785.22</v>
      </c>
      <c r="J2929" s="523">
        <v>2093.9299999999998</v>
      </c>
    </row>
    <row r="2930" spans="1:10" s="559" customFormat="1">
      <c r="A2930" s="521" t="s">
        <v>318</v>
      </c>
      <c r="B2930" s="522" t="s">
        <v>682</v>
      </c>
      <c r="C2930" s="423" t="s">
        <v>330</v>
      </c>
      <c r="D2930" s="521" t="s">
        <v>683</v>
      </c>
      <c r="E2930" s="522">
        <v>201612</v>
      </c>
      <c r="F2930" s="523">
        <v>4523.67</v>
      </c>
      <c r="G2930" s="521">
        <v>4.5</v>
      </c>
      <c r="H2930" s="524">
        <v>1.3083000000000001E-3</v>
      </c>
      <c r="I2930" s="523">
        <v>26.63</v>
      </c>
      <c r="J2930" s="523">
        <v>71.02</v>
      </c>
    </row>
    <row r="2931" spans="1:10" s="559" customFormat="1">
      <c r="A2931" s="521" t="s">
        <v>318</v>
      </c>
      <c r="B2931" s="522" t="s">
        <v>846</v>
      </c>
      <c r="C2931" s="423" t="s">
        <v>330</v>
      </c>
      <c r="D2931" s="521" t="s">
        <v>847</v>
      </c>
      <c r="E2931" s="522">
        <v>201612</v>
      </c>
      <c r="F2931" s="523">
        <v>153.87</v>
      </c>
      <c r="G2931" s="521">
        <v>4.5</v>
      </c>
      <c r="H2931" s="524">
        <v>1.3083000000000001E-3</v>
      </c>
      <c r="I2931" s="523">
        <v>0.91</v>
      </c>
      <c r="J2931" s="523">
        <v>2.42</v>
      </c>
    </row>
    <row r="2932" spans="1:10" s="559" customFormat="1">
      <c r="A2932" s="521" t="s">
        <v>318</v>
      </c>
      <c r="B2932" s="522" t="s">
        <v>1106</v>
      </c>
      <c r="C2932" s="423" t="s">
        <v>330</v>
      </c>
      <c r="D2932" s="521" t="s">
        <v>1107</v>
      </c>
      <c r="E2932" s="522">
        <v>201612</v>
      </c>
      <c r="F2932" s="523">
        <v>57944.31</v>
      </c>
      <c r="G2932" s="521">
        <v>4.5</v>
      </c>
      <c r="H2932" s="524">
        <v>1.3083000000000001E-3</v>
      </c>
      <c r="I2932" s="523">
        <v>341.14</v>
      </c>
      <c r="J2932" s="523">
        <v>909.7</v>
      </c>
    </row>
    <row r="2933" spans="1:10" s="559" customFormat="1">
      <c r="A2933" s="521" t="s">
        <v>318</v>
      </c>
      <c r="B2933" s="522" t="s">
        <v>899</v>
      </c>
      <c r="C2933" s="423" t="s">
        <v>331</v>
      </c>
      <c r="D2933" s="521" t="s">
        <v>900</v>
      </c>
      <c r="E2933" s="522">
        <v>201612</v>
      </c>
      <c r="F2933" s="523">
        <v>1610.16</v>
      </c>
      <c r="G2933" s="521">
        <v>4.5</v>
      </c>
      <c r="H2933" s="524">
        <v>1.3083000000000001E-3</v>
      </c>
      <c r="I2933" s="523">
        <v>9.48</v>
      </c>
      <c r="J2933" s="523">
        <v>25.28</v>
      </c>
    </row>
    <row r="2934" spans="1:10" s="559" customFormat="1">
      <c r="A2934" s="521" t="s">
        <v>318</v>
      </c>
      <c r="B2934" s="522" t="s">
        <v>822</v>
      </c>
      <c r="C2934" s="423" t="s">
        <v>330</v>
      </c>
      <c r="D2934" s="521" t="s">
        <v>823</v>
      </c>
      <c r="E2934" s="522">
        <v>201612</v>
      </c>
      <c r="F2934" s="523">
        <v>-20.13</v>
      </c>
      <c r="G2934" s="521">
        <v>4.5</v>
      </c>
      <c r="H2934" s="524">
        <v>1.3083000000000001E-3</v>
      </c>
      <c r="I2934" s="523">
        <v>-0.12</v>
      </c>
      <c r="J2934" s="523">
        <v>-0.32</v>
      </c>
    </row>
    <row r="2935" spans="1:10" s="559" customFormat="1">
      <c r="A2935" s="521" t="s">
        <v>318</v>
      </c>
      <c r="B2935" s="522" t="s">
        <v>822</v>
      </c>
      <c r="C2935" s="423" t="s">
        <v>330</v>
      </c>
      <c r="D2935" s="521" t="s">
        <v>823</v>
      </c>
      <c r="E2935" s="522">
        <v>201612</v>
      </c>
      <c r="F2935" s="523">
        <v>-7.28</v>
      </c>
      <c r="G2935" s="521">
        <v>4.5</v>
      </c>
      <c r="H2935" s="524">
        <v>1.3083000000000001E-3</v>
      </c>
      <c r="I2935" s="523">
        <v>-0.04</v>
      </c>
      <c r="J2935" s="523">
        <v>-0.11</v>
      </c>
    </row>
    <row r="2936" spans="1:10" s="559" customFormat="1">
      <c r="A2936" s="521" t="s">
        <v>318</v>
      </c>
      <c r="B2936" s="522" t="s">
        <v>973</v>
      </c>
      <c r="C2936" s="423" t="s">
        <v>330</v>
      </c>
      <c r="D2936" s="521" t="s">
        <v>974</v>
      </c>
      <c r="E2936" s="522">
        <v>201612</v>
      </c>
      <c r="F2936" s="523">
        <v>1135.27</v>
      </c>
      <c r="G2936" s="521">
        <v>4.5</v>
      </c>
      <c r="H2936" s="524">
        <v>1.3083000000000001E-3</v>
      </c>
      <c r="I2936" s="523">
        <v>6.68</v>
      </c>
      <c r="J2936" s="523">
        <v>17.82</v>
      </c>
    </row>
    <row r="2937" spans="1:10" s="559" customFormat="1">
      <c r="A2937" s="521" t="s">
        <v>318</v>
      </c>
      <c r="B2937" s="522" t="s">
        <v>868</v>
      </c>
      <c r="C2937" s="423" t="s">
        <v>330</v>
      </c>
      <c r="D2937" s="521" t="s">
        <v>869</v>
      </c>
      <c r="E2937" s="522">
        <v>201612</v>
      </c>
      <c r="F2937" s="523">
        <v>20.45</v>
      </c>
      <c r="G2937" s="521">
        <v>4.5</v>
      </c>
      <c r="H2937" s="524">
        <v>1.3083000000000001E-3</v>
      </c>
      <c r="I2937" s="523">
        <v>0.12</v>
      </c>
      <c r="J2937" s="523">
        <v>0.32</v>
      </c>
    </row>
    <row r="2938" spans="1:10" s="559" customFormat="1">
      <c r="A2938" s="521" t="s">
        <v>318</v>
      </c>
      <c r="B2938" s="522" t="s">
        <v>868</v>
      </c>
      <c r="C2938" s="423" t="s">
        <v>330</v>
      </c>
      <c r="D2938" s="521" t="s">
        <v>869</v>
      </c>
      <c r="E2938" s="522">
        <v>201612</v>
      </c>
      <c r="F2938" s="523">
        <v>197.15</v>
      </c>
      <c r="G2938" s="521">
        <v>4.5</v>
      </c>
      <c r="H2938" s="524">
        <v>1.3083000000000001E-3</v>
      </c>
      <c r="I2938" s="523">
        <v>1.1599999999999999</v>
      </c>
      <c r="J2938" s="523">
        <v>3.1</v>
      </c>
    </row>
    <row r="2939" spans="1:10" s="559" customFormat="1">
      <c r="A2939" s="521" t="s">
        <v>318</v>
      </c>
      <c r="B2939" s="522" t="s">
        <v>1108</v>
      </c>
      <c r="C2939" s="423" t="s">
        <v>330</v>
      </c>
      <c r="D2939" s="521" t="s">
        <v>1109</v>
      </c>
      <c r="E2939" s="522">
        <v>201612</v>
      </c>
      <c r="F2939" s="523">
        <v>170103.86</v>
      </c>
      <c r="G2939" s="521">
        <v>4.5</v>
      </c>
      <c r="H2939" s="524">
        <v>1.3083000000000001E-3</v>
      </c>
      <c r="I2939" s="523">
        <v>1001.46</v>
      </c>
      <c r="J2939" s="523">
        <v>2670.56</v>
      </c>
    </row>
    <row r="2940" spans="1:10" s="559" customFormat="1">
      <c r="A2940" s="521" t="s">
        <v>318</v>
      </c>
      <c r="B2940" s="522" t="s">
        <v>1069</v>
      </c>
      <c r="C2940" s="423" t="s">
        <v>330</v>
      </c>
      <c r="D2940" s="521" t="s">
        <v>1105</v>
      </c>
      <c r="E2940" s="522">
        <v>201612</v>
      </c>
      <c r="F2940" s="523">
        <v>105.43</v>
      </c>
      <c r="G2940" s="521">
        <v>4.5</v>
      </c>
      <c r="H2940" s="524">
        <v>1.3083000000000001E-3</v>
      </c>
      <c r="I2940" s="523">
        <v>0.62</v>
      </c>
      <c r="J2940" s="523">
        <v>1.66</v>
      </c>
    </row>
    <row r="2941" spans="1:10" s="559" customFormat="1">
      <c r="A2941" s="521" t="s">
        <v>318</v>
      </c>
      <c r="B2941" s="522" t="s">
        <v>975</v>
      </c>
      <c r="C2941" s="423" t="s">
        <v>330</v>
      </c>
      <c r="D2941" s="521" t="s">
        <v>976</v>
      </c>
      <c r="E2941" s="522">
        <v>201612</v>
      </c>
      <c r="F2941" s="523">
        <v>-150.44999999999999</v>
      </c>
      <c r="G2941" s="521">
        <v>4.5</v>
      </c>
      <c r="H2941" s="524">
        <v>1.3083000000000001E-3</v>
      </c>
      <c r="I2941" s="523">
        <v>-0.89</v>
      </c>
      <c r="J2941" s="523">
        <v>-2.36</v>
      </c>
    </row>
    <row r="2942" spans="1:10" s="559" customFormat="1">
      <c r="A2942" s="521" t="s">
        <v>318</v>
      </c>
      <c r="B2942" s="522" t="s">
        <v>852</v>
      </c>
      <c r="C2942" s="423" t="s">
        <v>330</v>
      </c>
      <c r="D2942" s="521" t="s">
        <v>853</v>
      </c>
      <c r="E2942" s="522">
        <v>201612</v>
      </c>
      <c r="F2942" s="523">
        <v>127.9</v>
      </c>
      <c r="G2942" s="521">
        <v>4.5</v>
      </c>
      <c r="H2942" s="524">
        <v>1.3083000000000001E-3</v>
      </c>
      <c r="I2942" s="523">
        <v>0.75</v>
      </c>
      <c r="J2942" s="523">
        <v>2.0099999999999998</v>
      </c>
    </row>
    <row r="2943" spans="1:10" s="559" customFormat="1">
      <c r="A2943" s="521" t="s">
        <v>318</v>
      </c>
      <c r="B2943" s="522" t="s">
        <v>870</v>
      </c>
      <c r="C2943" s="423" t="s">
        <v>330</v>
      </c>
      <c r="D2943" s="521" t="s">
        <v>871</v>
      </c>
      <c r="E2943" s="522">
        <v>201612</v>
      </c>
      <c r="F2943" s="523">
        <v>-126.35</v>
      </c>
      <c r="G2943" s="521">
        <v>4.5</v>
      </c>
      <c r="H2943" s="524">
        <v>1.3083000000000001E-3</v>
      </c>
      <c r="I2943" s="523">
        <v>-0.74</v>
      </c>
      <c r="J2943" s="523">
        <v>-1.98</v>
      </c>
    </row>
    <row r="2944" spans="1:10" s="559" customFormat="1">
      <c r="A2944" s="521" t="s">
        <v>318</v>
      </c>
      <c r="B2944" s="522" t="s">
        <v>1039</v>
      </c>
      <c r="C2944" s="423" t="s">
        <v>330</v>
      </c>
      <c r="D2944" s="521" t="s">
        <v>1040</v>
      </c>
      <c r="E2944" s="522">
        <v>201612</v>
      </c>
      <c r="F2944" s="523">
        <v>967.85</v>
      </c>
      <c r="G2944" s="521">
        <v>4.5</v>
      </c>
      <c r="H2944" s="524">
        <v>1.3083000000000001E-3</v>
      </c>
      <c r="I2944" s="523">
        <v>5.7</v>
      </c>
      <c r="J2944" s="523">
        <v>15.19</v>
      </c>
    </row>
    <row r="2945" spans="1:10" s="559" customFormat="1">
      <c r="A2945" s="521" t="s">
        <v>318</v>
      </c>
      <c r="B2945" s="522" t="s">
        <v>872</v>
      </c>
      <c r="C2945" s="423" t="s">
        <v>330</v>
      </c>
      <c r="D2945" s="521" t="s">
        <v>873</v>
      </c>
      <c r="E2945" s="522">
        <v>201612</v>
      </c>
      <c r="F2945" s="523">
        <v>-69.459999999999994</v>
      </c>
      <c r="G2945" s="521">
        <v>4.5</v>
      </c>
      <c r="H2945" s="524">
        <v>1.3083000000000001E-3</v>
      </c>
      <c r="I2945" s="523">
        <v>-0.41</v>
      </c>
      <c r="J2945" s="523">
        <v>-1.0900000000000001</v>
      </c>
    </row>
    <row r="2946" spans="1:10" s="559" customFormat="1">
      <c r="A2946" s="521" t="s">
        <v>318</v>
      </c>
      <c r="B2946" s="522" t="s">
        <v>977</v>
      </c>
      <c r="C2946" s="423" t="s">
        <v>330</v>
      </c>
      <c r="D2946" s="521" t="s">
        <v>978</v>
      </c>
      <c r="E2946" s="522">
        <v>201612</v>
      </c>
      <c r="F2946" s="523">
        <v>9.98</v>
      </c>
      <c r="G2946" s="521">
        <v>4.5</v>
      </c>
      <c r="H2946" s="524">
        <v>1.3083000000000001E-3</v>
      </c>
      <c r="I2946" s="523">
        <v>0.06</v>
      </c>
      <c r="J2946" s="523">
        <v>0.16</v>
      </c>
    </row>
    <row r="2947" spans="1:10" s="559" customFormat="1">
      <c r="A2947" s="521" t="s">
        <v>318</v>
      </c>
      <c r="B2947" s="522" t="s">
        <v>1041</v>
      </c>
      <c r="C2947" s="423" t="s">
        <v>330</v>
      </c>
      <c r="D2947" s="521" t="s">
        <v>1042</v>
      </c>
      <c r="E2947" s="522">
        <v>201612</v>
      </c>
      <c r="F2947" s="523">
        <v>-63.11</v>
      </c>
      <c r="G2947" s="521">
        <v>4.5</v>
      </c>
      <c r="H2947" s="524">
        <v>1.3083000000000001E-3</v>
      </c>
      <c r="I2947" s="523">
        <v>-0.37</v>
      </c>
      <c r="J2947" s="523">
        <v>-0.99</v>
      </c>
    </row>
    <row r="2948" spans="1:10" s="559" customFormat="1">
      <c r="A2948" s="521" t="s">
        <v>318</v>
      </c>
      <c r="B2948" s="522" t="s">
        <v>979</v>
      </c>
      <c r="C2948" s="423" t="s">
        <v>330</v>
      </c>
      <c r="D2948" s="521" t="s">
        <v>980</v>
      </c>
      <c r="E2948" s="522">
        <v>201612</v>
      </c>
      <c r="F2948" s="523">
        <v>1854.14</v>
      </c>
      <c r="G2948" s="521">
        <v>4.5</v>
      </c>
      <c r="H2948" s="524">
        <v>1.3083000000000001E-3</v>
      </c>
      <c r="I2948" s="523">
        <v>10.92</v>
      </c>
      <c r="J2948" s="523">
        <v>29.11</v>
      </c>
    </row>
    <row r="2949" spans="1:10" s="559" customFormat="1">
      <c r="A2949" s="521" t="s">
        <v>318</v>
      </c>
      <c r="B2949" s="522" t="s">
        <v>981</v>
      </c>
      <c r="C2949" s="423" t="s">
        <v>330</v>
      </c>
      <c r="D2949" s="521" t="s">
        <v>1014</v>
      </c>
      <c r="E2949" s="522">
        <v>201612</v>
      </c>
      <c r="F2949" s="523">
        <v>369.02</v>
      </c>
      <c r="G2949" s="521">
        <v>4.5</v>
      </c>
      <c r="H2949" s="524">
        <v>1.3083000000000001E-3</v>
      </c>
      <c r="I2949" s="523">
        <v>2.17</v>
      </c>
      <c r="J2949" s="523">
        <v>5.79</v>
      </c>
    </row>
    <row r="2950" spans="1:10" s="559" customFormat="1">
      <c r="A2950" s="521" t="s">
        <v>318</v>
      </c>
      <c r="B2950" s="522" t="s">
        <v>874</v>
      </c>
      <c r="C2950" s="423" t="s">
        <v>330</v>
      </c>
      <c r="D2950" s="521" t="s">
        <v>875</v>
      </c>
      <c r="E2950" s="522">
        <v>201612</v>
      </c>
      <c r="F2950" s="523">
        <v>72.319999999999993</v>
      </c>
      <c r="G2950" s="521">
        <v>4.5</v>
      </c>
      <c r="H2950" s="524">
        <v>1.3083000000000001E-3</v>
      </c>
      <c r="I2950" s="523">
        <v>0.43</v>
      </c>
      <c r="J2950" s="523">
        <v>1.1399999999999999</v>
      </c>
    </row>
    <row r="2951" spans="1:10" s="559" customFormat="1">
      <c r="A2951" s="521" t="s">
        <v>318</v>
      </c>
      <c r="B2951" s="522" t="s">
        <v>983</v>
      </c>
      <c r="C2951" s="423" t="s">
        <v>330</v>
      </c>
      <c r="D2951" s="521" t="s">
        <v>984</v>
      </c>
      <c r="E2951" s="522">
        <v>201612</v>
      </c>
      <c r="F2951" s="523">
        <v>74.03</v>
      </c>
      <c r="G2951" s="521">
        <v>4.5</v>
      </c>
      <c r="H2951" s="524">
        <v>1.3083000000000001E-3</v>
      </c>
      <c r="I2951" s="523">
        <v>0.44</v>
      </c>
      <c r="J2951" s="523">
        <v>1.1599999999999999</v>
      </c>
    </row>
    <row r="2952" spans="1:10" s="559" customFormat="1">
      <c r="A2952" s="521" t="s">
        <v>318</v>
      </c>
      <c r="B2952" s="522" t="s">
        <v>1043</v>
      </c>
      <c r="C2952" s="423" t="s">
        <v>330</v>
      </c>
      <c r="D2952" s="521" t="s">
        <v>1044</v>
      </c>
      <c r="E2952" s="522">
        <v>201612</v>
      </c>
      <c r="F2952" s="523">
        <v>-0.69</v>
      </c>
      <c r="G2952" s="521">
        <v>4.5</v>
      </c>
      <c r="H2952" s="524">
        <v>1.3083000000000001E-3</v>
      </c>
      <c r="I2952" s="523">
        <v>0</v>
      </c>
      <c r="J2952" s="523">
        <v>-0.01</v>
      </c>
    </row>
    <row r="2953" spans="1:10" s="559" customFormat="1">
      <c r="A2953" s="521" t="s">
        <v>318</v>
      </c>
      <c r="B2953" s="522" t="s">
        <v>876</v>
      </c>
      <c r="C2953" s="423" t="s">
        <v>330</v>
      </c>
      <c r="D2953" s="521" t="s">
        <v>877</v>
      </c>
      <c r="E2953" s="522">
        <v>201612</v>
      </c>
      <c r="F2953" s="523">
        <v>-14</v>
      </c>
      <c r="G2953" s="521">
        <v>4.5</v>
      </c>
      <c r="H2953" s="524">
        <v>1.3083000000000001E-3</v>
      </c>
      <c r="I2953" s="523">
        <v>-0.08</v>
      </c>
      <c r="J2953" s="523">
        <v>-0.22</v>
      </c>
    </row>
    <row r="2954" spans="1:10" s="559" customFormat="1">
      <c r="A2954" s="521" t="s">
        <v>318</v>
      </c>
      <c r="B2954" s="522" t="s">
        <v>1045</v>
      </c>
      <c r="C2954" s="423" t="s">
        <v>330</v>
      </c>
      <c r="D2954" s="521" t="s">
        <v>1046</v>
      </c>
      <c r="E2954" s="522">
        <v>201612</v>
      </c>
      <c r="F2954" s="523">
        <v>-59.87</v>
      </c>
      <c r="G2954" s="521">
        <v>4.5</v>
      </c>
      <c r="H2954" s="524">
        <v>1.3083000000000001E-3</v>
      </c>
      <c r="I2954" s="523">
        <v>-0.35</v>
      </c>
      <c r="J2954" s="523">
        <v>-0.94</v>
      </c>
    </row>
    <row r="2955" spans="1:10" s="559" customFormat="1">
      <c r="A2955" s="521" t="s">
        <v>318</v>
      </c>
      <c r="B2955" s="522" t="s">
        <v>985</v>
      </c>
      <c r="C2955" s="423" t="s">
        <v>330</v>
      </c>
      <c r="D2955" s="521" t="s">
        <v>986</v>
      </c>
      <c r="E2955" s="522">
        <v>201612</v>
      </c>
      <c r="F2955" s="523">
        <v>1367.04</v>
      </c>
      <c r="G2955" s="521">
        <v>4.5</v>
      </c>
      <c r="H2955" s="524">
        <v>1.3083000000000001E-3</v>
      </c>
      <c r="I2955" s="523">
        <v>8.0500000000000007</v>
      </c>
      <c r="J2955" s="523">
        <v>21.46</v>
      </c>
    </row>
    <row r="2956" spans="1:10" s="559" customFormat="1">
      <c r="A2956" s="521" t="s">
        <v>318</v>
      </c>
      <c r="B2956" s="522" t="s">
        <v>878</v>
      </c>
      <c r="C2956" s="423" t="s">
        <v>330</v>
      </c>
      <c r="D2956" s="521" t="s">
        <v>879</v>
      </c>
      <c r="E2956" s="522">
        <v>201612</v>
      </c>
      <c r="F2956" s="523">
        <v>-482.09</v>
      </c>
      <c r="G2956" s="521">
        <v>4.5</v>
      </c>
      <c r="H2956" s="524">
        <v>1.3083000000000001E-3</v>
      </c>
      <c r="I2956" s="523">
        <v>-2.84</v>
      </c>
      <c r="J2956" s="523">
        <v>-7.57</v>
      </c>
    </row>
    <row r="2957" spans="1:10" s="559" customFormat="1">
      <c r="A2957" s="521" t="s">
        <v>318</v>
      </c>
      <c r="B2957" s="522" t="s">
        <v>987</v>
      </c>
      <c r="C2957" s="423" t="s">
        <v>330</v>
      </c>
      <c r="D2957" s="521" t="s">
        <v>988</v>
      </c>
      <c r="E2957" s="522">
        <v>201612</v>
      </c>
      <c r="F2957" s="523">
        <v>-1.0900000000000001</v>
      </c>
      <c r="G2957" s="521">
        <v>4.5</v>
      </c>
      <c r="H2957" s="524">
        <v>1.3083000000000001E-3</v>
      </c>
      <c r="I2957" s="523">
        <v>-0.01</v>
      </c>
      <c r="J2957" s="523">
        <v>-0.02</v>
      </c>
    </row>
    <row r="2958" spans="1:10" s="559" customFormat="1">
      <c r="A2958" s="521" t="s">
        <v>318</v>
      </c>
      <c r="B2958" s="522" t="s">
        <v>989</v>
      </c>
      <c r="C2958" s="423" t="s">
        <v>330</v>
      </c>
      <c r="D2958" s="521" t="s">
        <v>990</v>
      </c>
      <c r="E2958" s="522">
        <v>201612</v>
      </c>
      <c r="F2958" s="523">
        <v>-13.71</v>
      </c>
      <c r="G2958" s="521">
        <v>4.5</v>
      </c>
      <c r="H2958" s="524">
        <v>1.3083000000000001E-3</v>
      </c>
      <c r="I2958" s="523">
        <v>-0.08</v>
      </c>
      <c r="J2958" s="523">
        <v>-0.22</v>
      </c>
    </row>
    <row r="2959" spans="1:10" s="559" customFormat="1">
      <c r="A2959" s="521" t="s">
        <v>318</v>
      </c>
      <c r="B2959" s="522" t="s">
        <v>991</v>
      </c>
      <c r="C2959" s="423" t="s">
        <v>330</v>
      </c>
      <c r="D2959" s="521" t="s">
        <v>992</v>
      </c>
      <c r="E2959" s="522">
        <v>201612</v>
      </c>
      <c r="F2959" s="523">
        <v>20.11</v>
      </c>
      <c r="G2959" s="521">
        <v>4.5</v>
      </c>
      <c r="H2959" s="524">
        <v>1.3083000000000001E-3</v>
      </c>
      <c r="I2959" s="523">
        <v>0.12</v>
      </c>
      <c r="J2959" s="523">
        <v>0.32</v>
      </c>
    </row>
    <row r="2960" spans="1:10" s="559" customFormat="1">
      <c r="A2960" s="521" t="s">
        <v>318</v>
      </c>
      <c r="B2960" s="522" t="s">
        <v>880</v>
      </c>
      <c r="C2960" s="423" t="s">
        <v>330</v>
      </c>
      <c r="D2960" s="521" t="s">
        <v>881</v>
      </c>
      <c r="E2960" s="522">
        <v>201612</v>
      </c>
      <c r="F2960" s="523">
        <v>628.88</v>
      </c>
      <c r="G2960" s="521">
        <v>4.5</v>
      </c>
      <c r="H2960" s="524">
        <v>1.3083000000000001E-3</v>
      </c>
      <c r="I2960" s="523">
        <v>3.7</v>
      </c>
      <c r="J2960" s="523">
        <v>9.8699999999999992</v>
      </c>
    </row>
    <row r="2961" spans="1:10" s="559" customFormat="1">
      <c r="A2961" s="521" t="s">
        <v>318</v>
      </c>
      <c r="B2961" s="522" t="s">
        <v>993</v>
      </c>
      <c r="C2961" s="423" t="s">
        <v>330</v>
      </c>
      <c r="D2961" s="521" t="s">
        <v>994</v>
      </c>
      <c r="E2961" s="522">
        <v>201612</v>
      </c>
      <c r="F2961" s="523">
        <v>30</v>
      </c>
      <c r="G2961" s="521">
        <v>4.5</v>
      </c>
      <c r="H2961" s="524">
        <v>1.3083000000000001E-3</v>
      </c>
      <c r="I2961" s="523">
        <v>0.18</v>
      </c>
      <c r="J2961" s="523">
        <v>0.47</v>
      </c>
    </row>
    <row r="2962" spans="1:10" s="559" customFormat="1">
      <c r="A2962" s="521" t="s">
        <v>318</v>
      </c>
      <c r="B2962" s="522" t="s">
        <v>891</v>
      </c>
      <c r="C2962" s="423" t="s">
        <v>331</v>
      </c>
      <c r="D2962" s="521" t="s">
        <v>892</v>
      </c>
      <c r="E2962" s="522">
        <v>201612</v>
      </c>
      <c r="F2962" s="523">
        <v>10.07</v>
      </c>
      <c r="G2962" s="521">
        <v>4.5</v>
      </c>
      <c r="H2962" s="524">
        <v>1.3083000000000001E-3</v>
      </c>
      <c r="I2962" s="523">
        <v>0.06</v>
      </c>
      <c r="J2962" s="523">
        <v>0.16</v>
      </c>
    </row>
    <row r="2963" spans="1:10" s="559" customFormat="1">
      <c r="A2963" s="521" t="s">
        <v>318</v>
      </c>
      <c r="B2963" s="522" t="s">
        <v>882</v>
      </c>
      <c r="C2963" s="423" t="s">
        <v>330</v>
      </c>
      <c r="D2963" s="521" t="s">
        <v>995</v>
      </c>
      <c r="E2963" s="522">
        <v>201612</v>
      </c>
      <c r="F2963" s="523">
        <v>-32432.13</v>
      </c>
      <c r="G2963" s="521">
        <v>4.5</v>
      </c>
      <c r="H2963" s="524">
        <v>1.3083000000000001E-3</v>
      </c>
      <c r="I2963" s="523">
        <v>-190.94</v>
      </c>
      <c r="J2963" s="523">
        <v>-509.17</v>
      </c>
    </row>
    <row r="2964" spans="1:10" s="559" customFormat="1">
      <c r="A2964" s="521" t="s">
        <v>318</v>
      </c>
      <c r="B2964" s="522" t="s">
        <v>882</v>
      </c>
      <c r="C2964" s="423" t="s">
        <v>330</v>
      </c>
      <c r="D2964" s="521" t="s">
        <v>995</v>
      </c>
      <c r="E2964" s="522">
        <v>201612</v>
      </c>
      <c r="F2964" s="523">
        <v>30044.97</v>
      </c>
      <c r="G2964" s="521">
        <v>4.5</v>
      </c>
      <c r="H2964" s="524">
        <v>1.3083000000000001E-3</v>
      </c>
      <c r="I2964" s="523">
        <v>176.89</v>
      </c>
      <c r="J2964" s="523">
        <v>471.69</v>
      </c>
    </row>
    <row r="2965" spans="1:10" s="559" customFormat="1">
      <c r="A2965" s="521" t="s">
        <v>318</v>
      </c>
      <c r="B2965" s="522" t="s">
        <v>996</v>
      </c>
      <c r="C2965" s="423" t="s">
        <v>330</v>
      </c>
      <c r="D2965" s="521" t="s">
        <v>997</v>
      </c>
      <c r="E2965" s="522">
        <v>201612</v>
      </c>
      <c r="F2965" s="523">
        <v>1534.86</v>
      </c>
      <c r="G2965" s="521">
        <v>4.5</v>
      </c>
      <c r="H2965" s="524">
        <v>1.3083000000000001E-3</v>
      </c>
      <c r="I2965" s="523">
        <v>9.0399999999999991</v>
      </c>
      <c r="J2965" s="523">
        <v>24.1</v>
      </c>
    </row>
    <row r="2966" spans="1:10" s="559" customFormat="1">
      <c r="A2966" s="521" t="s">
        <v>318</v>
      </c>
      <c r="B2966" s="522" t="s">
        <v>854</v>
      </c>
      <c r="C2966" s="423" t="s">
        <v>330</v>
      </c>
      <c r="D2966" s="521" t="s">
        <v>855</v>
      </c>
      <c r="E2966" s="522">
        <v>201612</v>
      </c>
      <c r="F2966" s="523">
        <v>-139763.26</v>
      </c>
      <c r="G2966" s="521">
        <v>4.5</v>
      </c>
      <c r="H2966" s="524">
        <v>1.3083000000000001E-3</v>
      </c>
      <c r="I2966" s="523">
        <v>-822.84</v>
      </c>
      <c r="J2966" s="523">
        <v>-2194.23</v>
      </c>
    </row>
    <row r="2967" spans="1:10" s="559" customFormat="1">
      <c r="A2967" s="521" t="s">
        <v>318</v>
      </c>
      <c r="B2967" s="522" t="s">
        <v>854</v>
      </c>
      <c r="C2967" s="423" t="s">
        <v>330</v>
      </c>
      <c r="D2967" s="521" t="s">
        <v>855</v>
      </c>
      <c r="E2967" s="522">
        <v>201612</v>
      </c>
      <c r="F2967" s="523">
        <v>112430.96</v>
      </c>
      <c r="G2967" s="521">
        <v>4.5</v>
      </c>
      <c r="H2967" s="524">
        <v>1.3083000000000001E-3</v>
      </c>
      <c r="I2967" s="523">
        <v>661.92</v>
      </c>
      <c r="J2967" s="523">
        <v>1765.12</v>
      </c>
    </row>
    <row r="2968" spans="1:10" s="559" customFormat="1">
      <c r="A2968" s="521" t="s">
        <v>318</v>
      </c>
      <c r="B2968" s="522" t="s">
        <v>1110</v>
      </c>
      <c r="C2968" s="423" t="s">
        <v>330</v>
      </c>
      <c r="D2968" s="521" t="s">
        <v>1111</v>
      </c>
      <c r="E2968" s="522">
        <v>201612</v>
      </c>
      <c r="F2968" s="523">
        <v>92754.53</v>
      </c>
      <c r="G2968" s="521">
        <v>4.5</v>
      </c>
      <c r="H2968" s="524">
        <v>1.3083000000000001E-3</v>
      </c>
      <c r="I2968" s="523">
        <v>546.08000000000004</v>
      </c>
      <c r="J2968" s="523">
        <v>1456.21</v>
      </c>
    </row>
    <row r="2969" spans="1:10" s="559" customFormat="1">
      <c r="A2969" s="521" t="s">
        <v>318</v>
      </c>
      <c r="B2969" s="522" t="s">
        <v>1112</v>
      </c>
      <c r="C2969" s="423" t="s">
        <v>330</v>
      </c>
      <c r="D2969" s="521" t="s">
        <v>1113</v>
      </c>
      <c r="E2969" s="522">
        <v>201612</v>
      </c>
      <c r="F2969" s="523">
        <v>27327.37</v>
      </c>
      <c r="G2969" s="521">
        <v>4.5</v>
      </c>
      <c r="H2969" s="524">
        <v>1.3083000000000001E-3</v>
      </c>
      <c r="I2969" s="523">
        <v>160.88999999999999</v>
      </c>
      <c r="J2969" s="523">
        <v>429.03</v>
      </c>
    </row>
    <row r="2970" spans="1:10" s="559" customFormat="1">
      <c r="A2970" s="521" t="s">
        <v>318</v>
      </c>
      <c r="B2970" s="522" t="s">
        <v>1114</v>
      </c>
      <c r="C2970" s="423" t="s">
        <v>330</v>
      </c>
      <c r="D2970" s="521" t="s">
        <v>1115</v>
      </c>
      <c r="E2970" s="522">
        <v>201612</v>
      </c>
      <c r="F2970" s="523">
        <v>70833.350000000006</v>
      </c>
      <c r="G2970" s="521">
        <v>4.5</v>
      </c>
      <c r="H2970" s="524">
        <v>1.3083000000000001E-3</v>
      </c>
      <c r="I2970" s="523">
        <v>417.02</v>
      </c>
      <c r="J2970" s="523">
        <v>1112.06</v>
      </c>
    </row>
    <row r="2971" spans="1:10" s="559" customFormat="1">
      <c r="A2971" s="521" t="s">
        <v>318</v>
      </c>
      <c r="B2971" s="522" t="s">
        <v>1000</v>
      </c>
      <c r="C2971" s="423" t="s">
        <v>343</v>
      </c>
      <c r="D2971" s="521" t="s">
        <v>1001</v>
      </c>
      <c r="E2971" s="522">
        <v>201612</v>
      </c>
      <c r="F2971" s="523">
        <v>-7.57</v>
      </c>
      <c r="G2971" s="521">
        <v>4.5</v>
      </c>
      <c r="H2971" s="524">
        <v>1.3083000000000001E-3</v>
      </c>
      <c r="I2971" s="523">
        <v>-0.04</v>
      </c>
      <c r="J2971" s="523">
        <v>-0.12</v>
      </c>
    </row>
    <row r="2972" spans="1:10" s="559" customFormat="1">
      <c r="A2972" s="521" t="s">
        <v>318</v>
      </c>
      <c r="B2972" s="522" t="s">
        <v>1004</v>
      </c>
      <c r="C2972" s="423" t="s">
        <v>330</v>
      </c>
      <c r="D2972" s="521" t="s">
        <v>1005</v>
      </c>
      <c r="E2972" s="522">
        <v>201612</v>
      </c>
      <c r="F2972" s="523">
        <v>7.29</v>
      </c>
      <c r="G2972" s="521">
        <v>4.5</v>
      </c>
      <c r="H2972" s="524">
        <v>1.3083000000000001E-3</v>
      </c>
      <c r="I2972" s="523">
        <v>0.04</v>
      </c>
      <c r="J2972" s="523">
        <v>0.11</v>
      </c>
    </row>
    <row r="2973" spans="1:10" s="559" customFormat="1">
      <c r="A2973" s="521" t="s">
        <v>318</v>
      </c>
      <c r="B2973" s="522" t="s">
        <v>1116</v>
      </c>
      <c r="C2973" s="423" t="s">
        <v>330</v>
      </c>
      <c r="D2973" s="521" t="s">
        <v>1117</v>
      </c>
      <c r="E2973" s="522">
        <v>201612</v>
      </c>
      <c r="F2973" s="523">
        <v>6803.56</v>
      </c>
      <c r="G2973" s="521">
        <v>4.5</v>
      </c>
      <c r="H2973" s="524">
        <v>1.3083000000000001E-3</v>
      </c>
      <c r="I2973" s="523">
        <v>40.049999999999997</v>
      </c>
      <c r="J2973" s="523">
        <v>106.81</v>
      </c>
    </row>
    <row r="2974" spans="1:10" s="559" customFormat="1">
      <c r="A2974" s="521" t="s">
        <v>318</v>
      </c>
      <c r="B2974" s="522" t="s">
        <v>1075</v>
      </c>
      <c r="C2974" s="423" t="s">
        <v>331</v>
      </c>
      <c r="D2974" s="521" t="s">
        <v>1076</v>
      </c>
      <c r="E2974" s="522">
        <v>201612</v>
      </c>
      <c r="F2974" s="523">
        <v>1910.14</v>
      </c>
      <c r="G2974" s="521">
        <v>4.5</v>
      </c>
      <c r="H2974" s="524">
        <v>1.3083000000000001E-3</v>
      </c>
      <c r="I2974" s="523">
        <v>11.25</v>
      </c>
      <c r="J2974" s="523">
        <v>29.99</v>
      </c>
    </row>
    <row r="2975" spans="1:10" s="559" customFormat="1">
      <c r="A2975" s="521" t="s">
        <v>318</v>
      </c>
      <c r="B2975" s="522" t="s">
        <v>1049</v>
      </c>
      <c r="C2975" s="423" t="s">
        <v>330</v>
      </c>
      <c r="D2975" s="521" t="s">
        <v>1050</v>
      </c>
      <c r="E2975" s="522">
        <v>201612</v>
      </c>
      <c r="F2975" s="523">
        <v>60.77</v>
      </c>
      <c r="G2975" s="521">
        <v>4.5</v>
      </c>
      <c r="H2975" s="524">
        <v>1.3083000000000001E-3</v>
      </c>
      <c r="I2975" s="523">
        <v>0.36</v>
      </c>
      <c r="J2975" s="523">
        <v>0.95</v>
      </c>
    </row>
    <row r="2976" spans="1:10" s="559" customFormat="1">
      <c r="A2976" s="521" t="s">
        <v>318</v>
      </c>
      <c r="B2976" s="522" t="s">
        <v>1077</v>
      </c>
      <c r="C2976" s="423" t="s">
        <v>330</v>
      </c>
      <c r="D2976" s="521" t="s">
        <v>1078</v>
      </c>
      <c r="E2976" s="522">
        <v>201612</v>
      </c>
      <c r="F2976" s="523">
        <v>306.54000000000002</v>
      </c>
      <c r="G2976" s="521">
        <v>4.5</v>
      </c>
      <c r="H2976" s="524">
        <v>1.3083000000000001E-3</v>
      </c>
      <c r="I2976" s="523">
        <v>1.8</v>
      </c>
      <c r="J2976" s="523">
        <v>4.8099999999999996</v>
      </c>
    </row>
    <row r="2977" spans="1:17" s="559" customFormat="1">
      <c r="A2977" s="521" t="s">
        <v>318</v>
      </c>
      <c r="B2977" s="522" t="s">
        <v>1079</v>
      </c>
      <c r="C2977" s="423" t="s">
        <v>330</v>
      </c>
      <c r="D2977" s="521" t="s">
        <v>1080</v>
      </c>
      <c r="E2977" s="522">
        <v>201612</v>
      </c>
      <c r="F2977" s="523">
        <v>1501.83</v>
      </c>
      <c r="G2977" s="521">
        <v>4.5</v>
      </c>
      <c r="H2977" s="524">
        <v>1.3083000000000001E-3</v>
      </c>
      <c r="I2977" s="523">
        <v>8.84</v>
      </c>
      <c r="J2977" s="523">
        <v>23.58</v>
      </c>
    </row>
    <row r="2978" spans="1:17" s="559" customFormat="1">
      <c r="A2978" s="521" t="s">
        <v>318</v>
      </c>
      <c r="B2978" s="522" t="s">
        <v>1118</v>
      </c>
      <c r="C2978" s="423" t="s">
        <v>330</v>
      </c>
      <c r="D2978" s="521" t="s">
        <v>1119</v>
      </c>
      <c r="E2978" s="522">
        <v>201612</v>
      </c>
      <c r="F2978" s="523">
        <v>19160.87</v>
      </c>
      <c r="G2978" s="521">
        <v>4.5</v>
      </c>
      <c r="H2978" s="524">
        <v>1.3083000000000001E-3</v>
      </c>
      <c r="I2978" s="523">
        <v>112.81</v>
      </c>
      <c r="J2978" s="523">
        <v>300.82</v>
      </c>
    </row>
    <row r="2979" spans="1:17" s="559" customFormat="1">
      <c r="A2979" s="521" t="s">
        <v>318</v>
      </c>
      <c r="B2979" s="522" t="s">
        <v>1053</v>
      </c>
      <c r="C2979" s="423" t="s">
        <v>331</v>
      </c>
      <c r="D2979" s="521" t="s">
        <v>1054</v>
      </c>
      <c r="E2979" s="522">
        <v>201612</v>
      </c>
      <c r="F2979" s="523">
        <v>-0.15</v>
      </c>
      <c r="G2979" s="521">
        <v>4.5</v>
      </c>
      <c r="H2979" s="524">
        <v>1.3083000000000001E-3</v>
      </c>
      <c r="I2979" s="523">
        <v>0</v>
      </c>
      <c r="J2979" s="523">
        <v>0</v>
      </c>
    </row>
    <row r="2980" spans="1:17" s="559" customFormat="1">
      <c r="A2980" s="521"/>
      <c r="B2980" s="522"/>
      <c r="C2980" s="423"/>
      <c r="D2980" s="521"/>
      <c r="E2980" s="522"/>
      <c r="F2980" s="523"/>
      <c r="G2980" s="521"/>
      <c r="H2980" s="524"/>
      <c r="I2980" s="523"/>
      <c r="J2980" s="523"/>
    </row>
    <row r="2981" spans="1:17">
      <c r="A2981" s="521"/>
      <c r="B2981" s="522"/>
      <c r="C2981" s="522"/>
      <c r="D2981" s="521"/>
      <c r="E2981" s="522"/>
      <c r="F2981" s="523"/>
      <c r="G2981" s="521"/>
      <c r="H2981" s="524"/>
      <c r="I2981" s="511"/>
      <c r="J2981" s="512"/>
      <c r="Q2981" s="101">
        <f>IF(E2981&lt;=$Q$1,$S$5,#REF!)</f>
        <v>2015</v>
      </c>
    </row>
    <row r="2982" spans="1:17">
      <c r="A2982" s="517" t="s">
        <v>318</v>
      </c>
      <c r="B2982" s="514"/>
      <c r="C2982" s="514" t="s">
        <v>331</v>
      </c>
      <c r="D2982" s="514" t="s">
        <v>740</v>
      </c>
      <c r="E2982" s="518">
        <v>201502</v>
      </c>
      <c r="F2982" s="519"/>
      <c r="G2982" s="513">
        <v>6</v>
      </c>
      <c r="H2982" s="520">
        <v>1.3083000000000001E-3</v>
      </c>
      <c r="I2982" s="515">
        <v>0</v>
      </c>
      <c r="J2982" s="516">
        <v>0</v>
      </c>
      <c r="Q2982" s="101">
        <f>IF(E2982&lt;=$Q$1,$S$5,#REF!)</f>
        <v>2015</v>
      </c>
    </row>
    <row r="2983" spans="1:17">
      <c r="A2983" s="107"/>
      <c r="B2983" s="108"/>
      <c r="C2983" s="108"/>
      <c r="D2983" s="108"/>
      <c r="E2983" s="159"/>
      <c r="F2983" s="110"/>
      <c r="G2983" s="126"/>
      <c r="H2983" s="168"/>
      <c r="I2983" s="157"/>
      <c r="J2983" s="158"/>
      <c r="Q2983" s="101">
        <f>IF(E2983&lt;=$Q$1,$S$5,#REF!)</f>
        <v>2015</v>
      </c>
    </row>
    <row r="2984" spans="1:17">
      <c r="A2984" s="107"/>
      <c r="B2984" s="108"/>
      <c r="C2984" s="108"/>
      <c r="D2984" s="108"/>
      <c r="E2984" s="159"/>
      <c r="F2984" s="110"/>
      <c r="G2984" s="126"/>
      <c r="H2984" s="168"/>
      <c r="I2984" s="157"/>
      <c r="J2984" s="158"/>
      <c r="Q2984" s="101">
        <f>IF(E2984&lt;=$Q$1,$S$5,#REF!)</f>
        <v>2015</v>
      </c>
    </row>
    <row r="2985" spans="1:17">
      <c r="A2985" s="107"/>
      <c r="B2985" s="108"/>
      <c r="C2985" s="108"/>
      <c r="D2985" s="108"/>
      <c r="E2985" s="159"/>
      <c r="F2985" s="110"/>
      <c r="G2985" s="126"/>
      <c r="H2985" s="168"/>
      <c r="I2985" s="157"/>
      <c r="J2985" s="158"/>
      <c r="Q2985" s="101">
        <f>IF(E2985&lt;=$Q$1,$S$5,#REF!)</f>
        <v>2015</v>
      </c>
    </row>
    <row r="2986" spans="1:17">
      <c r="A2986" s="113"/>
      <c r="B2986" s="114"/>
      <c r="C2986" s="114"/>
      <c r="D2986" s="169"/>
      <c r="E2986" s="164"/>
      <c r="F2986" s="115"/>
      <c r="G2986" s="166"/>
      <c r="H2986" s="121"/>
      <c r="I2986" s="103"/>
      <c r="J2986" s="103"/>
    </row>
    <row r="2987" spans="1:17" ht="13.5" thickBot="1">
      <c r="B2987" s="118"/>
      <c r="E2987" s="73" t="s">
        <v>107</v>
      </c>
      <c r="F2987" s="120">
        <f>SUM(F2213:F2985)</f>
        <v>10846760.770000005</v>
      </c>
      <c r="I2987" s="120">
        <f>SUM(I2213:I2985)</f>
        <v>117681.86999999992</v>
      </c>
      <c r="J2987" s="120">
        <f>SUM(J2213:J2985)</f>
        <v>170285.81000000003</v>
      </c>
    </row>
    <row r="2988" spans="1:17" ht="13.5" thickTop="1">
      <c r="A2988" s="103"/>
      <c r="B2988" s="114"/>
      <c r="C2988" s="114"/>
      <c r="D2988" s="114"/>
      <c r="E2988" s="164"/>
      <c r="F2988" s="115"/>
      <c r="G2988" s="166"/>
      <c r="H2988" s="121"/>
      <c r="I2988" s="103"/>
      <c r="J2988" s="103"/>
    </row>
    <row r="2989" spans="1:17">
      <c r="A2989" s="88" t="s">
        <v>341</v>
      </c>
      <c r="B2989" s="102"/>
      <c r="C2989" s="102"/>
      <c r="F2989" s="123"/>
    </row>
    <row r="2990" spans="1:17">
      <c r="A2990" s="102"/>
      <c r="B2990" s="102"/>
      <c r="C2990" s="102"/>
      <c r="F2990" s="123"/>
    </row>
    <row r="2991" spans="1:17">
      <c r="A2991" s="81" t="s">
        <v>86</v>
      </c>
      <c r="B2991" s="81" t="s">
        <v>87</v>
      </c>
      <c r="C2991" s="81" t="s">
        <v>88</v>
      </c>
      <c r="D2991" s="81"/>
      <c r="E2991" s="146" t="s">
        <v>89</v>
      </c>
      <c r="F2991" s="90" t="s">
        <v>90</v>
      </c>
      <c r="G2991" s="147"/>
      <c r="H2991" s="81" t="s">
        <v>91</v>
      </c>
      <c r="I2991" s="81" t="s">
        <v>92</v>
      </c>
      <c r="J2991" s="81" t="s">
        <v>106</v>
      </c>
    </row>
    <row r="2992" spans="1:17">
      <c r="A2992" s="86" t="s">
        <v>94</v>
      </c>
      <c r="B2992" s="86" t="s">
        <v>95</v>
      </c>
      <c r="C2992" s="86" t="s">
        <v>96</v>
      </c>
      <c r="D2992" s="86" t="s">
        <v>97</v>
      </c>
      <c r="E2992" s="148" t="s">
        <v>98</v>
      </c>
      <c r="F2992" s="92" t="s">
        <v>99</v>
      </c>
      <c r="G2992" s="149" t="s">
        <v>100</v>
      </c>
      <c r="H2992" s="86" t="s">
        <v>101</v>
      </c>
      <c r="I2992" s="86" t="s">
        <v>93</v>
      </c>
      <c r="J2992" s="86" t="s">
        <v>102</v>
      </c>
    </row>
    <row r="2993" spans="1:17">
      <c r="A2993" s="332" t="s">
        <v>332</v>
      </c>
      <c r="B2993" s="333" t="s">
        <v>333</v>
      </c>
      <c r="C2993" s="423" t="s">
        <v>334</v>
      </c>
      <c r="D2993" s="332" t="s">
        <v>335</v>
      </c>
      <c r="E2993" s="333">
        <v>201601</v>
      </c>
      <c r="F2993" s="334">
        <v>189810.55</v>
      </c>
      <c r="G2993" s="332">
        <v>3</v>
      </c>
      <c r="H2993" s="336">
        <v>2.7583E-3</v>
      </c>
      <c r="I2993" s="334">
        <v>1570.66</v>
      </c>
      <c r="J2993" s="334">
        <v>6282.65</v>
      </c>
      <c r="Q2993" s="101" t="e">
        <f>IF(E2993&lt;=$Q$1,$S$5,#REF!)</f>
        <v>#REF!</v>
      </c>
    </row>
    <row r="2994" spans="1:17" ht="15">
      <c r="A2994" s="332" t="s">
        <v>332</v>
      </c>
      <c r="B2994" s="333" t="s">
        <v>336</v>
      </c>
      <c r="C2994" s="424" t="s">
        <v>334</v>
      </c>
      <c r="D2994" s="332" t="s">
        <v>337</v>
      </c>
      <c r="E2994" s="333">
        <v>201601</v>
      </c>
      <c r="F2994" s="334">
        <v>629.6</v>
      </c>
      <c r="G2994" s="332">
        <v>3</v>
      </c>
      <c r="H2994" s="336">
        <v>2.7583E-3</v>
      </c>
      <c r="I2994" s="334">
        <v>5.21</v>
      </c>
      <c r="J2994" s="334">
        <v>20.84</v>
      </c>
    </row>
    <row r="2995" spans="1:17" ht="15">
      <c r="A2995" s="332" t="s">
        <v>332</v>
      </c>
      <c r="B2995" s="333" t="s">
        <v>333</v>
      </c>
      <c r="C2995" s="424" t="s">
        <v>334</v>
      </c>
      <c r="D2995" s="332" t="s">
        <v>335</v>
      </c>
      <c r="E2995" s="333">
        <v>201602</v>
      </c>
      <c r="F2995" s="334">
        <v>235435.13</v>
      </c>
      <c r="G2995" s="332">
        <v>2</v>
      </c>
      <c r="H2995" s="336">
        <v>2.7583E-3</v>
      </c>
      <c r="I2995" s="334">
        <v>1298.8</v>
      </c>
      <c r="J2995" s="334">
        <v>7792.81</v>
      </c>
    </row>
    <row r="2996" spans="1:17">
      <c r="A2996" s="332" t="s">
        <v>332</v>
      </c>
      <c r="B2996" s="333" t="s">
        <v>336</v>
      </c>
      <c r="C2996" s="423" t="s">
        <v>334</v>
      </c>
      <c r="D2996" s="332" t="s">
        <v>337</v>
      </c>
      <c r="E2996" s="333">
        <v>201602</v>
      </c>
      <c r="F2996" s="334">
        <v>7892.39</v>
      </c>
      <c r="G2996" s="332">
        <v>2</v>
      </c>
      <c r="H2996" s="336">
        <v>2.7583E-3</v>
      </c>
      <c r="I2996" s="334">
        <v>43.54</v>
      </c>
      <c r="J2996" s="334">
        <v>261.23</v>
      </c>
    </row>
    <row r="2997" spans="1:17" ht="15">
      <c r="A2997" s="332" t="s">
        <v>332</v>
      </c>
      <c r="B2997" s="333" t="s">
        <v>333</v>
      </c>
      <c r="C2997" s="424" t="s">
        <v>334</v>
      </c>
      <c r="D2997" s="332" t="s">
        <v>335</v>
      </c>
      <c r="E2997" s="333">
        <v>201603</v>
      </c>
      <c r="F2997" s="334">
        <v>155795.18</v>
      </c>
      <c r="G2997" s="332">
        <v>13.5</v>
      </c>
      <c r="H2997" s="336">
        <v>2.7583E-3</v>
      </c>
      <c r="I2997" s="334">
        <v>5801.35</v>
      </c>
      <c r="J2997" s="334">
        <v>5156.76</v>
      </c>
    </row>
    <row r="2998" spans="1:17" ht="15">
      <c r="A2998" s="332" t="s">
        <v>332</v>
      </c>
      <c r="B2998" s="333" t="s">
        <v>336</v>
      </c>
      <c r="C2998" s="424" t="s">
        <v>334</v>
      </c>
      <c r="D2998" s="332" t="s">
        <v>337</v>
      </c>
      <c r="E2998" s="333">
        <v>201603</v>
      </c>
      <c r="F2998" s="334">
        <v>2542.83</v>
      </c>
      <c r="G2998" s="332">
        <v>13.5</v>
      </c>
      <c r="H2998" s="336">
        <v>2.7583E-3</v>
      </c>
      <c r="I2998" s="334">
        <v>94.69</v>
      </c>
      <c r="J2998" s="334">
        <v>84.17</v>
      </c>
    </row>
    <row r="2999" spans="1:17" ht="15">
      <c r="A2999" s="332" t="s">
        <v>332</v>
      </c>
      <c r="B2999" s="333" t="s">
        <v>333</v>
      </c>
      <c r="C2999" s="424" t="s">
        <v>334</v>
      </c>
      <c r="D2999" s="332" t="s">
        <v>335</v>
      </c>
      <c r="E2999" s="333">
        <v>201604</v>
      </c>
      <c r="F2999" s="334">
        <v>204658.58</v>
      </c>
      <c r="G2999" s="332">
        <v>12.5</v>
      </c>
      <c r="H2999" s="336">
        <v>2.7583E-3</v>
      </c>
      <c r="I2999" s="334">
        <v>7056.37</v>
      </c>
      <c r="J2999" s="334">
        <v>6774.12</v>
      </c>
    </row>
    <row r="3000" spans="1:17">
      <c r="A3000" s="405" t="s">
        <v>332</v>
      </c>
      <c r="B3000" s="411" t="s">
        <v>336</v>
      </c>
      <c r="C3000" s="406" t="s">
        <v>334</v>
      </c>
      <c r="D3000" s="410" t="s">
        <v>337</v>
      </c>
      <c r="E3000" s="406">
        <v>201604</v>
      </c>
      <c r="F3000" s="407">
        <v>4493.37</v>
      </c>
      <c r="G3000" s="405">
        <v>12.5</v>
      </c>
      <c r="H3000" s="408">
        <v>2.7583E-3</v>
      </c>
      <c r="I3000" s="407">
        <v>154.93</v>
      </c>
      <c r="J3000" s="407">
        <v>148.72999999999999</v>
      </c>
    </row>
    <row r="3001" spans="1:17">
      <c r="A3001" s="455" t="s">
        <v>332</v>
      </c>
      <c r="B3001" s="456" t="s">
        <v>333</v>
      </c>
      <c r="C3001" s="456" t="s">
        <v>334</v>
      </c>
      <c r="D3001" s="455" t="s">
        <v>335</v>
      </c>
      <c r="E3001" s="456">
        <v>201605</v>
      </c>
      <c r="F3001" s="457">
        <v>205382.59</v>
      </c>
      <c r="G3001" s="455">
        <v>11.5</v>
      </c>
      <c r="H3001" s="458">
        <v>2.7583E-3</v>
      </c>
      <c r="I3001" s="457">
        <v>6514.83</v>
      </c>
      <c r="J3001" s="457">
        <v>6798.08</v>
      </c>
    </row>
    <row r="3002" spans="1:17">
      <c r="A3002" s="455" t="s">
        <v>332</v>
      </c>
      <c r="B3002" s="456" t="s">
        <v>336</v>
      </c>
      <c r="C3002" s="456" t="s">
        <v>334</v>
      </c>
      <c r="D3002" s="455" t="s">
        <v>337</v>
      </c>
      <c r="E3002" s="456">
        <v>201605</v>
      </c>
      <c r="F3002" s="457">
        <v>1847.72</v>
      </c>
      <c r="G3002" s="455">
        <v>11.5</v>
      </c>
      <c r="H3002" s="458">
        <v>2.7583E-3</v>
      </c>
      <c r="I3002" s="457">
        <v>58.61</v>
      </c>
      <c r="J3002" s="457">
        <v>61.16</v>
      </c>
    </row>
    <row r="3003" spans="1:17">
      <c r="A3003" s="455" t="s">
        <v>332</v>
      </c>
      <c r="B3003" s="456" t="s">
        <v>333</v>
      </c>
      <c r="C3003" s="456" t="s">
        <v>334</v>
      </c>
      <c r="D3003" s="455" t="s">
        <v>335</v>
      </c>
      <c r="E3003" s="456">
        <v>201606</v>
      </c>
      <c r="F3003" s="457">
        <v>216373.29</v>
      </c>
      <c r="G3003" s="455">
        <v>10.5</v>
      </c>
      <c r="H3003" s="458">
        <v>2.7583E-3</v>
      </c>
      <c r="I3003" s="457">
        <v>6266.64</v>
      </c>
      <c r="J3003" s="457">
        <v>7161.87</v>
      </c>
    </row>
    <row r="3004" spans="1:17">
      <c r="A3004" s="455" t="s">
        <v>332</v>
      </c>
      <c r="B3004" s="456" t="s">
        <v>336</v>
      </c>
      <c r="C3004" s="456" t="s">
        <v>334</v>
      </c>
      <c r="D3004" s="455" t="s">
        <v>337</v>
      </c>
      <c r="E3004" s="456">
        <v>201606</v>
      </c>
      <c r="F3004" s="457">
        <v>1328.46</v>
      </c>
      <c r="G3004" s="455">
        <v>10.5</v>
      </c>
      <c r="H3004" s="458">
        <v>2.7583E-3</v>
      </c>
      <c r="I3004" s="457">
        <v>38.479999999999997</v>
      </c>
      <c r="J3004" s="457">
        <v>43.97</v>
      </c>
    </row>
    <row r="3005" spans="1:17">
      <c r="A3005" s="455" t="s">
        <v>332</v>
      </c>
      <c r="B3005" s="456" t="s">
        <v>333</v>
      </c>
      <c r="C3005" s="456" t="s">
        <v>334</v>
      </c>
      <c r="D3005" s="455" t="s">
        <v>335</v>
      </c>
      <c r="E3005" s="456">
        <v>201607</v>
      </c>
      <c r="F3005" s="457">
        <v>156059.67000000001</v>
      </c>
      <c r="G3005" s="455">
        <v>9.5</v>
      </c>
      <c r="H3005" s="458">
        <v>2.7583E-3</v>
      </c>
      <c r="I3005" s="457">
        <v>4089.36</v>
      </c>
      <c r="J3005" s="457">
        <v>5165.51</v>
      </c>
    </row>
    <row r="3006" spans="1:17">
      <c r="A3006" s="455" t="s">
        <v>332</v>
      </c>
      <c r="B3006" s="456" t="s">
        <v>336</v>
      </c>
      <c r="C3006" s="456" t="s">
        <v>334</v>
      </c>
      <c r="D3006" s="455" t="s">
        <v>337</v>
      </c>
      <c r="E3006" s="456">
        <v>201607</v>
      </c>
      <c r="F3006" s="457">
        <v>1261.45</v>
      </c>
      <c r="G3006" s="455">
        <v>9.5</v>
      </c>
      <c r="H3006" s="458">
        <v>2.7583E-3</v>
      </c>
      <c r="I3006" s="457">
        <v>33.049999999999997</v>
      </c>
      <c r="J3006" s="457">
        <v>41.75</v>
      </c>
    </row>
    <row r="3007" spans="1:17">
      <c r="A3007" s="455" t="s">
        <v>332</v>
      </c>
      <c r="B3007" s="456" t="s">
        <v>333</v>
      </c>
      <c r="C3007" s="456" t="s">
        <v>334</v>
      </c>
      <c r="D3007" s="455" t="s">
        <v>335</v>
      </c>
      <c r="E3007" s="456">
        <v>201608</v>
      </c>
      <c r="F3007" s="457">
        <v>160851.91</v>
      </c>
      <c r="G3007" s="455">
        <v>8.5</v>
      </c>
      <c r="H3007" s="458">
        <v>2.7583E-3</v>
      </c>
      <c r="I3007" s="457">
        <v>3771.26</v>
      </c>
      <c r="J3007" s="457">
        <v>5324.13</v>
      </c>
    </row>
    <row r="3008" spans="1:17">
      <c r="A3008" s="455" t="s">
        <v>332</v>
      </c>
      <c r="B3008" s="456" t="s">
        <v>336</v>
      </c>
      <c r="C3008" s="456" t="s">
        <v>334</v>
      </c>
      <c r="D3008" s="455" t="s">
        <v>337</v>
      </c>
      <c r="E3008" s="456">
        <v>201608</v>
      </c>
      <c r="F3008" s="457">
        <v>866.7</v>
      </c>
      <c r="G3008" s="455">
        <v>8.5</v>
      </c>
      <c r="H3008" s="458">
        <v>2.7583E-3</v>
      </c>
      <c r="I3008" s="457">
        <v>20.32</v>
      </c>
      <c r="J3008" s="457">
        <v>28.69</v>
      </c>
    </row>
    <row r="3009" spans="1:17">
      <c r="A3009" s="455" t="s">
        <v>332</v>
      </c>
      <c r="B3009" s="456" t="s">
        <v>333</v>
      </c>
      <c r="C3009" s="456" t="s">
        <v>334</v>
      </c>
      <c r="D3009" s="455" t="s">
        <v>335</v>
      </c>
      <c r="E3009" s="456">
        <v>201609</v>
      </c>
      <c r="F3009" s="457">
        <v>58827.46</v>
      </c>
      <c r="G3009" s="455">
        <v>7.5</v>
      </c>
      <c r="H3009" s="458">
        <v>2.7583E-3</v>
      </c>
      <c r="I3009" s="457">
        <v>1216.98</v>
      </c>
      <c r="J3009" s="457">
        <v>1947.17</v>
      </c>
    </row>
    <row r="3010" spans="1:17">
      <c r="A3010" s="455" t="s">
        <v>332</v>
      </c>
      <c r="B3010" s="456" t="s">
        <v>336</v>
      </c>
      <c r="C3010" s="456" t="s">
        <v>334</v>
      </c>
      <c r="D3010" s="455" t="s">
        <v>337</v>
      </c>
      <c r="E3010" s="456">
        <v>201609</v>
      </c>
      <c r="F3010" s="457">
        <v>536.88</v>
      </c>
      <c r="G3010" s="455">
        <v>7.5</v>
      </c>
      <c r="H3010" s="458">
        <v>2.7583E-3</v>
      </c>
      <c r="I3010" s="457">
        <v>11.11</v>
      </c>
      <c r="J3010" s="457">
        <v>17.77</v>
      </c>
    </row>
    <row r="3011" spans="1:17">
      <c r="A3011" s="455" t="s">
        <v>332</v>
      </c>
      <c r="B3011" s="456" t="s">
        <v>333</v>
      </c>
      <c r="C3011" s="456" t="s">
        <v>334</v>
      </c>
      <c r="D3011" s="455" t="s">
        <v>335</v>
      </c>
      <c r="E3011" s="456">
        <v>201610</v>
      </c>
      <c r="F3011" s="457">
        <v>112552.78</v>
      </c>
      <c r="G3011" s="455">
        <v>6.5</v>
      </c>
      <c r="H3011" s="458">
        <v>2.7583E-3</v>
      </c>
      <c r="I3011" s="457">
        <v>2017.95</v>
      </c>
      <c r="J3011" s="457">
        <v>3725.45</v>
      </c>
    </row>
    <row r="3012" spans="1:17">
      <c r="A3012" s="455" t="s">
        <v>332</v>
      </c>
      <c r="B3012" s="456" t="s">
        <v>333</v>
      </c>
      <c r="C3012" s="456" t="s">
        <v>334</v>
      </c>
      <c r="D3012" s="455" t="s">
        <v>335</v>
      </c>
      <c r="E3012" s="456">
        <v>201611</v>
      </c>
      <c r="F3012" s="457">
        <v>97763.71</v>
      </c>
      <c r="G3012" s="455">
        <v>5.5</v>
      </c>
      <c r="H3012" s="458">
        <v>2.7583E-3</v>
      </c>
      <c r="I3012" s="457">
        <v>1483.14</v>
      </c>
      <c r="J3012" s="457">
        <v>3235.94</v>
      </c>
    </row>
    <row r="3013" spans="1:17">
      <c r="A3013" s="459" t="s">
        <v>332</v>
      </c>
      <c r="B3013" s="463" t="s">
        <v>336</v>
      </c>
      <c r="C3013" s="460" t="s">
        <v>334</v>
      </c>
      <c r="D3013" s="462" t="s">
        <v>337</v>
      </c>
      <c r="E3013" s="465">
        <v>201611</v>
      </c>
      <c r="F3013" s="464">
        <v>4140.63</v>
      </c>
      <c r="G3013" s="462">
        <v>5.5</v>
      </c>
      <c r="H3013" s="466">
        <v>2.7583E-3</v>
      </c>
      <c r="I3013" s="461">
        <v>62.82</v>
      </c>
      <c r="J3013" s="461">
        <v>137.05000000000001</v>
      </c>
    </row>
    <row r="3014" spans="1:17" s="510" customFormat="1">
      <c r="A3014" s="526" t="s">
        <v>332</v>
      </c>
      <c r="B3014" s="526" t="s">
        <v>333</v>
      </c>
      <c r="C3014" s="526" t="s">
        <v>334</v>
      </c>
      <c r="D3014" s="527" t="s">
        <v>335</v>
      </c>
      <c r="E3014" s="530">
        <v>201612</v>
      </c>
      <c r="F3014" s="525">
        <v>132102.07</v>
      </c>
      <c r="G3014" s="527">
        <v>4.5</v>
      </c>
      <c r="H3014" s="531">
        <v>2.7583E-3</v>
      </c>
      <c r="I3014" s="528">
        <v>1639.7</v>
      </c>
      <c r="J3014" s="529">
        <v>4372.53</v>
      </c>
    </row>
    <row r="3015" spans="1:17">
      <c r="A3015" s="108"/>
      <c r="B3015" s="108"/>
      <c r="C3015" s="108"/>
      <c r="D3015" s="126"/>
      <c r="E3015" s="159"/>
      <c r="F3015" s="82"/>
      <c r="G3015" s="126"/>
      <c r="H3015" s="168"/>
      <c r="I3015" s="82"/>
      <c r="J3015" s="82"/>
      <c r="Q3015" s="101">
        <f>IF(E3015&lt;=$Q$1,$S$5,#REF!)</f>
        <v>2015</v>
      </c>
    </row>
    <row r="3016" spans="1:17">
      <c r="A3016" s="114"/>
      <c r="B3016" s="114"/>
      <c r="C3016" s="114"/>
      <c r="D3016" s="114"/>
      <c r="E3016" s="164"/>
      <c r="F3016" s="103"/>
      <c r="G3016" s="166"/>
      <c r="H3016" s="132"/>
      <c r="I3016" s="103"/>
      <c r="J3016" s="103"/>
    </row>
    <row r="3017" spans="1:17" ht="13.5" thickBot="1">
      <c r="A3017" s="102"/>
      <c r="B3017" s="102"/>
      <c r="C3017" s="102"/>
      <c r="E3017" s="73" t="s">
        <v>107</v>
      </c>
      <c r="F3017" s="130">
        <f>SUM(F2993:F3016)</f>
        <v>1951152.9499999995</v>
      </c>
      <c r="I3017" s="130">
        <f>SUM(I2993:I3016)</f>
        <v>43249.8</v>
      </c>
      <c r="J3017" s="130">
        <f>SUM(J2993:J3016)</f>
        <v>64582.380000000005</v>
      </c>
    </row>
    <row r="3018" spans="1:17" ht="13.5" thickTop="1">
      <c r="A3018" s="102"/>
      <c r="B3018" s="102"/>
      <c r="C3018" s="102"/>
      <c r="E3018" s="73"/>
      <c r="F3018" s="103"/>
      <c r="I3018" s="103"/>
      <c r="J3018" s="103"/>
    </row>
    <row r="3019" spans="1:17">
      <c r="A3019" s="102"/>
      <c r="B3019" s="102"/>
      <c r="C3019" s="102"/>
      <c r="E3019" s="73"/>
      <c r="F3019" s="103"/>
      <c r="I3019" s="103"/>
      <c r="J3019" s="103"/>
    </row>
    <row r="3020" spans="1:17">
      <c r="A3020" s="88" t="s">
        <v>342</v>
      </c>
      <c r="B3020" s="102"/>
      <c r="C3020" s="102"/>
      <c r="F3020" s="123"/>
    </row>
    <row r="3021" spans="1:17">
      <c r="A3021" s="102"/>
      <c r="B3021" s="102"/>
      <c r="C3021" s="102"/>
      <c r="F3021" s="123"/>
    </row>
    <row r="3022" spans="1:17">
      <c r="A3022" s="81" t="s">
        <v>86</v>
      </c>
      <c r="B3022" s="81" t="s">
        <v>87</v>
      </c>
      <c r="C3022" s="81" t="s">
        <v>88</v>
      </c>
      <c r="D3022" s="81"/>
      <c r="E3022" s="146" t="s">
        <v>89</v>
      </c>
      <c r="F3022" s="90" t="s">
        <v>90</v>
      </c>
      <c r="G3022" s="147"/>
      <c r="H3022" s="81" t="s">
        <v>91</v>
      </c>
      <c r="I3022" s="81" t="s">
        <v>92</v>
      </c>
      <c r="J3022" s="81" t="s">
        <v>106</v>
      </c>
    </row>
    <row r="3023" spans="1:17">
      <c r="A3023" s="86" t="s">
        <v>94</v>
      </c>
      <c r="B3023" s="86" t="s">
        <v>95</v>
      </c>
      <c r="C3023" s="86" t="s">
        <v>96</v>
      </c>
      <c r="D3023" s="86" t="s">
        <v>97</v>
      </c>
      <c r="E3023" s="148" t="s">
        <v>98</v>
      </c>
      <c r="F3023" s="92" t="s">
        <v>99</v>
      </c>
      <c r="G3023" s="149" t="s">
        <v>100</v>
      </c>
      <c r="H3023" s="86" t="s">
        <v>101</v>
      </c>
      <c r="I3023" s="157" t="e">
        <f t="shared" ref="I3023" si="3">+F3023*G3023*H3023</f>
        <v>#VALUE!</v>
      </c>
      <c r="J3023" s="158" t="e">
        <f t="shared" ref="J3023" si="4">+F3023*H3023*12</f>
        <v>#VALUE!</v>
      </c>
    </row>
    <row r="3024" spans="1:17">
      <c r="A3024" s="332" t="s">
        <v>322</v>
      </c>
      <c r="B3024" s="333" t="s">
        <v>338</v>
      </c>
      <c r="C3024" s="423" t="s">
        <v>339</v>
      </c>
      <c r="D3024" s="332" t="s">
        <v>340</v>
      </c>
      <c r="E3024" s="333">
        <v>201601</v>
      </c>
      <c r="F3024" s="334">
        <v>154.59</v>
      </c>
      <c r="G3024" s="332">
        <v>3</v>
      </c>
      <c r="H3024" s="336">
        <v>1.1999999999999999E-3</v>
      </c>
      <c r="I3024" s="334">
        <v>0.56000000000000005</v>
      </c>
      <c r="J3024" s="334">
        <v>2.23</v>
      </c>
      <c r="Q3024" s="101" t="e">
        <f>IF(E3024&lt;=$Q$1,$S$5,#REF!)</f>
        <v>#REF!</v>
      </c>
    </row>
    <row r="3025" spans="1:10" ht="15">
      <c r="A3025" s="332" t="s">
        <v>322</v>
      </c>
      <c r="B3025" s="333" t="s">
        <v>338</v>
      </c>
      <c r="C3025" s="424" t="s">
        <v>339</v>
      </c>
      <c r="D3025" s="332" t="s">
        <v>340</v>
      </c>
      <c r="E3025" s="333">
        <v>201602</v>
      </c>
      <c r="F3025" s="334">
        <v>5187.0600000000004</v>
      </c>
      <c r="G3025" s="332">
        <v>2</v>
      </c>
      <c r="H3025" s="336">
        <v>1.1999999999999999E-3</v>
      </c>
      <c r="I3025" s="334">
        <v>12.45</v>
      </c>
      <c r="J3025" s="334">
        <v>74.69</v>
      </c>
    </row>
    <row r="3026" spans="1:10" ht="15">
      <c r="A3026" s="332" t="s">
        <v>322</v>
      </c>
      <c r="B3026" s="333" t="s">
        <v>741</v>
      </c>
      <c r="C3026" s="424" t="s">
        <v>742</v>
      </c>
      <c r="D3026" s="332" t="s">
        <v>828</v>
      </c>
      <c r="E3026" s="333">
        <v>201602</v>
      </c>
      <c r="F3026" s="334">
        <v>4.71</v>
      </c>
      <c r="G3026" s="332">
        <v>2</v>
      </c>
      <c r="H3026" s="336">
        <v>1.1999999999999999E-3</v>
      </c>
      <c r="I3026" s="334">
        <v>0.01</v>
      </c>
      <c r="J3026" s="334">
        <v>7.0000000000000007E-2</v>
      </c>
    </row>
    <row r="3027" spans="1:10">
      <c r="A3027" s="405" t="s">
        <v>322</v>
      </c>
      <c r="B3027" s="411" t="s">
        <v>338</v>
      </c>
      <c r="C3027" s="406" t="s">
        <v>339</v>
      </c>
      <c r="D3027" s="410" t="s">
        <v>340</v>
      </c>
      <c r="E3027" s="406">
        <v>201603</v>
      </c>
      <c r="F3027" s="407">
        <v>-701.95</v>
      </c>
      <c r="G3027" s="405">
        <v>13.5</v>
      </c>
      <c r="H3027" s="408">
        <v>1.1999999999999999E-3</v>
      </c>
      <c r="I3027" s="407">
        <v>-11.37</v>
      </c>
      <c r="J3027" s="407">
        <v>-10.11</v>
      </c>
    </row>
    <row r="3028" spans="1:10" ht="12" customHeight="1">
      <c r="A3028" s="467" t="s">
        <v>322</v>
      </c>
      <c r="B3028" s="468" t="s">
        <v>741</v>
      </c>
      <c r="C3028" s="468" t="s">
        <v>742</v>
      </c>
      <c r="D3028" s="467" t="s">
        <v>828</v>
      </c>
      <c r="E3028" s="468">
        <v>201603</v>
      </c>
      <c r="F3028" s="469">
        <v>594.62</v>
      </c>
      <c r="G3028" s="467">
        <v>13.5</v>
      </c>
      <c r="H3028" s="470">
        <v>1.1999999999999999E-3</v>
      </c>
      <c r="I3028" s="469">
        <v>9.6300000000000008</v>
      </c>
      <c r="J3028" s="469">
        <v>8.56</v>
      </c>
    </row>
    <row r="3029" spans="1:10" s="559" customFormat="1" ht="12" customHeight="1">
      <c r="A3029" s="521" t="s">
        <v>322</v>
      </c>
      <c r="B3029" s="522" t="s">
        <v>338</v>
      </c>
      <c r="C3029" s="522" t="s">
        <v>339</v>
      </c>
      <c r="D3029" s="521" t="s">
        <v>340</v>
      </c>
      <c r="E3029" s="522">
        <v>201604</v>
      </c>
      <c r="F3029" s="523">
        <v>781.67</v>
      </c>
      <c r="G3029" s="521">
        <v>12.5</v>
      </c>
      <c r="H3029" s="486">
        <v>1.1999999999999999E-3</v>
      </c>
      <c r="I3029" s="523">
        <v>11.73</v>
      </c>
      <c r="J3029" s="523">
        <v>11.26</v>
      </c>
    </row>
    <row r="3030" spans="1:10" s="559" customFormat="1" ht="12" customHeight="1">
      <c r="A3030" s="521" t="s">
        <v>322</v>
      </c>
      <c r="B3030" s="522" t="s">
        <v>741</v>
      </c>
      <c r="C3030" s="522" t="s">
        <v>742</v>
      </c>
      <c r="D3030" s="521" t="s">
        <v>828</v>
      </c>
      <c r="E3030" s="522">
        <v>201604</v>
      </c>
      <c r="F3030" s="523">
        <v>945.43</v>
      </c>
      <c r="G3030" s="521">
        <v>12.5</v>
      </c>
      <c r="H3030" s="486">
        <v>1.1999999999999999E-3</v>
      </c>
      <c r="I3030" s="523">
        <v>14.18</v>
      </c>
      <c r="J3030" s="523">
        <v>13.61</v>
      </c>
    </row>
    <row r="3031" spans="1:10" s="559" customFormat="1" ht="12" customHeight="1">
      <c r="A3031" s="521" t="s">
        <v>322</v>
      </c>
      <c r="B3031" s="522" t="s">
        <v>338</v>
      </c>
      <c r="C3031" s="522" t="s">
        <v>339</v>
      </c>
      <c r="D3031" s="521" t="s">
        <v>340</v>
      </c>
      <c r="E3031" s="522">
        <v>201605</v>
      </c>
      <c r="F3031" s="523">
        <v>1745.75</v>
      </c>
      <c r="G3031" s="521">
        <v>11.5</v>
      </c>
      <c r="H3031" s="486">
        <v>1.1999999999999999E-3</v>
      </c>
      <c r="I3031" s="523">
        <v>24.09</v>
      </c>
      <c r="J3031" s="523">
        <v>25.14</v>
      </c>
    </row>
    <row r="3032" spans="1:10" s="559" customFormat="1" ht="12" customHeight="1">
      <c r="A3032" s="521" t="s">
        <v>322</v>
      </c>
      <c r="B3032" s="522" t="s">
        <v>741</v>
      </c>
      <c r="C3032" s="522" t="s">
        <v>742</v>
      </c>
      <c r="D3032" s="521" t="s">
        <v>828</v>
      </c>
      <c r="E3032" s="522">
        <v>201605</v>
      </c>
      <c r="F3032" s="523">
        <v>101.83</v>
      </c>
      <c r="G3032" s="521">
        <v>11.5</v>
      </c>
      <c r="H3032" s="486">
        <v>1.1999999999999999E-3</v>
      </c>
      <c r="I3032" s="523">
        <v>1.41</v>
      </c>
      <c r="J3032" s="523">
        <v>1.47</v>
      </c>
    </row>
    <row r="3033" spans="1:10" s="559" customFormat="1" ht="12" customHeight="1">
      <c r="A3033" s="521" t="s">
        <v>322</v>
      </c>
      <c r="B3033" s="522" t="s">
        <v>338</v>
      </c>
      <c r="C3033" s="522" t="s">
        <v>339</v>
      </c>
      <c r="D3033" s="521" t="s">
        <v>340</v>
      </c>
      <c r="E3033" s="522">
        <v>201606</v>
      </c>
      <c r="F3033" s="523">
        <v>568.95000000000005</v>
      </c>
      <c r="G3033" s="521">
        <v>10.5</v>
      </c>
      <c r="H3033" s="486">
        <v>1.1999999999999999E-3</v>
      </c>
      <c r="I3033" s="523">
        <v>7.17</v>
      </c>
      <c r="J3033" s="523">
        <v>8.19</v>
      </c>
    </row>
    <row r="3034" spans="1:10" s="559" customFormat="1" ht="12" customHeight="1">
      <c r="A3034" s="521" t="s">
        <v>322</v>
      </c>
      <c r="B3034" s="522" t="s">
        <v>741</v>
      </c>
      <c r="C3034" s="522" t="s">
        <v>742</v>
      </c>
      <c r="D3034" s="521" t="s">
        <v>828</v>
      </c>
      <c r="E3034" s="522">
        <v>201606</v>
      </c>
      <c r="F3034" s="523">
        <v>126.06</v>
      </c>
      <c r="G3034" s="521">
        <v>10.5</v>
      </c>
      <c r="H3034" s="486">
        <v>1.1999999999999999E-3</v>
      </c>
      <c r="I3034" s="523">
        <v>1.59</v>
      </c>
      <c r="J3034" s="523">
        <v>1.82</v>
      </c>
    </row>
    <row r="3035" spans="1:10" s="559" customFormat="1" ht="12" customHeight="1">
      <c r="A3035" s="521" t="s">
        <v>322</v>
      </c>
      <c r="B3035" s="522" t="s">
        <v>338</v>
      </c>
      <c r="C3035" s="522" t="s">
        <v>339</v>
      </c>
      <c r="D3035" s="521" t="s">
        <v>340</v>
      </c>
      <c r="E3035" s="522">
        <v>201607</v>
      </c>
      <c r="F3035" s="523">
        <v>1251.6300000000001</v>
      </c>
      <c r="G3035" s="521">
        <v>9.5</v>
      </c>
      <c r="H3035" s="486">
        <v>1.1999999999999999E-3</v>
      </c>
      <c r="I3035" s="523">
        <v>14.27</v>
      </c>
      <c r="J3035" s="523">
        <v>18.02</v>
      </c>
    </row>
    <row r="3036" spans="1:10" s="559" customFormat="1" ht="12" customHeight="1">
      <c r="A3036" s="521" t="s">
        <v>322</v>
      </c>
      <c r="B3036" s="522" t="s">
        <v>741</v>
      </c>
      <c r="C3036" s="522" t="s">
        <v>742</v>
      </c>
      <c r="D3036" s="521" t="s">
        <v>828</v>
      </c>
      <c r="E3036" s="522">
        <v>201607</v>
      </c>
      <c r="F3036" s="523">
        <v>155.83000000000001</v>
      </c>
      <c r="G3036" s="521">
        <v>9.5</v>
      </c>
      <c r="H3036" s="486">
        <v>1.1999999999999999E-3</v>
      </c>
      <c r="I3036" s="523">
        <v>1.78</v>
      </c>
      <c r="J3036" s="523">
        <v>2.2400000000000002</v>
      </c>
    </row>
    <row r="3037" spans="1:10" s="559" customFormat="1" ht="12" customHeight="1">
      <c r="A3037" s="521" t="s">
        <v>322</v>
      </c>
      <c r="B3037" s="522" t="s">
        <v>338</v>
      </c>
      <c r="C3037" s="522" t="s">
        <v>339</v>
      </c>
      <c r="D3037" s="521" t="s">
        <v>340</v>
      </c>
      <c r="E3037" s="522">
        <v>201608</v>
      </c>
      <c r="F3037" s="523">
        <v>206.39</v>
      </c>
      <c r="G3037" s="521">
        <v>8.5</v>
      </c>
      <c r="H3037" s="486">
        <v>1.1999999999999999E-3</v>
      </c>
      <c r="I3037" s="523">
        <v>2.11</v>
      </c>
      <c r="J3037" s="523">
        <v>2.97</v>
      </c>
    </row>
    <row r="3038" spans="1:10" s="559" customFormat="1" ht="12" customHeight="1">
      <c r="A3038" s="521" t="s">
        <v>322</v>
      </c>
      <c r="B3038" s="522" t="s">
        <v>741</v>
      </c>
      <c r="C3038" s="522" t="s">
        <v>742</v>
      </c>
      <c r="D3038" s="521" t="s">
        <v>828</v>
      </c>
      <c r="E3038" s="522">
        <v>201608</v>
      </c>
      <c r="F3038" s="523">
        <v>107.96</v>
      </c>
      <c r="G3038" s="521">
        <v>8.5</v>
      </c>
      <c r="H3038" s="486">
        <v>1.1999999999999999E-3</v>
      </c>
      <c r="I3038" s="523">
        <v>1.1000000000000001</v>
      </c>
      <c r="J3038" s="523">
        <v>1.55</v>
      </c>
    </row>
    <row r="3039" spans="1:10" s="559" customFormat="1" ht="12" customHeight="1">
      <c r="A3039" s="521" t="s">
        <v>322</v>
      </c>
      <c r="B3039" s="522" t="s">
        <v>338</v>
      </c>
      <c r="C3039" s="522" t="s">
        <v>339</v>
      </c>
      <c r="D3039" s="521" t="s">
        <v>340</v>
      </c>
      <c r="E3039" s="522">
        <v>201609</v>
      </c>
      <c r="F3039" s="523">
        <v>367.77</v>
      </c>
      <c r="G3039" s="521">
        <v>7.5</v>
      </c>
      <c r="H3039" s="486">
        <v>1.1999999999999999E-3</v>
      </c>
      <c r="I3039" s="523">
        <v>3.31</v>
      </c>
      <c r="J3039" s="523">
        <v>5.3</v>
      </c>
    </row>
    <row r="3040" spans="1:10" s="559" customFormat="1" ht="12" customHeight="1">
      <c r="A3040" s="521" t="s">
        <v>322</v>
      </c>
      <c r="B3040" s="522" t="s">
        <v>741</v>
      </c>
      <c r="C3040" s="522" t="s">
        <v>742</v>
      </c>
      <c r="D3040" s="521" t="s">
        <v>828</v>
      </c>
      <c r="E3040" s="522">
        <v>201609</v>
      </c>
      <c r="F3040" s="523">
        <v>78.239999999999995</v>
      </c>
      <c r="G3040" s="521">
        <v>7.5</v>
      </c>
      <c r="H3040" s="486">
        <v>1.1999999999999999E-3</v>
      </c>
      <c r="I3040" s="523">
        <v>0.7</v>
      </c>
      <c r="J3040" s="523">
        <v>1.1299999999999999</v>
      </c>
    </row>
    <row r="3041" spans="1:17" s="559" customFormat="1" ht="12" customHeight="1">
      <c r="A3041" s="521"/>
      <c r="B3041" s="522"/>
      <c r="C3041" s="522"/>
      <c r="D3041" s="521"/>
      <c r="E3041" s="522"/>
      <c r="F3041" s="523"/>
      <c r="G3041" s="521"/>
      <c r="H3041" s="486"/>
      <c r="I3041" s="523"/>
      <c r="J3041" s="523"/>
    </row>
    <row r="3042" spans="1:17">
      <c r="A3042" s="108"/>
      <c r="B3042" s="108"/>
      <c r="C3042" s="108"/>
      <c r="D3042" s="126"/>
      <c r="E3042" s="159"/>
      <c r="F3042" s="82"/>
      <c r="G3042" s="170"/>
      <c r="H3042" s="168"/>
      <c r="I3042" s="82"/>
      <c r="J3042" s="82"/>
      <c r="Q3042" s="101">
        <f>IF(E3042&lt;=$Q$1,$S$5,#REF!)</f>
        <v>2015</v>
      </c>
    </row>
    <row r="3043" spans="1:17">
      <c r="A3043" s="114"/>
      <c r="B3043" s="114"/>
      <c r="C3043" s="114"/>
      <c r="D3043" s="114"/>
      <c r="E3043" s="164"/>
      <c r="F3043" s="129"/>
      <c r="G3043" s="166"/>
      <c r="H3043" s="132"/>
      <c r="I3043" s="129"/>
      <c r="J3043" s="129"/>
    </row>
    <row r="3044" spans="1:17" ht="13.5" thickBot="1">
      <c r="A3044" s="102"/>
      <c r="B3044" s="102"/>
      <c r="C3044" s="102"/>
      <c r="E3044" s="73" t="s">
        <v>107</v>
      </c>
      <c r="F3044" s="130">
        <f>SUM(F3024:F3043)</f>
        <v>11676.54</v>
      </c>
      <c r="I3044" s="130">
        <f>SUM(I3024:I3043)</f>
        <v>94.72</v>
      </c>
      <c r="J3044" s="130">
        <f>SUM(J3024:J3043)</f>
        <v>168.14000000000004</v>
      </c>
    </row>
    <row r="3045" spans="1:17" ht="13.5" thickTop="1">
      <c r="A3045" s="102"/>
      <c r="B3045" s="102"/>
      <c r="C3045" s="102"/>
      <c r="E3045" s="73"/>
      <c r="F3045" s="103"/>
      <c r="I3045" s="103"/>
      <c r="J3045" s="103"/>
    </row>
    <row r="3046" spans="1:17">
      <c r="A3046" s="102"/>
      <c r="B3046" s="102"/>
      <c r="C3046" s="102"/>
      <c r="E3046" s="73"/>
      <c r="F3046" s="103"/>
      <c r="I3046" s="103"/>
      <c r="J3046" s="103"/>
    </row>
    <row r="3047" spans="1:17">
      <c r="A3047" s="102"/>
      <c r="B3047" s="102"/>
      <c r="C3047" s="102"/>
      <c r="E3047" s="73"/>
      <c r="F3047" s="103"/>
      <c r="I3047" s="103"/>
      <c r="J3047" s="103"/>
    </row>
    <row r="3048" spans="1:17">
      <c r="A3048" s="102"/>
      <c r="B3048" s="102"/>
      <c r="C3048" s="102"/>
      <c r="E3048" s="73"/>
      <c r="F3048" s="103"/>
      <c r="I3048" s="103"/>
      <c r="J3048" s="103"/>
    </row>
    <row r="3049" spans="1:17" ht="13.5" thickBot="1">
      <c r="A3049" s="95" t="s">
        <v>108</v>
      </c>
      <c r="B3049" s="102"/>
      <c r="C3049" s="102"/>
      <c r="E3049" s="73"/>
      <c r="F3049" s="130">
        <f>+F3017+F2987+F2207+F3044</f>
        <v>41958210.369999997</v>
      </c>
      <c r="I3049" s="130">
        <f>+I3017+I2987+I2207+I3044</f>
        <v>452030.33999999956</v>
      </c>
      <c r="J3049" s="130">
        <f>+J3017+J2987+J2207+J3044</f>
        <v>692443.04000000085</v>
      </c>
    </row>
    <row r="3050" spans="1:17" ht="13.5" thickTop="1">
      <c r="A3050" s="102"/>
      <c r="B3050" s="102"/>
      <c r="C3050" s="102"/>
      <c r="E3050" s="73"/>
      <c r="F3050" s="103"/>
      <c r="I3050" s="103"/>
      <c r="J3050" s="103"/>
    </row>
    <row r="3051" spans="1:17">
      <c r="A3051" s="95" t="s">
        <v>109</v>
      </c>
      <c r="B3051" s="102"/>
      <c r="C3051" s="102"/>
      <c r="E3051" s="73"/>
      <c r="F3051" s="103"/>
      <c r="I3051" s="103"/>
      <c r="J3051" s="103"/>
    </row>
    <row r="3052" spans="1:17">
      <c r="A3052" s="102"/>
      <c r="B3052" s="102"/>
      <c r="C3052" s="102"/>
      <c r="E3052" s="73"/>
      <c r="F3052" s="103"/>
      <c r="I3052" s="103"/>
      <c r="J3052" s="103"/>
    </row>
    <row r="3053" spans="1:17">
      <c r="A3053" s="88" t="s">
        <v>408</v>
      </c>
      <c r="B3053" s="102"/>
      <c r="C3053" s="102"/>
      <c r="F3053" s="123"/>
      <c r="I3053" s="123"/>
      <c r="J3053" s="123"/>
    </row>
    <row r="3054" spans="1:17">
      <c r="A3054" s="102"/>
      <c r="B3054" s="102"/>
      <c r="C3054" s="102"/>
      <c r="F3054" s="123"/>
      <c r="I3054" s="123"/>
      <c r="J3054" s="123"/>
    </row>
    <row r="3055" spans="1:17">
      <c r="A3055" s="81" t="s">
        <v>86</v>
      </c>
      <c r="B3055" s="81" t="s">
        <v>87</v>
      </c>
      <c r="C3055" s="81" t="s">
        <v>88</v>
      </c>
      <c r="D3055" s="81"/>
      <c r="E3055" s="146" t="s">
        <v>89</v>
      </c>
      <c r="F3055" s="90" t="s">
        <v>90</v>
      </c>
      <c r="G3055" s="147"/>
      <c r="H3055" s="81" t="s">
        <v>91</v>
      </c>
      <c r="I3055" s="90" t="s">
        <v>92</v>
      </c>
      <c r="J3055" s="90" t="s">
        <v>93</v>
      </c>
    </row>
    <row r="3056" spans="1:17">
      <c r="A3056" s="86" t="s">
        <v>94</v>
      </c>
      <c r="B3056" s="96" t="s">
        <v>95</v>
      </c>
      <c r="C3056" s="96" t="s">
        <v>96</v>
      </c>
      <c r="D3056" s="96" t="s">
        <v>97</v>
      </c>
      <c r="E3056" s="150" t="s">
        <v>98</v>
      </c>
      <c r="F3056" s="98" t="s">
        <v>99</v>
      </c>
      <c r="G3056" s="151" t="s">
        <v>100</v>
      </c>
      <c r="H3056" s="96" t="s">
        <v>101</v>
      </c>
      <c r="I3056" s="98" t="s">
        <v>93</v>
      </c>
      <c r="J3056" s="98" t="s">
        <v>102</v>
      </c>
    </row>
    <row r="3057" spans="1:17">
      <c r="A3057" s="332" t="s">
        <v>405</v>
      </c>
      <c r="B3057" s="333" t="s">
        <v>397</v>
      </c>
      <c r="C3057" s="333"/>
      <c r="D3057" s="332" t="s">
        <v>398</v>
      </c>
      <c r="E3057" s="333">
        <v>201601</v>
      </c>
      <c r="F3057" s="334">
        <v>105172.2</v>
      </c>
      <c r="G3057" s="332">
        <v>3</v>
      </c>
      <c r="H3057" s="332">
        <v>4.3582999999999998E-3</v>
      </c>
      <c r="I3057" s="334">
        <v>1375.12</v>
      </c>
      <c r="J3057" s="334">
        <v>5500.46</v>
      </c>
      <c r="Q3057" s="101" t="e">
        <f>IF(E3057&lt;=$Q$1,$S$5,#REF!)</f>
        <v>#REF!</v>
      </c>
    </row>
    <row r="3058" spans="1:17">
      <c r="A3058" s="399" t="s">
        <v>405</v>
      </c>
      <c r="B3058" s="333" t="s">
        <v>406</v>
      </c>
      <c r="C3058" s="333"/>
      <c r="D3058" s="399" t="s">
        <v>407</v>
      </c>
      <c r="E3058" s="333">
        <v>201601</v>
      </c>
      <c r="F3058" s="431">
        <v>3977.42</v>
      </c>
      <c r="G3058" s="332">
        <v>3</v>
      </c>
      <c r="H3058" s="332">
        <v>4.3582999999999998E-3</v>
      </c>
      <c r="I3058" s="334">
        <v>52</v>
      </c>
      <c r="J3058" s="334">
        <v>208.02</v>
      </c>
    </row>
    <row r="3059" spans="1:17">
      <c r="A3059" s="332" t="s">
        <v>405</v>
      </c>
      <c r="B3059" s="333" t="s">
        <v>548</v>
      </c>
      <c r="C3059" s="333"/>
      <c r="D3059" s="399" t="s">
        <v>549</v>
      </c>
      <c r="E3059" s="333">
        <v>201601</v>
      </c>
      <c r="F3059" s="431">
        <v>6292.34</v>
      </c>
      <c r="G3059" s="332">
        <v>3</v>
      </c>
      <c r="H3059" s="332">
        <v>4.3582999999999998E-3</v>
      </c>
      <c r="I3059" s="334">
        <v>82.27</v>
      </c>
      <c r="J3059" s="334">
        <v>329.09</v>
      </c>
    </row>
    <row r="3060" spans="1:17">
      <c r="A3060" s="332" t="s">
        <v>405</v>
      </c>
      <c r="B3060" s="333" t="s">
        <v>401</v>
      </c>
      <c r="C3060" s="333"/>
      <c r="D3060" s="332" t="s">
        <v>402</v>
      </c>
      <c r="E3060" s="333">
        <v>201601</v>
      </c>
      <c r="F3060" s="334">
        <v>-13.85</v>
      </c>
      <c r="G3060" s="332">
        <v>3</v>
      </c>
      <c r="H3060" s="332">
        <v>4.3582999999999998E-3</v>
      </c>
      <c r="I3060" s="334">
        <v>-0.18</v>
      </c>
      <c r="J3060" s="334">
        <v>-0.72</v>
      </c>
    </row>
    <row r="3061" spans="1:17">
      <c r="A3061" s="332" t="s">
        <v>405</v>
      </c>
      <c r="B3061" s="333" t="s">
        <v>403</v>
      </c>
      <c r="C3061" s="333"/>
      <c r="D3061" s="332" t="s">
        <v>404</v>
      </c>
      <c r="E3061" s="333">
        <v>201601</v>
      </c>
      <c r="F3061" s="334">
        <v>623.86</v>
      </c>
      <c r="G3061" s="332">
        <v>3</v>
      </c>
      <c r="H3061" s="332">
        <v>4.3582999999999998E-3</v>
      </c>
      <c r="I3061" s="334">
        <v>8.16</v>
      </c>
      <c r="J3061" s="334">
        <v>32.630000000000003</v>
      </c>
    </row>
    <row r="3062" spans="1:17">
      <c r="A3062" s="332" t="s">
        <v>405</v>
      </c>
      <c r="B3062" s="333" t="s">
        <v>451</v>
      </c>
      <c r="C3062" s="333"/>
      <c r="D3062" s="332" t="s">
        <v>452</v>
      </c>
      <c r="E3062" s="333">
        <v>201601</v>
      </c>
      <c r="F3062" s="334">
        <v>-0.03</v>
      </c>
      <c r="G3062" s="332">
        <v>3</v>
      </c>
      <c r="H3062" s="332">
        <v>4.3582999999999998E-3</v>
      </c>
      <c r="I3062" s="334">
        <v>0</v>
      </c>
      <c r="J3062" s="334">
        <v>0</v>
      </c>
    </row>
    <row r="3063" spans="1:17">
      <c r="A3063" s="332" t="s">
        <v>405</v>
      </c>
      <c r="B3063" s="333" t="s">
        <v>397</v>
      </c>
      <c r="C3063" s="333"/>
      <c r="D3063" s="399" t="s">
        <v>398</v>
      </c>
      <c r="E3063" s="333">
        <v>201602</v>
      </c>
      <c r="F3063" s="431">
        <v>4993.93</v>
      </c>
      <c r="G3063" s="332">
        <v>2</v>
      </c>
      <c r="H3063" s="332">
        <v>4.3582999999999998E-3</v>
      </c>
      <c r="I3063" s="334">
        <v>43.53</v>
      </c>
      <c r="J3063" s="334">
        <v>261.18</v>
      </c>
    </row>
    <row r="3064" spans="1:17">
      <c r="A3064" s="332" t="s">
        <v>405</v>
      </c>
      <c r="B3064" s="333" t="s">
        <v>406</v>
      </c>
      <c r="C3064" s="333"/>
      <c r="D3064" s="332" t="s">
        <v>407</v>
      </c>
      <c r="E3064" s="333">
        <v>201602</v>
      </c>
      <c r="F3064" s="334">
        <v>-1116.6300000000001</v>
      </c>
      <c r="G3064" s="332">
        <v>2</v>
      </c>
      <c r="H3064" s="332">
        <v>4.3582999999999998E-3</v>
      </c>
      <c r="I3064" s="334">
        <v>-9.73</v>
      </c>
      <c r="J3064" s="334">
        <v>-58.4</v>
      </c>
    </row>
    <row r="3065" spans="1:17">
      <c r="A3065" s="332" t="s">
        <v>405</v>
      </c>
      <c r="B3065" s="333" t="s">
        <v>548</v>
      </c>
      <c r="C3065" s="333"/>
      <c r="D3065" s="332" t="s">
        <v>549</v>
      </c>
      <c r="E3065" s="333">
        <v>201602</v>
      </c>
      <c r="F3065" s="334">
        <v>-1600.31</v>
      </c>
      <c r="G3065" s="332">
        <v>2</v>
      </c>
      <c r="H3065" s="332">
        <v>4.3582999999999998E-3</v>
      </c>
      <c r="I3065" s="334">
        <v>-13.95</v>
      </c>
      <c r="J3065" s="334">
        <v>-83.7</v>
      </c>
    </row>
    <row r="3066" spans="1:17">
      <c r="A3066" s="332" t="s">
        <v>405</v>
      </c>
      <c r="B3066" s="333" t="s">
        <v>401</v>
      </c>
      <c r="C3066" s="333"/>
      <c r="D3066" s="399" t="s">
        <v>402</v>
      </c>
      <c r="E3066" s="333">
        <v>201602</v>
      </c>
      <c r="F3066" s="431">
        <v>227.95</v>
      </c>
      <c r="G3066" s="332">
        <v>2</v>
      </c>
      <c r="H3066" s="332">
        <v>4.3582999999999998E-3</v>
      </c>
      <c r="I3066" s="334">
        <v>1.99</v>
      </c>
      <c r="J3066" s="334">
        <v>11.92</v>
      </c>
    </row>
    <row r="3067" spans="1:17" s="559" customFormat="1">
      <c r="A3067" s="521" t="s">
        <v>405</v>
      </c>
      <c r="B3067" s="522" t="s">
        <v>403</v>
      </c>
      <c r="C3067" s="522"/>
      <c r="D3067" s="399" t="s">
        <v>404</v>
      </c>
      <c r="E3067" s="522">
        <v>201602</v>
      </c>
      <c r="F3067" s="431">
        <v>60830.879999999997</v>
      </c>
      <c r="G3067" s="521">
        <v>2</v>
      </c>
      <c r="H3067" s="521">
        <v>4.3582999999999998E-3</v>
      </c>
      <c r="I3067" s="523">
        <v>530.24</v>
      </c>
      <c r="J3067" s="523">
        <v>3181.43</v>
      </c>
    </row>
    <row r="3068" spans="1:17" s="559" customFormat="1">
      <c r="A3068" s="521" t="s">
        <v>405</v>
      </c>
      <c r="B3068" s="522">
        <v>695160</v>
      </c>
      <c r="C3068" s="522"/>
      <c r="D3068" s="399" t="s">
        <v>398</v>
      </c>
      <c r="E3068" s="522">
        <v>201603</v>
      </c>
      <c r="F3068" s="431">
        <v>18280.61</v>
      </c>
      <c r="G3068" s="521">
        <v>13.5</v>
      </c>
      <c r="H3068" s="521">
        <v>4.3582999999999998E-3</v>
      </c>
      <c r="I3068" s="523">
        <v>1075.58</v>
      </c>
      <c r="J3068" s="523">
        <v>956.07</v>
      </c>
    </row>
    <row r="3069" spans="1:17" s="559" customFormat="1">
      <c r="A3069" s="521" t="s">
        <v>405</v>
      </c>
      <c r="B3069" s="522">
        <v>696300</v>
      </c>
      <c r="C3069" s="522"/>
      <c r="D3069" s="399" t="s">
        <v>407</v>
      </c>
      <c r="E3069" s="522">
        <v>201603</v>
      </c>
      <c r="F3069" s="431">
        <v>2282.87</v>
      </c>
      <c r="G3069" s="521">
        <v>13.5</v>
      </c>
      <c r="H3069" s="521">
        <v>4.3582999999999998E-3</v>
      </c>
      <c r="I3069" s="523">
        <v>134.32</v>
      </c>
      <c r="J3069" s="523">
        <v>119.39</v>
      </c>
    </row>
    <row r="3070" spans="1:17" s="559" customFormat="1">
      <c r="A3070" s="521" t="s">
        <v>405</v>
      </c>
      <c r="B3070" s="522">
        <v>697300</v>
      </c>
      <c r="C3070" s="522"/>
      <c r="D3070" s="399" t="s">
        <v>549</v>
      </c>
      <c r="E3070" s="522">
        <v>201603</v>
      </c>
      <c r="F3070" s="431">
        <v>2102.58</v>
      </c>
      <c r="G3070" s="521">
        <v>13.5</v>
      </c>
      <c r="H3070" s="521">
        <v>4.3582999999999998E-3</v>
      </c>
      <c r="I3070" s="523">
        <v>123.71</v>
      </c>
      <c r="J3070" s="523">
        <v>109.96</v>
      </c>
    </row>
    <row r="3071" spans="1:17" s="559" customFormat="1">
      <c r="A3071" s="521" t="s">
        <v>405</v>
      </c>
      <c r="B3071" s="522">
        <v>698300</v>
      </c>
      <c r="C3071" s="522"/>
      <c r="D3071" s="399" t="s">
        <v>402</v>
      </c>
      <c r="E3071" s="522">
        <v>201603</v>
      </c>
      <c r="F3071" s="431">
        <v>0.99</v>
      </c>
      <c r="G3071" s="521">
        <v>13.5</v>
      </c>
      <c r="H3071" s="521">
        <v>4.3582999999999998E-3</v>
      </c>
      <c r="I3071" s="523">
        <v>0.06</v>
      </c>
      <c r="J3071" s="523">
        <v>0.05</v>
      </c>
    </row>
    <row r="3072" spans="1:17" s="559" customFormat="1">
      <c r="A3072" s="521" t="s">
        <v>405</v>
      </c>
      <c r="B3072" s="522">
        <v>699160</v>
      </c>
      <c r="C3072" s="522"/>
      <c r="D3072" s="399" t="s">
        <v>404</v>
      </c>
      <c r="E3072" s="522">
        <v>201603</v>
      </c>
      <c r="F3072" s="431">
        <v>-4040.57</v>
      </c>
      <c r="G3072" s="521">
        <v>13.5</v>
      </c>
      <c r="H3072" s="521">
        <v>4.3582999999999998E-3</v>
      </c>
      <c r="I3072" s="523">
        <v>-237.74</v>
      </c>
      <c r="J3072" s="523">
        <v>-211.32</v>
      </c>
    </row>
    <row r="3073" spans="1:10" s="559" customFormat="1">
      <c r="A3073" s="521" t="s">
        <v>405</v>
      </c>
      <c r="B3073" s="522">
        <v>900266</v>
      </c>
      <c r="C3073" s="522"/>
      <c r="D3073" s="399" t="s">
        <v>452</v>
      </c>
      <c r="E3073" s="522">
        <v>201603</v>
      </c>
      <c r="F3073" s="431">
        <v>0.01</v>
      </c>
      <c r="G3073" s="521">
        <v>13.5</v>
      </c>
      <c r="H3073" s="521">
        <v>4.3582999999999998E-3</v>
      </c>
      <c r="I3073" s="523">
        <v>0</v>
      </c>
      <c r="J3073" s="523">
        <v>0</v>
      </c>
    </row>
    <row r="3074" spans="1:10" s="559" customFormat="1">
      <c r="A3074" s="521" t="s">
        <v>405</v>
      </c>
      <c r="B3074" s="522">
        <v>695160</v>
      </c>
      <c r="C3074" s="522"/>
      <c r="D3074" s="399" t="s">
        <v>398</v>
      </c>
      <c r="E3074" s="522">
        <v>201604</v>
      </c>
      <c r="F3074" s="431">
        <v>38183.879999999997</v>
      </c>
      <c r="G3074" s="521">
        <v>12.5</v>
      </c>
      <c r="H3074" s="521">
        <v>4.3582999999999998E-3</v>
      </c>
      <c r="I3074" s="523">
        <v>2080.21</v>
      </c>
      <c r="J3074" s="523">
        <v>1997</v>
      </c>
    </row>
    <row r="3075" spans="1:10" s="559" customFormat="1">
      <c r="A3075" s="521" t="s">
        <v>405</v>
      </c>
      <c r="B3075" s="522">
        <v>696300</v>
      </c>
      <c r="C3075" s="522"/>
      <c r="D3075" s="399" t="s">
        <v>407</v>
      </c>
      <c r="E3075" s="522">
        <v>201604</v>
      </c>
      <c r="F3075" s="431">
        <v>480.71</v>
      </c>
      <c r="G3075" s="521">
        <v>12.5</v>
      </c>
      <c r="H3075" s="521">
        <v>4.3582999999999998E-3</v>
      </c>
      <c r="I3075" s="523">
        <v>26.19</v>
      </c>
      <c r="J3075" s="523">
        <v>25.14</v>
      </c>
    </row>
    <row r="3076" spans="1:10" s="559" customFormat="1">
      <c r="A3076" s="521" t="s">
        <v>405</v>
      </c>
      <c r="B3076" s="522">
        <v>697300</v>
      </c>
      <c r="C3076" s="522"/>
      <c r="D3076" s="399" t="s">
        <v>549</v>
      </c>
      <c r="E3076" s="522">
        <v>201604</v>
      </c>
      <c r="F3076" s="431">
        <v>2253.46</v>
      </c>
      <c r="G3076" s="521">
        <v>12.5</v>
      </c>
      <c r="H3076" s="521">
        <v>4.3582999999999998E-3</v>
      </c>
      <c r="I3076" s="523">
        <v>122.77</v>
      </c>
      <c r="J3076" s="523">
        <v>117.86</v>
      </c>
    </row>
    <row r="3077" spans="1:10" s="559" customFormat="1">
      <c r="A3077" s="521" t="s">
        <v>405</v>
      </c>
      <c r="B3077" s="522">
        <v>698300</v>
      </c>
      <c r="C3077" s="522"/>
      <c r="D3077" s="399" t="s">
        <v>402</v>
      </c>
      <c r="E3077" s="522">
        <v>201604</v>
      </c>
      <c r="F3077" s="431">
        <v>1113.04</v>
      </c>
      <c r="G3077" s="521">
        <v>12.5</v>
      </c>
      <c r="H3077" s="521">
        <v>4.3582999999999998E-3</v>
      </c>
      <c r="I3077" s="523">
        <v>60.64</v>
      </c>
      <c r="J3077" s="523">
        <v>58.21</v>
      </c>
    </row>
    <row r="3078" spans="1:10" s="559" customFormat="1">
      <c r="A3078" s="521" t="s">
        <v>405</v>
      </c>
      <c r="B3078" s="522">
        <v>699160</v>
      </c>
      <c r="C3078" s="522"/>
      <c r="D3078" s="399" t="s">
        <v>404</v>
      </c>
      <c r="E3078" s="522">
        <v>201604</v>
      </c>
      <c r="F3078" s="431">
        <v>27582.89</v>
      </c>
      <c r="G3078" s="521">
        <v>12.5</v>
      </c>
      <c r="H3078" s="521">
        <v>4.3582999999999998E-3</v>
      </c>
      <c r="I3078" s="523">
        <v>1502.68</v>
      </c>
      <c r="J3078" s="523">
        <v>1442.57</v>
      </c>
    </row>
    <row r="3079" spans="1:10" s="559" customFormat="1">
      <c r="A3079" s="521" t="s">
        <v>405</v>
      </c>
      <c r="B3079" s="522">
        <v>900266</v>
      </c>
      <c r="C3079" s="522"/>
      <c r="D3079" s="399" t="s">
        <v>452</v>
      </c>
      <c r="E3079" s="522">
        <v>201604</v>
      </c>
      <c r="F3079" s="431">
        <v>0.11</v>
      </c>
      <c r="G3079" s="521">
        <v>12.5</v>
      </c>
      <c r="H3079" s="521">
        <v>4.3582999999999998E-3</v>
      </c>
      <c r="I3079" s="523">
        <v>0.01</v>
      </c>
      <c r="J3079" s="523">
        <v>0.01</v>
      </c>
    </row>
    <row r="3080" spans="1:10" s="559" customFormat="1">
      <c r="A3080" s="521" t="s">
        <v>405</v>
      </c>
      <c r="B3080" s="522">
        <v>900272</v>
      </c>
      <c r="C3080" s="522"/>
      <c r="D3080" s="399" t="s">
        <v>646</v>
      </c>
      <c r="E3080" s="522">
        <v>201604</v>
      </c>
      <c r="F3080" s="431">
        <v>1469.66</v>
      </c>
      <c r="G3080" s="521">
        <v>12.5</v>
      </c>
      <c r="H3080" s="521">
        <v>4.3582999999999998E-3</v>
      </c>
      <c r="I3080" s="523">
        <v>80.069999999999993</v>
      </c>
      <c r="J3080" s="523">
        <v>76.86</v>
      </c>
    </row>
    <row r="3081" spans="1:10" s="559" customFormat="1">
      <c r="A3081" s="521" t="s">
        <v>405</v>
      </c>
      <c r="B3081" s="522">
        <v>695160</v>
      </c>
      <c r="C3081" s="522"/>
      <c r="D3081" s="399" t="s">
        <v>398</v>
      </c>
      <c r="E3081" s="522">
        <v>201605</v>
      </c>
      <c r="F3081" s="431">
        <v>31534.3</v>
      </c>
      <c r="G3081" s="521">
        <v>11.5</v>
      </c>
      <c r="H3081" s="521">
        <v>4.3582999999999998E-3</v>
      </c>
      <c r="I3081" s="523">
        <v>1580.51</v>
      </c>
      <c r="J3081" s="523">
        <v>1649.23</v>
      </c>
    </row>
    <row r="3082" spans="1:10" s="559" customFormat="1">
      <c r="A3082" s="521" t="s">
        <v>405</v>
      </c>
      <c r="B3082" s="522">
        <v>696300</v>
      </c>
      <c r="C3082" s="522"/>
      <c r="D3082" s="399" t="s">
        <v>407</v>
      </c>
      <c r="E3082" s="522">
        <v>201605</v>
      </c>
      <c r="F3082" s="431">
        <v>1744.05</v>
      </c>
      <c r="G3082" s="521">
        <v>11.5</v>
      </c>
      <c r="H3082" s="521">
        <v>4.3582999999999998E-3</v>
      </c>
      <c r="I3082" s="523">
        <v>87.41</v>
      </c>
      <c r="J3082" s="523">
        <v>91.21</v>
      </c>
    </row>
    <row r="3083" spans="1:10" s="559" customFormat="1">
      <c r="A3083" s="521" t="s">
        <v>405</v>
      </c>
      <c r="B3083" s="522">
        <v>697300</v>
      </c>
      <c r="C3083" s="522"/>
      <c r="D3083" s="399" t="s">
        <v>549</v>
      </c>
      <c r="E3083" s="522">
        <v>201605</v>
      </c>
      <c r="F3083" s="431">
        <v>2408.61</v>
      </c>
      <c r="G3083" s="521">
        <v>11.5</v>
      </c>
      <c r="H3083" s="521">
        <v>4.3582999999999998E-3</v>
      </c>
      <c r="I3083" s="523">
        <v>120.72</v>
      </c>
      <c r="J3083" s="523">
        <v>125.97</v>
      </c>
    </row>
    <row r="3084" spans="1:10" s="559" customFormat="1">
      <c r="A3084" s="521" t="s">
        <v>405</v>
      </c>
      <c r="B3084" s="522">
        <v>698300</v>
      </c>
      <c r="C3084" s="522"/>
      <c r="D3084" s="399" t="s">
        <v>402</v>
      </c>
      <c r="E3084" s="522">
        <v>201605</v>
      </c>
      <c r="F3084" s="431">
        <v>-148.44999999999999</v>
      </c>
      <c r="G3084" s="521">
        <v>11.5</v>
      </c>
      <c r="H3084" s="521">
        <v>4.3582999999999998E-3</v>
      </c>
      <c r="I3084" s="523">
        <v>-7.44</v>
      </c>
      <c r="J3084" s="523">
        <v>-7.76</v>
      </c>
    </row>
    <row r="3085" spans="1:10" s="559" customFormat="1">
      <c r="A3085" s="521" t="s">
        <v>405</v>
      </c>
      <c r="B3085" s="522">
        <v>699160</v>
      </c>
      <c r="C3085" s="522"/>
      <c r="D3085" s="399" t="s">
        <v>404</v>
      </c>
      <c r="E3085" s="522">
        <v>201605</v>
      </c>
      <c r="F3085" s="431">
        <v>22298.83</v>
      </c>
      <c r="G3085" s="521">
        <v>11.5</v>
      </c>
      <c r="H3085" s="521">
        <v>4.3582999999999998E-3</v>
      </c>
      <c r="I3085" s="523">
        <v>1117.6300000000001</v>
      </c>
      <c r="J3085" s="523">
        <v>1166.22</v>
      </c>
    </row>
    <row r="3086" spans="1:10" s="559" customFormat="1">
      <c r="A3086" s="521" t="s">
        <v>405</v>
      </c>
      <c r="B3086" s="522">
        <v>900266</v>
      </c>
      <c r="C3086" s="522"/>
      <c r="D3086" s="399" t="s">
        <v>452</v>
      </c>
      <c r="E3086" s="522">
        <v>201605</v>
      </c>
      <c r="F3086" s="431">
        <v>0.1</v>
      </c>
      <c r="G3086" s="521">
        <v>11.5</v>
      </c>
      <c r="H3086" s="521">
        <v>4.3582999999999998E-3</v>
      </c>
      <c r="I3086" s="523">
        <v>0.01</v>
      </c>
      <c r="J3086" s="523">
        <v>0.01</v>
      </c>
    </row>
    <row r="3087" spans="1:10" s="559" customFormat="1">
      <c r="A3087" s="521" t="s">
        <v>405</v>
      </c>
      <c r="B3087" s="522">
        <v>900272</v>
      </c>
      <c r="C3087" s="522"/>
      <c r="D3087" s="399" t="s">
        <v>646</v>
      </c>
      <c r="E3087" s="522">
        <v>201605</v>
      </c>
      <c r="F3087" s="431">
        <v>-0.03</v>
      </c>
      <c r="G3087" s="521">
        <v>11.5</v>
      </c>
      <c r="H3087" s="521">
        <v>4.3582999999999998E-3</v>
      </c>
      <c r="I3087" s="523">
        <v>0</v>
      </c>
      <c r="J3087" s="523">
        <v>0</v>
      </c>
    </row>
    <row r="3088" spans="1:10" s="559" customFormat="1">
      <c r="A3088" s="521" t="s">
        <v>405</v>
      </c>
      <c r="B3088" s="522">
        <v>695160</v>
      </c>
      <c r="C3088" s="522"/>
      <c r="D3088" s="399" t="s">
        <v>398</v>
      </c>
      <c r="E3088" s="522">
        <v>201606</v>
      </c>
      <c r="F3088" s="431">
        <v>21522.44</v>
      </c>
      <c r="G3088" s="521">
        <v>10.5</v>
      </c>
      <c r="H3088" s="521">
        <v>4.3582999999999998E-3</v>
      </c>
      <c r="I3088" s="523">
        <v>984.91</v>
      </c>
      <c r="J3088" s="523">
        <v>1125.6199999999999</v>
      </c>
    </row>
    <row r="3089" spans="1:10" s="559" customFormat="1">
      <c r="A3089" s="521" t="s">
        <v>405</v>
      </c>
      <c r="B3089" s="522">
        <v>696300</v>
      </c>
      <c r="C3089" s="522"/>
      <c r="D3089" s="399" t="s">
        <v>407</v>
      </c>
      <c r="E3089" s="522">
        <v>201606</v>
      </c>
      <c r="F3089" s="431">
        <v>399.21</v>
      </c>
      <c r="G3089" s="521">
        <v>10.5</v>
      </c>
      <c r="H3089" s="521">
        <v>4.3582999999999998E-3</v>
      </c>
      <c r="I3089" s="523">
        <v>18.27</v>
      </c>
      <c r="J3089" s="523">
        <v>20.88</v>
      </c>
    </row>
    <row r="3090" spans="1:10" s="559" customFormat="1">
      <c r="A3090" s="521" t="s">
        <v>405</v>
      </c>
      <c r="B3090" s="522">
        <v>697300</v>
      </c>
      <c r="C3090" s="522"/>
      <c r="D3090" s="399" t="s">
        <v>549</v>
      </c>
      <c r="E3090" s="522">
        <v>201606</v>
      </c>
      <c r="F3090" s="431">
        <v>468.35</v>
      </c>
      <c r="G3090" s="521">
        <v>10.5</v>
      </c>
      <c r="H3090" s="521">
        <v>4.3582999999999998E-3</v>
      </c>
      <c r="I3090" s="523">
        <v>21.43</v>
      </c>
      <c r="J3090" s="523">
        <v>24.49</v>
      </c>
    </row>
    <row r="3091" spans="1:10" s="559" customFormat="1">
      <c r="A3091" s="521" t="s">
        <v>405</v>
      </c>
      <c r="B3091" s="522">
        <v>698300</v>
      </c>
      <c r="C3091" s="522"/>
      <c r="D3091" s="399" t="s">
        <v>402</v>
      </c>
      <c r="E3091" s="522">
        <v>201606</v>
      </c>
      <c r="F3091" s="431">
        <v>736.92</v>
      </c>
      <c r="G3091" s="521">
        <v>10.5</v>
      </c>
      <c r="H3091" s="521">
        <v>4.3582999999999998E-3</v>
      </c>
      <c r="I3091" s="523">
        <v>33.72</v>
      </c>
      <c r="J3091" s="523">
        <v>38.54</v>
      </c>
    </row>
    <row r="3092" spans="1:10" s="559" customFormat="1">
      <c r="A3092" s="521" t="s">
        <v>405</v>
      </c>
      <c r="B3092" s="522">
        <v>699160</v>
      </c>
      <c r="C3092" s="522"/>
      <c r="D3092" s="399" t="s">
        <v>404</v>
      </c>
      <c r="E3092" s="522">
        <v>201606</v>
      </c>
      <c r="F3092" s="431">
        <v>28243.57</v>
      </c>
      <c r="G3092" s="521">
        <v>10.5</v>
      </c>
      <c r="H3092" s="521">
        <v>4.3582999999999998E-3</v>
      </c>
      <c r="I3092" s="523">
        <v>1292.49</v>
      </c>
      <c r="J3092" s="523">
        <v>1477.13</v>
      </c>
    </row>
    <row r="3093" spans="1:10" s="559" customFormat="1">
      <c r="A3093" s="521" t="s">
        <v>405</v>
      </c>
      <c r="B3093" s="522">
        <v>900266</v>
      </c>
      <c r="C3093" s="522"/>
      <c r="D3093" s="399" t="s">
        <v>452</v>
      </c>
      <c r="E3093" s="522">
        <v>201606</v>
      </c>
      <c r="F3093" s="431">
        <v>0.08</v>
      </c>
      <c r="G3093" s="521">
        <v>10.5</v>
      </c>
      <c r="H3093" s="521">
        <v>4.3582999999999998E-3</v>
      </c>
      <c r="I3093" s="523">
        <v>0</v>
      </c>
      <c r="J3093" s="523">
        <v>0</v>
      </c>
    </row>
    <row r="3094" spans="1:10" s="559" customFormat="1">
      <c r="A3094" s="521" t="s">
        <v>405</v>
      </c>
      <c r="B3094" s="522">
        <v>900272</v>
      </c>
      <c r="C3094" s="522"/>
      <c r="D3094" s="399" t="s">
        <v>646</v>
      </c>
      <c r="E3094" s="522">
        <v>201606</v>
      </c>
      <c r="F3094" s="431">
        <v>-0.03</v>
      </c>
      <c r="G3094" s="521">
        <v>10.5</v>
      </c>
      <c r="H3094" s="521">
        <v>4.3582999999999998E-3</v>
      </c>
      <c r="I3094" s="523">
        <v>0</v>
      </c>
      <c r="J3094" s="523">
        <v>0</v>
      </c>
    </row>
    <row r="3095" spans="1:10" s="559" customFormat="1">
      <c r="A3095" s="521" t="s">
        <v>405</v>
      </c>
      <c r="B3095" s="522" t="s">
        <v>397</v>
      </c>
      <c r="C3095" s="522"/>
      <c r="D3095" s="399" t="s">
        <v>398</v>
      </c>
      <c r="E3095" s="522">
        <v>201607</v>
      </c>
      <c r="F3095" s="431">
        <v>32403</v>
      </c>
      <c r="G3095" s="521">
        <v>9.5</v>
      </c>
      <c r="H3095" s="521">
        <v>4.3582999999999998E-3</v>
      </c>
      <c r="I3095" s="523">
        <v>1341.61</v>
      </c>
      <c r="J3095" s="523">
        <v>1694.66</v>
      </c>
    </row>
    <row r="3096" spans="1:10" s="559" customFormat="1">
      <c r="A3096" s="521" t="s">
        <v>405</v>
      </c>
      <c r="B3096" s="522" t="s">
        <v>406</v>
      </c>
      <c r="C3096" s="522"/>
      <c r="D3096" s="399" t="s">
        <v>407</v>
      </c>
      <c r="E3096" s="522">
        <v>201607</v>
      </c>
      <c r="F3096" s="431">
        <v>421.65</v>
      </c>
      <c r="G3096" s="521">
        <v>9.5</v>
      </c>
      <c r="H3096" s="521">
        <v>4.3582999999999998E-3</v>
      </c>
      <c r="I3096" s="523">
        <v>17.46</v>
      </c>
      <c r="J3096" s="523">
        <v>22.05</v>
      </c>
    </row>
    <row r="3097" spans="1:10" s="559" customFormat="1">
      <c r="A3097" s="521" t="s">
        <v>405</v>
      </c>
      <c r="B3097" s="522" t="s">
        <v>548</v>
      </c>
      <c r="C3097" s="522"/>
      <c r="D3097" s="399" t="s">
        <v>549</v>
      </c>
      <c r="E3097" s="522">
        <v>201607</v>
      </c>
      <c r="F3097" s="431">
        <v>1646.92</v>
      </c>
      <c r="G3097" s="521">
        <v>9.5</v>
      </c>
      <c r="H3097" s="521">
        <v>4.3582999999999998E-3</v>
      </c>
      <c r="I3097" s="523">
        <v>68.19</v>
      </c>
      <c r="J3097" s="523">
        <v>86.13</v>
      </c>
    </row>
    <row r="3098" spans="1:10" s="559" customFormat="1">
      <c r="A3098" s="521" t="s">
        <v>405</v>
      </c>
      <c r="B3098" s="522" t="s">
        <v>401</v>
      </c>
      <c r="C3098" s="522"/>
      <c r="D3098" s="399" t="s">
        <v>402</v>
      </c>
      <c r="E3098" s="522">
        <v>201607</v>
      </c>
      <c r="F3098" s="431">
        <v>25185.86</v>
      </c>
      <c r="G3098" s="521">
        <v>9.5</v>
      </c>
      <c r="H3098" s="521">
        <v>4.3582999999999998E-3</v>
      </c>
      <c r="I3098" s="523">
        <v>1042.79</v>
      </c>
      <c r="J3098" s="523">
        <v>1317.21</v>
      </c>
    </row>
    <row r="3099" spans="1:10" s="559" customFormat="1">
      <c r="A3099" s="521" t="s">
        <v>405</v>
      </c>
      <c r="B3099" s="522" t="s">
        <v>403</v>
      </c>
      <c r="C3099" s="522"/>
      <c r="D3099" s="399" t="s">
        <v>404</v>
      </c>
      <c r="E3099" s="522">
        <v>201607</v>
      </c>
      <c r="F3099" s="431">
        <v>21216.240000000002</v>
      </c>
      <c r="G3099" s="521">
        <v>9.5</v>
      </c>
      <c r="H3099" s="521">
        <v>4.3582999999999998E-3</v>
      </c>
      <c r="I3099" s="523">
        <v>878.43</v>
      </c>
      <c r="J3099" s="523">
        <v>1109.5999999999999</v>
      </c>
    </row>
    <row r="3100" spans="1:10" s="559" customFormat="1">
      <c r="A3100" s="521" t="s">
        <v>405</v>
      </c>
      <c r="B3100" s="522" t="s">
        <v>451</v>
      </c>
      <c r="C3100" s="522"/>
      <c r="D3100" s="399" t="s">
        <v>452</v>
      </c>
      <c r="E3100" s="522">
        <v>201607</v>
      </c>
      <c r="F3100" s="431">
        <v>0.06</v>
      </c>
      <c r="G3100" s="521">
        <v>9.5</v>
      </c>
      <c r="H3100" s="521">
        <v>4.3582999999999998E-3</v>
      </c>
      <c r="I3100" s="523">
        <v>0</v>
      </c>
      <c r="J3100" s="523">
        <v>0</v>
      </c>
    </row>
    <row r="3101" spans="1:10" s="559" customFormat="1">
      <c r="A3101" s="521" t="s">
        <v>405</v>
      </c>
      <c r="B3101" s="522" t="s">
        <v>645</v>
      </c>
      <c r="C3101" s="522"/>
      <c r="D3101" s="399" t="s">
        <v>646</v>
      </c>
      <c r="E3101" s="522">
        <v>201607</v>
      </c>
      <c r="F3101" s="431">
        <v>-0.01</v>
      </c>
      <c r="G3101" s="521">
        <v>9.5</v>
      </c>
      <c r="H3101" s="521">
        <v>4.3582999999999998E-3</v>
      </c>
      <c r="I3101" s="523">
        <v>0</v>
      </c>
      <c r="J3101" s="523">
        <v>0</v>
      </c>
    </row>
    <row r="3102" spans="1:10" s="559" customFormat="1">
      <c r="A3102" s="521" t="s">
        <v>405</v>
      </c>
      <c r="B3102" s="522" t="s">
        <v>451</v>
      </c>
      <c r="C3102" s="522"/>
      <c r="D3102" s="399" t="s">
        <v>452</v>
      </c>
      <c r="E3102" s="522">
        <v>201608</v>
      </c>
      <c r="F3102" s="431">
        <v>0.05</v>
      </c>
      <c r="G3102" s="521">
        <v>8.5</v>
      </c>
      <c r="H3102" s="521">
        <v>4.3582999999999998E-3</v>
      </c>
      <c r="I3102" s="523">
        <v>0</v>
      </c>
      <c r="J3102" s="523">
        <v>0</v>
      </c>
    </row>
    <row r="3103" spans="1:10" s="559" customFormat="1">
      <c r="A3103" s="521" t="s">
        <v>405</v>
      </c>
      <c r="B3103" s="522" t="s">
        <v>645</v>
      </c>
      <c r="C3103" s="522"/>
      <c r="D3103" s="399" t="s">
        <v>646</v>
      </c>
      <c r="E3103" s="522">
        <v>201608</v>
      </c>
      <c r="F3103" s="431">
        <v>-0.01</v>
      </c>
      <c r="G3103" s="521">
        <v>8.5</v>
      </c>
      <c r="H3103" s="521">
        <v>4.3582999999999998E-3</v>
      </c>
      <c r="I3103" s="523">
        <v>0</v>
      </c>
      <c r="J3103" s="523">
        <v>0</v>
      </c>
    </row>
    <row r="3104" spans="1:10" s="559" customFormat="1">
      <c r="A3104" s="521" t="s">
        <v>405</v>
      </c>
      <c r="B3104" s="522" t="s">
        <v>951</v>
      </c>
      <c r="C3104" s="522"/>
      <c r="D3104" s="399" t="s">
        <v>952</v>
      </c>
      <c r="E3104" s="522">
        <v>201608</v>
      </c>
      <c r="F3104" s="431">
        <v>35597.18</v>
      </c>
      <c r="G3104" s="521">
        <v>8.5</v>
      </c>
      <c r="H3104" s="521">
        <v>4.3582999999999998E-3</v>
      </c>
      <c r="I3104" s="523">
        <v>1318.72</v>
      </c>
      <c r="J3104" s="523">
        <v>1861.72</v>
      </c>
    </row>
    <row r="3105" spans="1:10" s="559" customFormat="1">
      <c r="A3105" s="521" t="s">
        <v>405</v>
      </c>
      <c r="B3105" s="522" t="s">
        <v>406</v>
      </c>
      <c r="C3105" s="522"/>
      <c r="D3105" s="399" t="s">
        <v>407</v>
      </c>
      <c r="E3105" s="522">
        <v>201608</v>
      </c>
      <c r="F3105" s="431">
        <v>228.38</v>
      </c>
      <c r="G3105" s="521">
        <v>8.5</v>
      </c>
      <c r="H3105" s="521">
        <v>4.3582999999999998E-3</v>
      </c>
      <c r="I3105" s="523">
        <v>8.4600000000000009</v>
      </c>
      <c r="J3105" s="523">
        <v>11.94</v>
      </c>
    </row>
    <row r="3106" spans="1:10" s="559" customFormat="1">
      <c r="A3106" s="521" t="s">
        <v>405</v>
      </c>
      <c r="B3106" s="522" t="s">
        <v>548</v>
      </c>
      <c r="C3106" s="522"/>
      <c r="D3106" s="399" t="s">
        <v>549</v>
      </c>
      <c r="E3106" s="522">
        <v>201608</v>
      </c>
      <c r="F3106" s="431">
        <v>3988.34</v>
      </c>
      <c r="G3106" s="521">
        <v>8.5</v>
      </c>
      <c r="H3106" s="521">
        <v>4.3582999999999998E-3</v>
      </c>
      <c r="I3106" s="523">
        <v>147.75</v>
      </c>
      <c r="J3106" s="523">
        <v>208.59</v>
      </c>
    </row>
    <row r="3107" spans="1:10" s="559" customFormat="1">
      <c r="A3107" s="521" t="s">
        <v>405</v>
      </c>
      <c r="B3107" s="522" t="s">
        <v>397</v>
      </c>
      <c r="C3107" s="522"/>
      <c r="D3107" s="399" t="s">
        <v>398</v>
      </c>
      <c r="E3107" s="522">
        <v>201608</v>
      </c>
      <c r="F3107" s="431">
        <v>19181.349999999999</v>
      </c>
      <c r="G3107" s="521">
        <v>8.5</v>
      </c>
      <c r="H3107" s="521">
        <v>4.3582999999999998E-3</v>
      </c>
      <c r="I3107" s="523">
        <v>710.58</v>
      </c>
      <c r="J3107" s="523">
        <v>1003.18</v>
      </c>
    </row>
    <row r="3108" spans="1:10" s="559" customFormat="1">
      <c r="A3108" s="521" t="s">
        <v>405</v>
      </c>
      <c r="B3108" s="522" t="s">
        <v>401</v>
      </c>
      <c r="C3108" s="522"/>
      <c r="D3108" s="399" t="s">
        <v>402</v>
      </c>
      <c r="E3108" s="522">
        <v>201608</v>
      </c>
      <c r="F3108" s="431">
        <v>42506.879999999997</v>
      </c>
      <c r="G3108" s="521">
        <v>8.5</v>
      </c>
      <c r="H3108" s="521">
        <v>4.3582999999999998E-3</v>
      </c>
      <c r="I3108" s="523">
        <v>1574.69</v>
      </c>
      <c r="J3108" s="523">
        <v>2223.09</v>
      </c>
    </row>
    <row r="3109" spans="1:10" s="559" customFormat="1">
      <c r="A3109" s="521" t="s">
        <v>405</v>
      </c>
      <c r="B3109" s="522" t="s">
        <v>403</v>
      </c>
      <c r="C3109" s="522"/>
      <c r="D3109" s="399" t="s">
        <v>404</v>
      </c>
      <c r="E3109" s="522">
        <v>201608</v>
      </c>
      <c r="F3109" s="431">
        <v>12158.07</v>
      </c>
      <c r="G3109" s="521">
        <v>8.5</v>
      </c>
      <c r="H3109" s="521">
        <v>4.3582999999999998E-3</v>
      </c>
      <c r="I3109" s="523">
        <v>450.4</v>
      </c>
      <c r="J3109" s="523">
        <v>635.86</v>
      </c>
    </row>
    <row r="3110" spans="1:10" s="559" customFormat="1">
      <c r="A3110" s="521" t="s">
        <v>405</v>
      </c>
      <c r="B3110" s="522" t="s">
        <v>397</v>
      </c>
      <c r="C3110" s="522"/>
      <c r="D3110" s="399" t="s">
        <v>398</v>
      </c>
      <c r="E3110" s="522">
        <v>201609</v>
      </c>
      <c r="F3110" s="431">
        <v>11278.13</v>
      </c>
      <c r="G3110" s="521">
        <v>7.5</v>
      </c>
      <c r="H3110" s="521">
        <v>4.3582999999999998E-3</v>
      </c>
      <c r="I3110" s="523">
        <v>368.65</v>
      </c>
      <c r="J3110" s="523">
        <v>589.84</v>
      </c>
    </row>
    <row r="3111" spans="1:10" s="559" customFormat="1">
      <c r="A3111" s="521" t="s">
        <v>405</v>
      </c>
      <c r="B3111" s="522" t="s">
        <v>406</v>
      </c>
      <c r="C3111" s="522"/>
      <c r="D3111" s="399" t="s">
        <v>407</v>
      </c>
      <c r="E3111" s="522">
        <v>201609</v>
      </c>
      <c r="F3111" s="431">
        <v>181.22</v>
      </c>
      <c r="G3111" s="521">
        <v>7.5</v>
      </c>
      <c r="H3111" s="521">
        <v>4.3582999999999998E-3</v>
      </c>
      <c r="I3111" s="523">
        <v>5.92</v>
      </c>
      <c r="J3111" s="523">
        <v>9.48</v>
      </c>
    </row>
    <row r="3112" spans="1:10" s="559" customFormat="1">
      <c r="A3112" s="521" t="s">
        <v>405</v>
      </c>
      <c r="B3112" s="522" t="s">
        <v>548</v>
      </c>
      <c r="C3112" s="522"/>
      <c r="D3112" s="399" t="s">
        <v>549</v>
      </c>
      <c r="E3112" s="522">
        <v>201609</v>
      </c>
      <c r="F3112" s="431">
        <v>5587.63</v>
      </c>
      <c r="G3112" s="521">
        <v>7.5</v>
      </c>
      <c r="H3112" s="521">
        <v>4.3582999999999998E-3</v>
      </c>
      <c r="I3112" s="523">
        <v>182.64</v>
      </c>
      <c r="J3112" s="523">
        <v>292.23</v>
      </c>
    </row>
    <row r="3113" spans="1:10" s="559" customFormat="1">
      <c r="A3113" s="521" t="s">
        <v>405</v>
      </c>
      <c r="B3113" s="522" t="s">
        <v>401</v>
      </c>
      <c r="C3113" s="522"/>
      <c r="D3113" s="399" t="s">
        <v>402</v>
      </c>
      <c r="E3113" s="522">
        <v>201609</v>
      </c>
      <c r="F3113" s="431">
        <v>4848.7</v>
      </c>
      <c r="G3113" s="521">
        <v>7.5</v>
      </c>
      <c r="H3113" s="521">
        <v>4.3582999999999998E-3</v>
      </c>
      <c r="I3113" s="523">
        <v>158.49</v>
      </c>
      <c r="J3113" s="523">
        <v>253.59</v>
      </c>
    </row>
    <row r="3114" spans="1:10" s="559" customFormat="1">
      <c r="A3114" s="521" t="s">
        <v>405</v>
      </c>
      <c r="B3114" s="522" t="s">
        <v>403</v>
      </c>
      <c r="C3114" s="522"/>
      <c r="D3114" s="399" t="s">
        <v>404</v>
      </c>
      <c r="E3114" s="522">
        <v>201609</v>
      </c>
      <c r="F3114" s="431">
        <v>11214.25</v>
      </c>
      <c r="G3114" s="521">
        <v>7.5</v>
      </c>
      <c r="H3114" s="521">
        <v>4.3582999999999998E-3</v>
      </c>
      <c r="I3114" s="523">
        <v>366.56</v>
      </c>
      <c r="J3114" s="523">
        <v>586.5</v>
      </c>
    </row>
    <row r="3115" spans="1:10" s="559" customFormat="1">
      <c r="A3115" s="521" t="s">
        <v>405</v>
      </c>
      <c r="B3115" s="522" t="s">
        <v>451</v>
      </c>
      <c r="C3115" s="522"/>
      <c r="D3115" s="399" t="s">
        <v>452</v>
      </c>
      <c r="E3115" s="522">
        <v>201609</v>
      </c>
      <c r="F3115" s="431">
        <v>0.03</v>
      </c>
      <c r="G3115" s="521">
        <v>7.5</v>
      </c>
      <c r="H3115" s="521">
        <v>4.3582999999999998E-3</v>
      </c>
      <c r="I3115" s="523">
        <v>0</v>
      </c>
      <c r="J3115" s="523">
        <v>0</v>
      </c>
    </row>
    <row r="3116" spans="1:10" s="559" customFormat="1">
      <c r="A3116" s="521" t="s">
        <v>405</v>
      </c>
      <c r="B3116" s="522" t="s">
        <v>645</v>
      </c>
      <c r="C3116" s="522"/>
      <c r="D3116" s="399" t="s">
        <v>646</v>
      </c>
      <c r="E3116" s="522">
        <v>201609</v>
      </c>
      <c r="F3116" s="431">
        <v>-0.02</v>
      </c>
      <c r="G3116" s="521">
        <v>7.5</v>
      </c>
      <c r="H3116" s="521">
        <v>4.3582999999999998E-3</v>
      </c>
      <c r="I3116" s="523">
        <v>0</v>
      </c>
      <c r="J3116" s="523">
        <v>0</v>
      </c>
    </row>
    <row r="3117" spans="1:10" s="559" customFormat="1">
      <c r="A3117" s="521" t="s">
        <v>405</v>
      </c>
      <c r="B3117" s="522" t="s">
        <v>951</v>
      </c>
      <c r="C3117" s="522"/>
      <c r="D3117" s="399" t="s">
        <v>952</v>
      </c>
      <c r="E3117" s="522">
        <v>201609</v>
      </c>
      <c r="F3117" s="431">
        <v>480.38</v>
      </c>
      <c r="G3117" s="521">
        <v>7.5</v>
      </c>
      <c r="H3117" s="521">
        <v>4.3582999999999998E-3</v>
      </c>
      <c r="I3117" s="523">
        <v>15.7</v>
      </c>
      <c r="J3117" s="523">
        <v>25.12</v>
      </c>
    </row>
    <row r="3118" spans="1:10" s="559" customFormat="1">
      <c r="A3118" s="521" t="s">
        <v>405</v>
      </c>
      <c r="B3118" s="522" t="s">
        <v>397</v>
      </c>
      <c r="C3118" s="522"/>
      <c r="D3118" s="399" t="s">
        <v>398</v>
      </c>
      <c r="E3118" s="522">
        <v>201610</v>
      </c>
      <c r="F3118" s="431">
        <v>19380.63</v>
      </c>
      <c r="G3118" s="521">
        <v>6.5</v>
      </c>
      <c r="H3118" s="521">
        <v>4.3582999999999998E-3</v>
      </c>
      <c r="I3118" s="523">
        <v>549.03</v>
      </c>
      <c r="J3118" s="523">
        <v>1013.6</v>
      </c>
    </row>
    <row r="3119" spans="1:10" s="559" customFormat="1">
      <c r="A3119" s="521" t="s">
        <v>405</v>
      </c>
      <c r="B3119" s="522" t="s">
        <v>548</v>
      </c>
      <c r="C3119" s="522"/>
      <c r="D3119" s="399" t="s">
        <v>549</v>
      </c>
      <c r="E3119" s="522">
        <v>201610</v>
      </c>
      <c r="F3119" s="431">
        <v>1937.53</v>
      </c>
      <c r="G3119" s="521">
        <v>6.5</v>
      </c>
      <c r="H3119" s="521">
        <v>4.3582999999999998E-3</v>
      </c>
      <c r="I3119" s="523">
        <v>54.89</v>
      </c>
      <c r="J3119" s="523">
        <v>101.33</v>
      </c>
    </row>
    <row r="3120" spans="1:10" s="559" customFormat="1">
      <c r="A3120" s="521" t="s">
        <v>405</v>
      </c>
      <c r="B3120" s="522" t="s">
        <v>403</v>
      </c>
      <c r="C3120" s="522"/>
      <c r="D3120" s="399" t="s">
        <v>404</v>
      </c>
      <c r="E3120" s="522">
        <v>201610</v>
      </c>
      <c r="F3120" s="431">
        <v>7614.1</v>
      </c>
      <c r="G3120" s="521">
        <v>6.5</v>
      </c>
      <c r="H3120" s="521">
        <v>4.3582999999999998E-3</v>
      </c>
      <c r="I3120" s="523">
        <v>215.7</v>
      </c>
      <c r="J3120" s="523">
        <v>398.21</v>
      </c>
    </row>
    <row r="3121" spans="1:17" s="559" customFormat="1">
      <c r="A3121" s="521" t="s">
        <v>405</v>
      </c>
      <c r="B3121" s="522" t="s">
        <v>951</v>
      </c>
      <c r="C3121" s="522"/>
      <c r="D3121" s="399" t="s">
        <v>952</v>
      </c>
      <c r="E3121" s="522">
        <v>201610</v>
      </c>
      <c r="F3121" s="431">
        <v>152.65</v>
      </c>
      <c r="G3121" s="521">
        <v>6.5</v>
      </c>
      <c r="H3121" s="521">
        <v>4.3582999999999998E-3</v>
      </c>
      <c r="I3121" s="523">
        <v>4.32</v>
      </c>
      <c r="J3121" s="523">
        <v>7.98</v>
      </c>
    </row>
    <row r="3122" spans="1:17" s="559" customFormat="1">
      <c r="A3122" s="521" t="s">
        <v>405</v>
      </c>
      <c r="B3122" s="522" t="s">
        <v>548</v>
      </c>
      <c r="C3122" s="522"/>
      <c r="D3122" s="399" t="s">
        <v>549</v>
      </c>
      <c r="E3122" s="522">
        <v>201611</v>
      </c>
      <c r="F3122" s="431">
        <v>-732.84</v>
      </c>
      <c r="G3122" s="521">
        <v>5.5</v>
      </c>
      <c r="H3122" s="521">
        <v>4.3582999999999998E-3</v>
      </c>
      <c r="I3122" s="523">
        <v>-17.57</v>
      </c>
      <c r="J3122" s="523">
        <v>-38.33</v>
      </c>
    </row>
    <row r="3123" spans="1:17" s="559" customFormat="1">
      <c r="A3123" s="521" t="s">
        <v>405</v>
      </c>
      <c r="B3123" s="522" t="s">
        <v>397</v>
      </c>
      <c r="C3123" s="522"/>
      <c r="D3123" s="399" t="s">
        <v>398</v>
      </c>
      <c r="E3123" s="522">
        <v>201611</v>
      </c>
      <c r="F3123" s="431">
        <v>36833.01</v>
      </c>
      <c r="G3123" s="521">
        <v>5.5</v>
      </c>
      <c r="H3123" s="521">
        <v>4.3582999999999998E-3</v>
      </c>
      <c r="I3123" s="523">
        <v>882.91</v>
      </c>
      <c r="J3123" s="523">
        <v>1926.35</v>
      </c>
    </row>
    <row r="3124" spans="1:17" s="559" customFormat="1">
      <c r="A3124" s="521" t="s">
        <v>405</v>
      </c>
      <c r="B3124" s="522" t="s">
        <v>401</v>
      </c>
      <c r="C3124" s="522"/>
      <c r="D3124" s="399" t="s">
        <v>402</v>
      </c>
      <c r="E3124" s="522">
        <v>201611</v>
      </c>
      <c r="F3124" s="431">
        <v>3003.12</v>
      </c>
      <c r="G3124" s="521">
        <v>5.5</v>
      </c>
      <c r="H3124" s="521">
        <v>4.3582999999999998E-3</v>
      </c>
      <c r="I3124" s="523">
        <v>71.989999999999995</v>
      </c>
      <c r="J3124" s="523">
        <v>157.06</v>
      </c>
    </row>
    <row r="3125" spans="1:17" s="559" customFormat="1">
      <c r="A3125" s="521" t="s">
        <v>405</v>
      </c>
      <c r="B3125" s="522" t="s">
        <v>403</v>
      </c>
      <c r="C3125" s="522"/>
      <c r="D3125" s="399" t="s">
        <v>404</v>
      </c>
      <c r="E3125" s="522">
        <v>201611</v>
      </c>
      <c r="F3125" s="431">
        <v>9061.08</v>
      </c>
      <c r="G3125" s="521">
        <v>5.5</v>
      </c>
      <c r="H3125" s="521">
        <v>4.3582999999999998E-3</v>
      </c>
      <c r="I3125" s="523">
        <v>217.2</v>
      </c>
      <c r="J3125" s="523">
        <v>473.89</v>
      </c>
    </row>
    <row r="3126" spans="1:17" s="559" customFormat="1">
      <c r="A3126" s="521" t="s">
        <v>405</v>
      </c>
      <c r="B3126" s="522" t="s">
        <v>951</v>
      </c>
      <c r="C3126" s="522"/>
      <c r="D3126" s="399" t="s">
        <v>952</v>
      </c>
      <c r="E3126" s="522">
        <v>201611</v>
      </c>
      <c r="F3126" s="431">
        <v>-68.84</v>
      </c>
      <c r="G3126" s="521">
        <v>5.5</v>
      </c>
      <c r="H3126" s="521">
        <v>4.3582999999999998E-3</v>
      </c>
      <c r="I3126" s="523">
        <v>-1.65</v>
      </c>
      <c r="J3126" s="523">
        <v>-3.6</v>
      </c>
    </row>
    <row r="3127" spans="1:17" s="559" customFormat="1">
      <c r="A3127" s="521" t="s">
        <v>405</v>
      </c>
      <c r="B3127" s="522" t="s">
        <v>1106</v>
      </c>
      <c r="C3127" s="522"/>
      <c r="D3127" s="399" t="s">
        <v>1107</v>
      </c>
      <c r="E3127" s="522">
        <v>201612</v>
      </c>
      <c r="F3127" s="431">
        <v>11004.77</v>
      </c>
      <c r="G3127" s="521">
        <v>4.5</v>
      </c>
      <c r="H3127" s="521">
        <v>4.3582999999999998E-3</v>
      </c>
      <c r="I3127" s="523">
        <v>215.83</v>
      </c>
      <c r="J3127" s="523">
        <v>575.54999999999995</v>
      </c>
    </row>
    <row r="3128" spans="1:17" s="559" customFormat="1">
      <c r="A3128" s="521" t="s">
        <v>405</v>
      </c>
      <c r="B3128" s="522" t="s">
        <v>401</v>
      </c>
      <c r="C3128" s="522"/>
      <c r="D3128" s="399" t="s">
        <v>402</v>
      </c>
      <c r="E3128" s="522">
        <v>201612</v>
      </c>
      <c r="F3128" s="431">
        <v>1109.4000000000001</v>
      </c>
      <c r="G3128" s="521">
        <v>4.5</v>
      </c>
      <c r="H3128" s="521">
        <v>4.3582999999999998E-3</v>
      </c>
      <c r="I3128" s="523">
        <v>21.76</v>
      </c>
      <c r="J3128" s="523">
        <v>58.02</v>
      </c>
    </row>
    <row r="3129" spans="1:17" s="559" customFormat="1">
      <c r="A3129" s="521" t="s">
        <v>405</v>
      </c>
      <c r="B3129" s="522" t="s">
        <v>403</v>
      </c>
      <c r="C3129" s="522"/>
      <c r="D3129" s="399" t="s">
        <v>404</v>
      </c>
      <c r="E3129" s="522">
        <v>201612</v>
      </c>
      <c r="F3129" s="431">
        <v>7594.28</v>
      </c>
      <c r="G3129" s="521">
        <v>4.5</v>
      </c>
      <c r="H3129" s="521">
        <v>4.3582999999999998E-3</v>
      </c>
      <c r="I3129" s="523">
        <v>148.94</v>
      </c>
      <c r="J3129" s="523">
        <v>397.18</v>
      </c>
    </row>
    <row r="3130" spans="1:17" s="559" customFormat="1">
      <c r="A3130" s="521" t="s">
        <v>405</v>
      </c>
      <c r="B3130" s="522" t="s">
        <v>548</v>
      </c>
      <c r="C3130" s="522"/>
      <c r="D3130" s="399" t="s">
        <v>549</v>
      </c>
      <c r="E3130" s="522">
        <v>201612</v>
      </c>
      <c r="F3130" s="431">
        <v>601.65</v>
      </c>
      <c r="G3130" s="521">
        <v>4.5</v>
      </c>
      <c r="H3130" s="521">
        <v>4.3582999999999998E-3</v>
      </c>
      <c r="I3130" s="523">
        <v>11.8</v>
      </c>
      <c r="J3130" s="523">
        <v>31.47</v>
      </c>
    </row>
    <row r="3131" spans="1:17" s="559" customFormat="1">
      <c r="A3131" s="521" t="s">
        <v>405</v>
      </c>
      <c r="B3131" s="522" t="s">
        <v>397</v>
      </c>
      <c r="C3131" s="522"/>
      <c r="D3131" s="399" t="s">
        <v>398</v>
      </c>
      <c r="E3131" s="522">
        <v>201612</v>
      </c>
      <c r="F3131" s="431">
        <v>11043.42</v>
      </c>
      <c r="G3131" s="521">
        <v>4.5</v>
      </c>
      <c r="H3131" s="521">
        <v>4.3582999999999998E-3</v>
      </c>
      <c r="I3131" s="523">
        <v>216.59</v>
      </c>
      <c r="J3131" s="523">
        <v>577.57000000000005</v>
      </c>
    </row>
    <row r="3132" spans="1:17" s="559" customFormat="1">
      <c r="A3132" s="521" t="s">
        <v>405</v>
      </c>
      <c r="B3132" s="522" t="s">
        <v>951</v>
      </c>
      <c r="C3132" s="522"/>
      <c r="D3132" s="399" t="s">
        <v>952</v>
      </c>
      <c r="E3132" s="522">
        <v>201612</v>
      </c>
      <c r="F3132" s="431">
        <v>-28.29</v>
      </c>
      <c r="G3132" s="521">
        <v>4.5</v>
      </c>
      <c r="H3132" s="521">
        <v>4.3582999999999998E-3</v>
      </c>
      <c r="I3132" s="523">
        <v>-0.55000000000000004</v>
      </c>
      <c r="J3132" s="523">
        <v>-1.48</v>
      </c>
    </row>
    <row r="3133" spans="1:17" s="533" customFormat="1">
      <c r="A3133" s="534"/>
      <c r="B3133" s="534"/>
      <c r="C3133" s="534"/>
      <c r="D3133" s="535"/>
      <c r="E3133" s="538"/>
      <c r="F3133" s="532"/>
      <c r="G3133" s="535"/>
      <c r="H3133" s="535"/>
      <c r="I3133" s="536"/>
      <c r="J3133" s="537"/>
    </row>
    <row r="3134" spans="1:17">
      <c r="A3134" s="108"/>
      <c r="B3134" s="108"/>
      <c r="C3134" s="108"/>
      <c r="D3134" s="126"/>
      <c r="E3134" s="159"/>
      <c r="F3134" s="82"/>
      <c r="G3134" s="126"/>
      <c r="H3134" s="126"/>
      <c r="I3134" s="157"/>
      <c r="J3134" s="158"/>
      <c r="Q3134" s="101">
        <f>IF(E3134&lt;=$Q$1,$S$5,#REF!)</f>
        <v>2015</v>
      </c>
    </row>
    <row r="3135" spans="1:17">
      <c r="A3135" s="114"/>
      <c r="B3135" s="114"/>
      <c r="C3135" s="114"/>
      <c r="D3135" s="114"/>
      <c r="E3135" s="164"/>
      <c r="F3135" s="129"/>
      <c r="G3135" s="166"/>
      <c r="H3135" s="121"/>
      <c r="I3135" s="129"/>
      <c r="J3135" s="129"/>
    </row>
    <row r="3136" spans="1:17" ht="13.5" thickBot="1">
      <c r="A3136" s="102"/>
      <c r="B3136" s="102"/>
      <c r="C3136" s="102"/>
      <c r="E3136" s="73" t="s">
        <v>107</v>
      </c>
      <c r="F3136" s="130">
        <f>SUM(F3057:F3135)</f>
        <v>714935.89999999979</v>
      </c>
      <c r="I3136" s="130">
        <f>SUM(I3057:I3135)</f>
        <v>23535.840000000004</v>
      </c>
      <c r="J3136" s="130">
        <f>SUM(J3057:J3135)</f>
        <v>37390.839999999989</v>
      </c>
    </row>
    <row r="3137" spans="1:17" ht="13.5" thickTop="1">
      <c r="A3137" s="102"/>
      <c r="B3137" s="102"/>
      <c r="C3137" s="102"/>
      <c r="F3137" s="123"/>
      <c r="I3137" s="123"/>
      <c r="J3137" s="123"/>
    </row>
    <row r="3138" spans="1:17">
      <c r="A3138" s="88" t="s">
        <v>345</v>
      </c>
      <c r="B3138" s="102"/>
      <c r="C3138" s="102"/>
      <c r="F3138" s="123"/>
    </row>
    <row r="3139" spans="1:17">
      <c r="A3139" s="102"/>
      <c r="B3139" s="102"/>
      <c r="C3139" s="102"/>
      <c r="F3139" s="123"/>
    </row>
    <row r="3140" spans="1:17">
      <c r="A3140" s="81" t="s">
        <v>86</v>
      </c>
      <c r="B3140" s="81" t="s">
        <v>87</v>
      </c>
      <c r="C3140" s="81" t="s">
        <v>88</v>
      </c>
      <c r="D3140" s="81"/>
      <c r="E3140" s="146" t="s">
        <v>89</v>
      </c>
      <c r="F3140" s="90" t="s">
        <v>90</v>
      </c>
      <c r="G3140" s="147"/>
      <c r="H3140" s="81" t="s">
        <v>91</v>
      </c>
      <c r="I3140" s="81" t="s">
        <v>92</v>
      </c>
      <c r="J3140" s="81" t="s">
        <v>106</v>
      </c>
    </row>
    <row r="3141" spans="1:17">
      <c r="A3141" s="86" t="s">
        <v>94</v>
      </c>
      <c r="B3141" s="86" t="s">
        <v>95</v>
      </c>
      <c r="C3141" s="86" t="s">
        <v>96</v>
      </c>
      <c r="D3141" s="86" t="s">
        <v>97</v>
      </c>
      <c r="E3141" s="148" t="s">
        <v>98</v>
      </c>
      <c r="F3141" s="92" t="s">
        <v>99</v>
      </c>
      <c r="G3141" s="149" t="s">
        <v>100</v>
      </c>
      <c r="H3141" s="86" t="s">
        <v>101</v>
      </c>
      <c r="I3141" s="86" t="s">
        <v>93</v>
      </c>
      <c r="J3141" s="86" t="s">
        <v>102</v>
      </c>
    </row>
    <row r="3142" spans="1:17">
      <c r="A3142" s="332" t="s">
        <v>346</v>
      </c>
      <c r="B3142" s="333" t="s">
        <v>347</v>
      </c>
      <c r="C3142" s="333"/>
      <c r="D3142" s="332" t="s">
        <v>348</v>
      </c>
      <c r="E3142" s="333">
        <v>201601</v>
      </c>
      <c r="F3142" s="334">
        <v>981478.5</v>
      </c>
      <c r="G3142" s="332">
        <v>3</v>
      </c>
      <c r="H3142" s="381">
        <v>3.1250000000000002E-3</v>
      </c>
      <c r="I3142" s="334">
        <v>9201.36</v>
      </c>
      <c r="J3142" s="334">
        <v>36805.440000000002</v>
      </c>
      <c r="Q3142" s="101" t="e">
        <f>IF(E3142&lt;=$Q$1,$S$5,#REF!)</f>
        <v>#REF!</v>
      </c>
    </row>
    <row r="3143" spans="1:17">
      <c r="A3143" s="332" t="s">
        <v>346</v>
      </c>
      <c r="B3143" s="333" t="s">
        <v>349</v>
      </c>
      <c r="C3143" s="333"/>
      <c r="D3143" s="332" t="s">
        <v>350</v>
      </c>
      <c r="E3143" s="333">
        <v>201601</v>
      </c>
      <c r="F3143" s="334">
        <v>17077.330000000002</v>
      </c>
      <c r="G3143" s="332">
        <v>3</v>
      </c>
      <c r="H3143" s="381">
        <v>3.1250000000000002E-3</v>
      </c>
      <c r="I3143" s="334">
        <v>160.1</v>
      </c>
      <c r="J3143" s="334">
        <v>640.4</v>
      </c>
    </row>
    <row r="3144" spans="1:17">
      <c r="A3144" s="332" t="s">
        <v>346</v>
      </c>
      <c r="B3144" s="333" t="s">
        <v>351</v>
      </c>
      <c r="C3144" s="333"/>
      <c r="D3144" s="332" t="s">
        <v>352</v>
      </c>
      <c r="E3144" s="333">
        <v>201601</v>
      </c>
      <c r="F3144" s="334">
        <v>196.17</v>
      </c>
      <c r="G3144" s="332">
        <v>3</v>
      </c>
      <c r="H3144" s="381">
        <v>3.1250000000000002E-3</v>
      </c>
      <c r="I3144" s="334">
        <v>1.84</v>
      </c>
      <c r="J3144" s="334">
        <v>7.36</v>
      </c>
    </row>
    <row r="3145" spans="1:17">
      <c r="A3145" s="399" t="s">
        <v>346</v>
      </c>
      <c r="B3145" s="333" t="s">
        <v>353</v>
      </c>
      <c r="C3145" s="333"/>
      <c r="D3145" s="399" t="s">
        <v>354</v>
      </c>
      <c r="E3145" s="333">
        <v>201601</v>
      </c>
      <c r="F3145" s="431">
        <v>51.72</v>
      </c>
      <c r="G3145" s="332">
        <v>3</v>
      </c>
      <c r="H3145" s="381">
        <v>3.1250000000000002E-3</v>
      </c>
      <c r="I3145" s="334">
        <v>0.48</v>
      </c>
      <c r="J3145" s="334">
        <v>1.94</v>
      </c>
    </row>
    <row r="3146" spans="1:17" s="559" customFormat="1">
      <c r="A3146" s="399" t="s">
        <v>346</v>
      </c>
      <c r="B3146" s="522" t="s">
        <v>355</v>
      </c>
      <c r="C3146" s="522"/>
      <c r="D3146" s="399" t="s">
        <v>356</v>
      </c>
      <c r="E3146" s="522">
        <v>201601</v>
      </c>
      <c r="F3146" s="431">
        <v>86760.85</v>
      </c>
      <c r="G3146" s="521">
        <v>3</v>
      </c>
      <c r="H3146" s="486">
        <v>3.1250000000000002E-3</v>
      </c>
      <c r="I3146" s="523">
        <v>813.38</v>
      </c>
      <c r="J3146" s="523">
        <v>3253.53</v>
      </c>
    </row>
    <row r="3147" spans="1:17" s="559" customFormat="1">
      <c r="A3147" s="399" t="s">
        <v>346</v>
      </c>
      <c r="B3147" s="522" t="s">
        <v>357</v>
      </c>
      <c r="C3147" s="522"/>
      <c r="D3147" s="399" t="s">
        <v>358</v>
      </c>
      <c r="E3147" s="522">
        <v>201601</v>
      </c>
      <c r="F3147" s="431">
        <v>2521.7399999999998</v>
      </c>
      <c r="G3147" s="521">
        <v>3</v>
      </c>
      <c r="H3147" s="486">
        <v>3.1250000000000002E-3</v>
      </c>
      <c r="I3147" s="523">
        <v>23.64</v>
      </c>
      <c r="J3147" s="523">
        <v>94.57</v>
      </c>
    </row>
    <row r="3148" spans="1:17" s="559" customFormat="1">
      <c r="A3148" s="399" t="s">
        <v>346</v>
      </c>
      <c r="B3148" s="522" t="s">
        <v>359</v>
      </c>
      <c r="C3148" s="522"/>
      <c r="D3148" s="399" t="s">
        <v>360</v>
      </c>
      <c r="E3148" s="522">
        <v>201601</v>
      </c>
      <c r="F3148" s="431">
        <v>719.01</v>
      </c>
      <c r="G3148" s="521">
        <v>3</v>
      </c>
      <c r="H3148" s="486">
        <v>3.1250000000000002E-3</v>
      </c>
      <c r="I3148" s="523">
        <v>6.74</v>
      </c>
      <c r="J3148" s="523">
        <v>26.96</v>
      </c>
    </row>
    <row r="3149" spans="1:17" s="559" customFormat="1">
      <c r="A3149" s="399" t="s">
        <v>346</v>
      </c>
      <c r="B3149" s="522" t="s">
        <v>361</v>
      </c>
      <c r="C3149" s="522"/>
      <c r="D3149" s="399" t="s">
        <v>362</v>
      </c>
      <c r="E3149" s="522">
        <v>201601</v>
      </c>
      <c r="F3149" s="431">
        <v>-585.41999999999996</v>
      </c>
      <c r="G3149" s="521">
        <v>3</v>
      </c>
      <c r="H3149" s="486">
        <v>3.1250000000000002E-3</v>
      </c>
      <c r="I3149" s="523">
        <v>-5.49</v>
      </c>
      <c r="J3149" s="523">
        <v>-21.95</v>
      </c>
    </row>
    <row r="3150" spans="1:17" s="559" customFormat="1">
      <c r="A3150" s="399" t="s">
        <v>346</v>
      </c>
      <c r="B3150" s="522" t="s">
        <v>365</v>
      </c>
      <c r="C3150" s="522"/>
      <c r="D3150" s="399" t="s">
        <v>366</v>
      </c>
      <c r="E3150" s="522">
        <v>201601</v>
      </c>
      <c r="F3150" s="431">
        <v>-170.45</v>
      </c>
      <c r="G3150" s="521">
        <v>3</v>
      </c>
      <c r="H3150" s="486">
        <v>3.1250000000000002E-3</v>
      </c>
      <c r="I3150" s="523">
        <v>-1.6</v>
      </c>
      <c r="J3150" s="523">
        <v>-6.39</v>
      </c>
    </row>
    <row r="3151" spans="1:17" s="559" customFormat="1">
      <c r="A3151" s="399" t="s">
        <v>346</v>
      </c>
      <c r="B3151" s="522" t="s">
        <v>367</v>
      </c>
      <c r="C3151" s="522"/>
      <c r="D3151" s="399" t="s">
        <v>368</v>
      </c>
      <c r="E3151" s="522">
        <v>201601</v>
      </c>
      <c r="F3151" s="431">
        <v>5549.82</v>
      </c>
      <c r="G3151" s="521">
        <v>3</v>
      </c>
      <c r="H3151" s="486">
        <v>3.1250000000000002E-3</v>
      </c>
      <c r="I3151" s="523">
        <v>52.03</v>
      </c>
      <c r="J3151" s="523">
        <v>208.12</v>
      </c>
    </row>
    <row r="3152" spans="1:17" s="559" customFormat="1">
      <c r="A3152" s="399" t="s">
        <v>346</v>
      </c>
      <c r="B3152" s="522" t="s">
        <v>585</v>
      </c>
      <c r="C3152" s="522"/>
      <c r="D3152" s="399" t="s">
        <v>586</v>
      </c>
      <c r="E3152" s="522">
        <v>201601</v>
      </c>
      <c r="F3152" s="431">
        <v>-606.23</v>
      </c>
      <c r="G3152" s="521">
        <v>3</v>
      </c>
      <c r="H3152" s="486">
        <v>3.1250000000000002E-3</v>
      </c>
      <c r="I3152" s="523">
        <v>-5.68</v>
      </c>
      <c r="J3152" s="523">
        <v>-22.73</v>
      </c>
    </row>
    <row r="3153" spans="1:10" s="559" customFormat="1">
      <c r="A3153" s="399" t="s">
        <v>346</v>
      </c>
      <c r="B3153" s="522" t="s">
        <v>369</v>
      </c>
      <c r="C3153" s="522"/>
      <c r="D3153" s="399" t="s">
        <v>370</v>
      </c>
      <c r="E3153" s="522">
        <v>201601</v>
      </c>
      <c r="F3153" s="431">
        <v>28054.12</v>
      </c>
      <c r="G3153" s="521">
        <v>3</v>
      </c>
      <c r="H3153" s="486">
        <v>3.1250000000000002E-3</v>
      </c>
      <c r="I3153" s="523">
        <v>263.01</v>
      </c>
      <c r="J3153" s="523">
        <v>1052.03</v>
      </c>
    </row>
    <row r="3154" spans="1:10" s="559" customFormat="1">
      <c r="A3154" s="399" t="s">
        <v>346</v>
      </c>
      <c r="B3154" s="522" t="s">
        <v>371</v>
      </c>
      <c r="C3154" s="522"/>
      <c r="D3154" s="399" t="s">
        <v>372</v>
      </c>
      <c r="E3154" s="522">
        <v>201601</v>
      </c>
      <c r="F3154" s="431">
        <v>0.08</v>
      </c>
      <c r="G3154" s="521">
        <v>3</v>
      </c>
      <c r="H3154" s="486">
        <v>3.1250000000000002E-3</v>
      </c>
      <c r="I3154" s="523">
        <v>0</v>
      </c>
      <c r="J3154" s="523">
        <v>0</v>
      </c>
    </row>
    <row r="3155" spans="1:10" s="559" customFormat="1">
      <c r="A3155" s="399" t="s">
        <v>346</v>
      </c>
      <c r="B3155" s="522" t="s">
        <v>375</v>
      </c>
      <c r="C3155" s="522"/>
      <c r="D3155" s="399" t="s">
        <v>376</v>
      </c>
      <c r="E3155" s="522">
        <v>201601</v>
      </c>
      <c r="F3155" s="431">
        <v>-3888.05</v>
      </c>
      <c r="G3155" s="521">
        <v>3</v>
      </c>
      <c r="H3155" s="486">
        <v>3.1250000000000002E-3</v>
      </c>
      <c r="I3155" s="523">
        <v>-36.450000000000003</v>
      </c>
      <c r="J3155" s="523">
        <v>-145.80000000000001</v>
      </c>
    </row>
    <row r="3156" spans="1:10" s="559" customFormat="1">
      <c r="A3156" s="399" t="s">
        <v>346</v>
      </c>
      <c r="B3156" s="522" t="s">
        <v>377</v>
      </c>
      <c r="C3156" s="522"/>
      <c r="D3156" s="399" t="s">
        <v>378</v>
      </c>
      <c r="E3156" s="522">
        <v>201601</v>
      </c>
      <c r="F3156" s="431">
        <v>82972.67</v>
      </c>
      <c r="G3156" s="521">
        <v>3</v>
      </c>
      <c r="H3156" s="486">
        <v>3.1250000000000002E-3</v>
      </c>
      <c r="I3156" s="523">
        <v>777.87</v>
      </c>
      <c r="J3156" s="523">
        <v>3111.48</v>
      </c>
    </row>
    <row r="3157" spans="1:10" s="559" customFormat="1">
      <c r="A3157" s="399" t="s">
        <v>346</v>
      </c>
      <c r="B3157" s="522" t="s">
        <v>379</v>
      </c>
      <c r="C3157" s="522"/>
      <c r="D3157" s="399" t="s">
        <v>380</v>
      </c>
      <c r="E3157" s="522">
        <v>201601</v>
      </c>
      <c r="F3157" s="431">
        <v>101.85</v>
      </c>
      <c r="G3157" s="521">
        <v>3</v>
      </c>
      <c r="H3157" s="486">
        <v>3.1250000000000002E-3</v>
      </c>
      <c r="I3157" s="523">
        <v>0.95</v>
      </c>
      <c r="J3157" s="523">
        <v>3.82</v>
      </c>
    </row>
    <row r="3158" spans="1:10" s="559" customFormat="1">
      <c r="A3158" s="399" t="s">
        <v>346</v>
      </c>
      <c r="B3158" s="522" t="s">
        <v>383</v>
      </c>
      <c r="C3158" s="522"/>
      <c r="D3158" s="399" t="s">
        <v>384</v>
      </c>
      <c r="E3158" s="522">
        <v>201601</v>
      </c>
      <c r="F3158" s="431">
        <v>1248.6099999999999</v>
      </c>
      <c r="G3158" s="521">
        <v>3</v>
      </c>
      <c r="H3158" s="486">
        <v>3.1250000000000002E-3</v>
      </c>
      <c r="I3158" s="523">
        <v>11.71</v>
      </c>
      <c r="J3158" s="523">
        <v>46.82</v>
      </c>
    </row>
    <row r="3159" spans="1:10" s="559" customFormat="1">
      <c r="A3159" s="399" t="s">
        <v>346</v>
      </c>
      <c r="B3159" s="522" t="s">
        <v>385</v>
      </c>
      <c r="C3159" s="522"/>
      <c r="D3159" s="399" t="s">
        <v>386</v>
      </c>
      <c r="E3159" s="522">
        <v>201601</v>
      </c>
      <c r="F3159" s="431">
        <v>256043.3</v>
      </c>
      <c r="G3159" s="521">
        <v>3</v>
      </c>
      <c r="H3159" s="486">
        <v>3.1250000000000002E-3</v>
      </c>
      <c r="I3159" s="523">
        <v>2400.41</v>
      </c>
      <c r="J3159" s="523">
        <v>9601.6200000000008</v>
      </c>
    </row>
    <row r="3160" spans="1:10" s="559" customFormat="1">
      <c r="A3160" s="399" t="s">
        <v>346</v>
      </c>
      <c r="B3160" s="522" t="s">
        <v>387</v>
      </c>
      <c r="C3160" s="522"/>
      <c r="D3160" s="399" t="s">
        <v>388</v>
      </c>
      <c r="E3160" s="522">
        <v>201601</v>
      </c>
      <c r="F3160" s="431">
        <v>95627.32</v>
      </c>
      <c r="G3160" s="521">
        <v>3</v>
      </c>
      <c r="H3160" s="486">
        <v>3.1250000000000002E-3</v>
      </c>
      <c r="I3160" s="523">
        <v>896.51</v>
      </c>
      <c r="J3160" s="523">
        <v>3586.02</v>
      </c>
    </row>
    <row r="3161" spans="1:10" s="559" customFormat="1">
      <c r="A3161" s="399" t="s">
        <v>346</v>
      </c>
      <c r="B3161" s="522" t="s">
        <v>389</v>
      </c>
      <c r="C3161" s="522"/>
      <c r="D3161" s="399" t="s">
        <v>390</v>
      </c>
      <c r="E3161" s="522">
        <v>201601</v>
      </c>
      <c r="F3161" s="431">
        <v>2399.1799999999998</v>
      </c>
      <c r="G3161" s="521">
        <v>3</v>
      </c>
      <c r="H3161" s="486">
        <v>3.1250000000000002E-3</v>
      </c>
      <c r="I3161" s="523">
        <v>22.49</v>
      </c>
      <c r="J3161" s="523">
        <v>89.97</v>
      </c>
    </row>
    <row r="3162" spans="1:10" s="559" customFormat="1">
      <c r="A3162" s="399" t="s">
        <v>346</v>
      </c>
      <c r="B3162" s="522" t="s">
        <v>391</v>
      </c>
      <c r="C3162" s="522"/>
      <c r="D3162" s="399" t="s">
        <v>392</v>
      </c>
      <c r="E3162" s="522">
        <v>201601</v>
      </c>
      <c r="F3162" s="431">
        <v>-1538.53</v>
      </c>
      <c r="G3162" s="521">
        <v>3</v>
      </c>
      <c r="H3162" s="486">
        <v>3.1250000000000002E-3</v>
      </c>
      <c r="I3162" s="523">
        <v>-14.42</v>
      </c>
      <c r="J3162" s="523">
        <v>-57.69</v>
      </c>
    </row>
    <row r="3163" spans="1:10" s="559" customFormat="1">
      <c r="A3163" s="399" t="s">
        <v>346</v>
      </c>
      <c r="B3163" s="522" t="s">
        <v>393</v>
      </c>
      <c r="C3163" s="522"/>
      <c r="D3163" s="399" t="s">
        <v>394</v>
      </c>
      <c r="E3163" s="522">
        <v>201601</v>
      </c>
      <c r="F3163" s="431">
        <v>-15404.3</v>
      </c>
      <c r="G3163" s="521">
        <v>3</v>
      </c>
      <c r="H3163" s="486">
        <v>3.1250000000000002E-3</v>
      </c>
      <c r="I3163" s="523">
        <v>-144.41999999999999</v>
      </c>
      <c r="J3163" s="523">
        <v>-577.66</v>
      </c>
    </row>
    <row r="3164" spans="1:10" s="559" customFormat="1">
      <c r="A3164" s="399" t="s">
        <v>346</v>
      </c>
      <c r="B3164" s="522" t="s">
        <v>395</v>
      </c>
      <c r="C3164" s="522"/>
      <c r="D3164" s="399" t="s">
        <v>396</v>
      </c>
      <c r="E3164" s="522">
        <v>201601</v>
      </c>
      <c r="F3164" s="431">
        <v>-15676.31</v>
      </c>
      <c r="G3164" s="521">
        <v>3</v>
      </c>
      <c r="H3164" s="486">
        <v>3.1250000000000002E-3</v>
      </c>
      <c r="I3164" s="523">
        <v>-146.97</v>
      </c>
      <c r="J3164" s="523">
        <v>-587.86</v>
      </c>
    </row>
    <row r="3165" spans="1:10" s="559" customFormat="1">
      <c r="A3165" s="399" t="s">
        <v>346</v>
      </c>
      <c r="B3165" s="522" t="s">
        <v>589</v>
      </c>
      <c r="C3165" s="522"/>
      <c r="D3165" s="399" t="s">
        <v>590</v>
      </c>
      <c r="E3165" s="522">
        <v>201601</v>
      </c>
      <c r="F3165" s="431">
        <v>19.920000000000002</v>
      </c>
      <c r="G3165" s="521">
        <v>3</v>
      </c>
      <c r="H3165" s="486">
        <v>3.1250000000000002E-3</v>
      </c>
      <c r="I3165" s="523">
        <v>0.19</v>
      </c>
      <c r="J3165" s="523">
        <v>0.75</v>
      </c>
    </row>
    <row r="3166" spans="1:10" s="559" customFormat="1">
      <c r="A3166" s="399" t="s">
        <v>346</v>
      </c>
      <c r="B3166" s="522" t="s">
        <v>643</v>
      </c>
      <c r="C3166" s="522"/>
      <c r="D3166" s="399" t="s">
        <v>644</v>
      </c>
      <c r="E3166" s="522">
        <v>201601</v>
      </c>
      <c r="F3166" s="431">
        <v>1384.61</v>
      </c>
      <c r="G3166" s="521">
        <v>3</v>
      </c>
      <c r="H3166" s="486">
        <v>3.1250000000000002E-3</v>
      </c>
      <c r="I3166" s="523">
        <v>12.98</v>
      </c>
      <c r="J3166" s="523">
        <v>51.92</v>
      </c>
    </row>
    <row r="3167" spans="1:10" s="559" customFormat="1">
      <c r="A3167" s="399" t="s">
        <v>346</v>
      </c>
      <c r="B3167" s="522" t="s">
        <v>451</v>
      </c>
      <c r="C3167" s="522"/>
      <c r="D3167" s="399" t="s">
        <v>452</v>
      </c>
      <c r="E3167" s="522">
        <v>201601</v>
      </c>
      <c r="F3167" s="431">
        <v>-2.95</v>
      </c>
      <c r="G3167" s="521">
        <v>3</v>
      </c>
      <c r="H3167" s="486">
        <v>3.1250000000000002E-3</v>
      </c>
      <c r="I3167" s="523">
        <v>-0.03</v>
      </c>
      <c r="J3167" s="523">
        <v>-0.11</v>
      </c>
    </row>
    <row r="3168" spans="1:10" s="559" customFormat="1">
      <c r="A3168" s="399" t="s">
        <v>346</v>
      </c>
      <c r="B3168" s="522" t="s">
        <v>645</v>
      </c>
      <c r="C3168" s="522"/>
      <c r="D3168" s="399" t="s">
        <v>646</v>
      </c>
      <c r="E3168" s="522">
        <v>201601</v>
      </c>
      <c r="F3168" s="431">
        <v>33700.86</v>
      </c>
      <c r="G3168" s="521">
        <v>3</v>
      </c>
      <c r="H3168" s="486">
        <v>3.1250000000000002E-3</v>
      </c>
      <c r="I3168" s="523">
        <v>315.95</v>
      </c>
      <c r="J3168" s="523">
        <v>1263.78</v>
      </c>
    </row>
    <row r="3169" spans="1:10" s="559" customFormat="1">
      <c r="A3169" s="399" t="s">
        <v>346</v>
      </c>
      <c r="B3169" s="522" t="s">
        <v>647</v>
      </c>
      <c r="C3169" s="522"/>
      <c r="D3169" s="399" t="s">
        <v>648</v>
      </c>
      <c r="E3169" s="522">
        <v>201601</v>
      </c>
      <c r="F3169" s="431">
        <v>2974.89</v>
      </c>
      <c r="G3169" s="521">
        <v>3</v>
      </c>
      <c r="H3169" s="486">
        <v>3.1250000000000002E-3</v>
      </c>
      <c r="I3169" s="523">
        <v>27.89</v>
      </c>
      <c r="J3169" s="523">
        <v>111.56</v>
      </c>
    </row>
    <row r="3170" spans="1:10" s="559" customFormat="1">
      <c r="A3170" s="399" t="s">
        <v>346</v>
      </c>
      <c r="B3170" s="522" t="s">
        <v>784</v>
      </c>
      <c r="C3170" s="522"/>
      <c r="D3170" s="399" t="s">
        <v>785</v>
      </c>
      <c r="E3170" s="522">
        <v>201601</v>
      </c>
      <c r="F3170" s="431">
        <v>487342.35</v>
      </c>
      <c r="G3170" s="521">
        <v>3</v>
      </c>
      <c r="H3170" s="486">
        <v>3.1250000000000002E-3</v>
      </c>
      <c r="I3170" s="523">
        <v>4568.83</v>
      </c>
      <c r="J3170" s="523">
        <v>18275.34</v>
      </c>
    </row>
    <row r="3171" spans="1:10" s="559" customFormat="1">
      <c r="A3171" s="399" t="s">
        <v>346</v>
      </c>
      <c r="B3171" s="522" t="s">
        <v>649</v>
      </c>
      <c r="C3171" s="522"/>
      <c r="D3171" s="399" t="s">
        <v>650</v>
      </c>
      <c r="E3171" s="522">
        <v>201601</v>
      </c>
      <c r="F3171" s="431">
        <v>8136.52</v>
      </c>
      <c r="G3171" s="521">
        <v>3</v>
      </c>
      <c r="H3171" s="486">
        <v>3.1250000000000002E-3</v>
      </c>
      <c r="I3171" s="523">
        <v>76.28</v>
      </c>
      <c r="J3171" s="523">
        <v>305.12</v>
      </c>
    </row>
    <row r="3172" spans="1:10" s="559" customFormat="1">
      <c r="A3172" s="399" t="s">
        <v>346</v>
      </c>
      <c r="B3172" s="522" t="s">
        <v>651</v>
      </c>
      <c r="C3172" s="522"/>
      <c r="D3172" s="399" t="s">
        <v>652</v>
      </c>
      <c r="E3172" s="522">
        <v>201601</v>
      </c>
      <c r="F3172" s="431">
        <v>4380.2</v>
      </c>
      <c r="G3172" s="521">
        <v>3</v>
      </c>
      <c r="H3172" s="486">
        <v>3.1250000000000002E-3</v>
      </c>
      <c r="I3172" s="523">
        <v>41.06</v>
      </c>
      <c r="J3172" s="523">
        <v>164.26</v>
      </c>
    </row>
    <row r="3173" spans="1:10" s="559" customFormat="1">
      <c r="A3173" s="399" t="s">
        <v>346</v>
      </c>
      <c r="B3173" s="522" t="s">
        <v>786</v>
      </c>
      <c r="C3173" s="522"/>
      <c r="D3173" s="399" t="s">
        <v>787</v>
      </c>
      <c r="E3173" s="522">
        <v>201601</v>
      </c>
      <c r="F3173" s="431">
        <v>377906.01</v>
      </c>
      <c r="G3173" s="521">
        <v>3</v>
      </c>
      <c r="H3173" s="486">
        <v>3.1250000000000002E-3</v>
      </c>
      <c r="I3173" s="523">
        <v>3542.87</v>
      </c>
      <c r="J3173" s="523">
        <v>14171.48</v>
      </c>
    </row>
    <row r="3174" spans="1:10" s="559" customFormat="1">
      <c r="A3174" s="399" t="s">
        <v>346</v>
      </c>
      <c r="B3174" s="522" t="s">
        <v>653</v>
      </c>
      <c r="C3174" s="522"/>
      <c r="D3174" s="399" t="s">
        <v>654</v>
      </c>
      <c r="E3174" s="522">
        <v>201601</v>
      </c>
      <c r="F3174" s="431">
        <v>2740.67</v>
      </c>
      <c r="G3174" s="521">
        <v>3</v>
      </c>
      <c r="H3174" s="486">
        <v>3.1250000000000002E-3</v>
      </c>
      <c r="I3174" s="523">
        <v>25.69</v>
      </c>
      <c r="J3174" s="523">
        <v>102.78</v>
      </c>
    </row>
    <row r="3175" spans="1:10" s="559" customFormat="1">
      <c r="A3175" s="399" t="s">
        <v>346</v>
      </c>
      <c r="B3175" s="522" t="s">
        <v>655</v>
      </c>
      <c r="C3175" s="522"/>
      <c r="D3175" s="399" t="s">
        <v>656</v>
      </c>
      <c r="E3175" s="522">
        <v>201601</v>
      </c>
      <c r="F3175" s="431">
        <v>-178933.49</v>
      </c>
      <c r="G3175" s="521">
        <v>3</v>
      </c>
      <c r="H3175" s="486">
        <v>3.1250000000000002E-3</v>
      </c>
      <c r="I3175" s="523">
        <v>-1677.5</v>
      </c>
      <c r="J3175" s="523">
        <v>-6710.01</v>
      </c>
    </row>
    <row r="3176" spans="1:10" s="559" customFormat="1">
      <c r="A3176" s="399" t="s">
        <v>346</v>
      </c>
      <c r="B3176" s="522" t="s">
        <v>594</v>
      </c>
      <c r="C3176" s="522"/>
      <c r="D3176" s="399" t="s">
        <v>595</v>
      </c>
      <c r="E3176" s="522">
        <v>201601</v>
      </c>
      <c r="F3176" s="431">
        <v>19193.150000000001</v>
      </c>
      <c r="G3176" s="521">
        <v>3</v>
      </c>
      <c r="H3176" s="486">
        <v>3.1250000000000002E-3</v>
      </c>
      <c r="I3176" s="523">
        <v>179.94</v>
      </c>
      <c r="J3176" s="523">
        <v>719.74</v>
      </c>
    </row>
    <row r="3177" spans="1:10" s="559" customFormat="1">
      <c r="A3177" s="399" t="s">
        <v>346</v>
      </c>
      <c r="B3177" s="522" t="s">
        <v>596</v>
      </c>
      <c r="C3177" s="522"/>
      <c r="D3177" s="399" t="s">
        <v>597</v>
      </c>
      <c r="E3177" s="522">
        <v>201601</v>
      </c>
      <c r="F3177" s="431">
        <v>1.1399999999999999</v>
      </c>
      <c r="G3177" s="521">
        <v>3</v>
      </c>
      <c r="H3177" s="486">
        <v>3.1250000000000002E-3</v>
      </c>
      <c r="I3177" s="523">
        <v>0.01</v>
      </c>
      <c r="J3177" s="523">
        <v>0.04</v>
      </c>
    </row>
    <row r="3178" spans="1:10" s="559" customFormat="1">
      <c r="A3178" s="399" t="s">
        <v>346</v>
      </c>
      <c r="B3178" s="522" t="s">
        <v>657</v>
      </c>
      <c r="C3178" s="522"/>
      <c r="D3178" s="399" t="s">
        <v>658</v>
      </c>
      <c r="E3178" s="522">
        <v>201601</v>
      </c>
      <c r="F3178" s="431">
        <v>9058.1</v>
      </c>
      <c r="G3178" s="521">
        <v>3</v>
      </c>
      <c r="H3178" s="486">
        <v>3.1250000000000002E-3</v>
      </c>
      <c r="I3178" s="523">
        <v>84.92</v>
      </c>
      <c r="J3178" s="523">
        <v>339.68</v>
      </c>
    </row>
    <row r="3179" spans="1:10" s="559" customFormat="1">
      <c r="A3179" s="399" t="s">
        <v>346</v>
      </c>
      <c r="B3179" s="522" t="s">
        <v>661</v>
      </c>
      <c r="C3179" s="522"/>
      <c r="D3179" s="399" t="s">
        <v>662</v>
      </c>
      <c r="E3179" s="522">
        <v>201601</v>
      </c>
      <c r="F3179" s="431">
        <v>73734.28</v>
      </c>
      <c r="G3179" s="521">
        <v>3</v>
      </c>
      <c r="H3179" s="486">
        <v>3.1250000000000002E-3</v>
      </c>
      <c r="I3179" s="523">
        <v>691.26</v>
      </c>
      <c r="J3179" s="523">
        <v>2765.04</v>
      </c>
    </row>
    <row r="3180" spans="1:10" s="559" customFormat="1">
      <c r="A3180" s="399" t="s">
        <v>346</v>
      </c>
      <c r="B3180" s="522" t="s">
        <v>663</v>
      </c>
      <c r="C3180" s="522"/>
      <c r="D3180" s="399" t="s">
        <v>664</v>
      </c>
      <c r="E3180" s="522">
        <v>201601</v>
      </c>
      <c r="F3180" s="431">
        <v>12038.5</v>
      </c>
      <c r="G3180" s="521">
        <v>3</v>
      </c>
      <c r="H3180" s="486">
        <v>3.1250000000000002E-3</v>
      </c>
      <c r="I3180" s="523">
        <v>112.86</v>
      </c>
      <c r="J3180" s="523">
        <v>451.44</v>
      </c>
    </row>
    <row r="3181" spans="1:10" s="559" customFormat="1">
      <c r="A3181" s="399" t="s">
        <v>346</v>
      </c>
      <c r="B3181" s="522" t="s">
        <v>665</v>
      </c>
      <c r="C3181" s="522"/>
      <c r="D3181" s="399" t="s">
        <v>666</v>
      </c>
      <c r="E3181" s="522">
        <v>201601</v>
      </c>
      <c r="F3181" s="431">
        <v>2.74</v>
      </c>
      <c r="G3181" s="521">
        <v>3</v>
      </c>
      <c r="H3181" s="486">
        <v>3.1250000000000002E-3</v>
      </c>
      <c r="I3181" s="523">
        <v>0.03</v>
      </c>
      <c r="J3181" s="523">
        <v>0.1</v>
      </c>
    </row>
    <row r="3182" spans="1:10" s="559" customFormat="1">
      <c r="A3182" s="399" t="s">
        <v>346</v>
      </c>
      <c r="B3182" s="522" t="s">
        <v>600</v>
      </c>
      <c r="C3182" s="522"/>
      <c r="D3182" s="399" t="s">
        <v>601</v>
      </c>
      <c r="E3182" s="522">
        <v>201601</v>
      </c>
      <c r="F3182" s="431">
        <v>0.97</v>
      </c>
      <c r="G3182" s="521">
        <v>3</v>
      </c>
      <c r="H3182" s="486">
        <v>3.1250000000000002E-3</v>
      </c>
      <c r="I3182" s="523">
        <v>0.01</v>
      </c>
      <c r="J3182" s="523">
        <v>0.04</v>
      </c>
    </row>
    <row r="3183" spans="1:10" s="559" customFormat="1">
      <c r="A3183" s="399" t="s">
        <v>346</v>
      </c>
      <c r="B3183" s="522" t="s">
        <v>554</v>
      </c>
      <c r="C3183" s="522"/>
      <c r="D3183" s="399" t="s">
        <v>555</v>
      </c>
      <c r="E3183" s="522">
        <v>201601</v>
      </c>
      <c r="F3183" s="431">
        <v>0.12</v>
      </c>
      <c r="G3183" s="521">
        <v>3</v>
      </c>
      <c r="H3183" s="486">
        <v>3.1250000000000002E-3</v>
      </c>
      <c r="I3183" s="523">
        <v>0</v>
      </c>
      <c r="J3183" s="523">
        <v>0</v>
      </c>
    </row>
    <row r="3184" spans="1:10" s="559" customFormat="1">
      <c r="A3184" s="399" t="s">
        <v>346</v>
      </c>
      <c r="B3184" s="522" t="s">
        <v>556</v>
      </c>
      <c r="C3184" s="522"/>
      <c r="D3184" s="399" t="s">
        <v>557</v>
      </c>
      <c r="E3184" s="522">
        <v>201601</v>
      </c>
      <c r="F3184" s="431">
        <v>0.16</v>
      </c>
      <c r="G3184" s="521">
        <v>3</v>
      </c>
      <c r="H3184" s="486">
        <v>3.1250000000000002E-3</v>
      </c>
      <c r="I3184" s="523">
        <v>0</v>
      </c>
      <c r="J3184" s="523">
        <v>0.01</v>
      </c>
    </row>
    <row r="3185" spans="1:10" s="559" customFormat="1">
      <c r="A3185" s="399" t="s">
        <v>346</v>
      </c>
      <c r="B3185" s="522" t="s">
        <v>560</v>
      </c>
      <c r="C3185" s="522"/>
      <c r="D3185" s="399" t="s">
        <v>561</v>
      </c>
      <c r="E3185" s="522">
        <v>201601</v>
      </c>
      <c r="F3185" s="431">
        <v>-0.42</v>
      </c>
      <c r="G3185" s="521">
        <v>3</v>
      </c>
      <c r="H3185" s="486">
        <v>3.1250000000000002E-3</v>
      </c>
      <c r="I3185" s="523">
        <v>0</v>
      </c>
      <c r="J3185" s="523">
        <v>-0.02</v>
      </c>
    </row>
    <row r="3186" spans="1:10" s="559" customFormat="1">
      <c r="A3186" s="399" t="s">
        <v>346</v>
      </c>
      <c r="B3186" s="522" t="s">
        <v>562</v>
      </c>
      <c r="C3186" s="522"/>
      <c r="D3186" s="399" t="s">
        <v>563</v>
      </c>
      <c r="E3186" s="522">
        <v>201601</v>
      </c>
      <c r="F3186" s="431">
        <v>738.9</v>
      </c>
      <c r="G3186" s="521">
        <v>3</v>
      </c>
      <c r="H3186" s="486">
        <v>3.1250000000000002E-3</v>
      </c>
      <c r="I3186" s="523">
        <v>6.93</v>
      </c>
      <c r="J3186" s="523">
        <v>27.71</v>
      </c>
    </row>
    <row r="3187" spans="1:10" s="559" customFormat="1">
      <c r="A3187" s="399" t="s">
        <v>346</v>
      </c>
      <c r="B3187" s="522" t="s">
        <v>602</v>
      </c>
      <c r="C3187" s="522"/>
      <c r="D3187" s="399" t="s">
        <v>603</v>
      </c>
      <c r="E3187" s="522">
        <v>201601</v>
      </c>
      <c r="F3187" s="431">
        <v>22.13</v>
      </c>
      <c r="G3187" s="521">
        <v>3</v>
      </c>
      <c r="H3187" s="486">
        <v>3.1250000000000002E-3</v>
      </c>
      <c r="I3187" s="523">
        <v>0.21</v>
      </c>
      <c r="J3187" s="523">
        <v>0.83</v>
      </c>
    </row>
    <row r="3188" spans="1:10" s="559" customFormat="1">
      <c r="A3188" s="399" t="s">
        <v>346</v>
      </c>
      <c r="B3188" s="522" t="s">
        <v>788</v>
      </c>
      <c r="C3188" s="522"/>
      <c r="D3188" s="399" t="s">
        <v>789</v>
      </c>
      <c r="E3188" s="522">
        <v>201601</v>
      </c>
      <c r="F3188" s="431">
        <v>169719.66</v>
      </c>
      <c r="G3188" s="521">
        <v>3</v>
      </c>
      <c r="H3188" s="486">
        <v>3.1250000000000002E-3</v>
      </c>
      <c r="I3188" s="523">
        <v>1591.12</v>
      </c>
      <c r="J3188" s="523">
        <v>6364.49</v>
      </c>
    </row>
    <row r="3189" spans="1:10" s="559" customFormat="1">
      <c r="A3189" s="399" t="s">
        <v>346</v>
      </c>
      <c r="B3189" s="522" t="s">
        <v>564</v>
      </c>
      <c r="C3189" s="522"/>
      <c r="D3189" s="399" t="s">
        <v>669</v>
      </c>
      <c r="E3189" s="522">
        <v>201601</v>
      </c>
      <c r="F3189" s="431">
        <v>-0.25</v>
      </c>
      <c r="G3189" s="521">
        <v>3</v>
      </c>
      <c r="H3189" s="486">
        <v>3.1250000000000002E-3</v>
      </c>
      <c r="I3189" s="523">
        <v>0</v>
      </c>
      <c r="J3189" s="523">
        <v>-0.01</v>
      </c>
    </row>
    <row r="3190" spans="1:10" s="559" customFormat="1">
      <c r="A3190" s="399" t="s">
        <v>346</v>
      </c>
      <c r="B3190" s="522" t="s">
        <v>606</v>
      </c>
      <c r="C3190" s="522"/>
      <c r="D3190" s="399" t="s">
        <v>607</v>
      </c>
      <c r="E3190" s="522">
        <v>201601</v>
      </c>
      <c r="F3190" s="431">
        <v>5.6</v>
      </c>
      <c r="G3190" s="521">
        <v>3</v>
      </c>
      <c r="H3190" s="486">
        <v>3.1250000000000002E-3</v>
      </c>
      <c r="I3190" s="523">
        <v>0.05</v>
      </c>
      <c r="J3190" s="523">
        <v>0.21</v>
      </c>
    </row>
    <row r="3191" spans="1:10" s="559" customFormat="1">
      <c r="A3191" s="399" t="s">
        <v>346</v>
      </c>
      <c r="B3191" s="522" t="s">
        <v>621</v>
      </c>
      <c r="C3191" s="522"/>
      <c r="D3191" s="399" t="s">
        <v>622</v>
      </c>
      <c r="E3191" s="522">
        <v>201601</v>
      </c>
      <c r="F3191" s="431">
        <v>11098.38</v>
      </c>
      <c r="G3191" s="521">
        <v>3</v>
      </c>
      <c r="H3191" s="486">
        <v>3.1250000000000002E-3</v>
      </c>
      <c r="I3191" s="523">
        <v>104.05</v>
      </c>
      <c r="J3191" s="523">
        <v>416.19</v>
      </c>
    </row>
    <row r="3192" spans="1:10" s="559" customFormat="1">
      <c r="A3192" s="399" t="s">
        <v>346</v>
      </c>
      <c r="B3192" s="522" t="s">
        <v>565</v>
      </c>
      <c r="C3192" s="522"/>
      <c r="D3192" s="399" t="s">
        <v>566</v>
      </c>
      <c r="E3192" s="522">
        <v>201601</v>
      </c>
      <c r="F3192" s="431">
        <v>0.02</v>
      </c>
      <c r="G3192" s="521">
        <v>3</v>
      </c>
      <c r="H3192" s="486">
        <v>3.1250000000000002E-3</v>
      </c>
      <c r="I3192" s="523">
        <v>0</v>
      </c>
      <c r="J3192" s="523">
        <v>0</v>
      </c>
    </row>
    <row r="3193" spans="1:10" s="559" customFormat="1">
      <c r="A3193" s="399" t="s">
        <v>346</v>
      </c>
      <c r="B3193" s="522" t="s">
        <v>610</v>
      </c>
      <c r="C3193" s="522"/>
      <c r="D3193" s="399" t="s">
        <v>611</v>
      </c>
      <c r="E3193" s="522">
        <v>201601</v>
      </c>
      <c r="F3193" s="431">
        <v>1.3</v>
      </c>
      <c r="G3193" s="521">
        <v>3</v>
      </c>
      <c r="H3193" s="486">
        <v>3.1250000000000002E-3</v>
      </c>
      <c r="I3193" s="523">
        <v>0.01</v>
      </c>
      <c r="J3193" s="523">
        <v>0.05</v>
      </c>
    </row>
    <row r="3194" spans="1:10" s="559" customFormat="1">
      <c r="A3194" s="399" t="s">
        <v>346</v>
      </c>
      <c r="B3194" s="522" t="s">
        <v>567</v>
      </c>
      <c r="C3194" s="522"/>
      <c r="D3194" s="399" t="s">
        <v>568</v>
      </c>
      <c r="E3194" s="522">
        <v>201601</v>
      </c>
      <c r="F3194" s="431">
        <v>4639.7</v>
      </c>
      <c r="G3194" s="521">
        <v>3</v>
      </c>
      <c r="H3194" s="486">
        <v>3.1250000000000002E-3</v>
      </c>
      <c r="I3194" s="523">
        <v>43.5</v>
      </c>
      <c r="J3194" s="523">
        <v>173.99</v>
      </c>
    </row>
    <row r="3195" spans="1:10" s="559" customFormat="1">
      <c r="A3195" s="399" t="s">
        <v>346</v>
      </c>
      <c r="B3195" s="522" t="s">
        <v>674</v>
      </c>
      <c r="C3195" s="522"/>
      <c r="D3195" s="399" t="s">
        <v>675</v>
      </c>
      <c r="E3195" s="522">
        <v>201601</v>
      </c>
      <c r="F3195" s="431">
        <v>28.48</v>
      </c>
      <c r="G3195" s="521">
        <v>3</v>
      </c>
      <c r="H3195" s="486">
        <v>3.1250000000000002E-3</v>
      </c>
      <c r="I3195" s="523">
        <v>0.27</v>
      </c>
      <c r="J3195" s="523">
        <v>1.07</v>
      </c>
    </row>
    <row r="3196" spans="1:10" s="559" customFormat="1">
      <c r="A3196" s="399" t="s">
        <v>346</v>
      </c>
      <c r="B3196" s="522" t="s">
        <v>790</v>
      </c>
      <c r="C3196" s="522"/>
      <c r="D3196" s="399" t="s">
        <v>791</v>
      </c>
      <c r="E3196" s="522">
        <v>201601</v>
      </c>
      <c r="F3196" s="431">
        <v>25016.13</v>
      </c>
      <c r="G3196" s="521">
        <v>3</v>
      </c>
      <c r="H3196" s="486">
        <v>3.1250000000000002E-3</v>
      </c>
      <c r="I3196" s="523">
        <v>234.53</v>
      </c>
      <c r="J3196" s="523">
        <v>938.1</v>
      </c>
    </row>
    <row r="3197" spans="1:10" s="559" customFormat="1">
      <c r="A3197" s="399" t="s">
        <v>346</v>
      </c>
      <c r="B3197" s="522" t="s">
        <v>678</v>
      </c>
      <c r="C3197" s="522"/>
      <c r="D3197" s="399" t="s">
        <v>679</v>
      </c>
      <c r="E3197" s="522">
        <v>201601</v>
      </c>
      <c r="F3197" s="431">
        <v>2136.87</v>
      </c>
      <c r="G3197" s="521">
        <v>3</v>
      </c>
      <c r="H3197" s="486">
        <v>3.1250000000000002E-3</v>
      </c>
      <c r="I3197" s="523">
        <v>20.03</v>
      </c>
      <c r="J3197" s="523">
        <v>80.13</v>
      </c>
    </row>
    <row r="3198" spans="1:10" s="559" customFormat="1">
      <c r="A3198" s="399" t="s">
        <v>346</v>
      </c>
      <c r="B3198" s="522" t="s">
        <v>680</v>
      </c>
      <c r="C3198" s="522"/>
      <c r="D3198" s="399" t="s">
        <v>681</v>
      </c>
      <c r="E3198" s="522">
        <v>201601</v>
      </c>
      <c r="F3198" s="431">
        <v>1704.25</v>
      </c>
      <c r="G3198" s="521">
        <v>3</v>
      </c>
      <c r="H3198" s="486">
        <v>3.1250000000000002E-3</v>
      </c>
      <c r="I3198" s="523">
        <v>15.98</v>
      </c>
      <c r="J3198" s="523">
        <v>63.91</v>
      </c>
    </row>
    <row r="3199" spans="1:10" s="559" customFormat="1">
      <c r="A3199" s="399" t="s">
        <v>346</v>
      </c>
      <c r="B3199" s="522" t="s">
        <v>684</v>
      </c>
      <c r="C3199" s="522"/>
      <c r="D3199" s="399" t="s">
        <v>685</v>
      </c>
      <c r="E3199" s="522">
        <v>201601</v>
      </c>
      <c r="F3199" s="431">
        <v>1546.53</v>
      </c>
      <c r="G3199" s="521">
        <v>3</v>
      </c>
      <c r="H3199" s="486">
        <v>3.1250000000000002E-3</v>
      </c>
      <c r="I3199" s="523">
        <v>14.5</v>
      </c>
      <c r="J3199" s="523">
        <v>57.99</v>
      </c>
    </row>
    <row r="3200" spans="1:10" s="559" customFormat="1">
      <c r="A3200" s="399" t="s">
        <v>346</v>
      </c>
      <c r="B3200" s="522" t="s">
        <v>710</v>
      </c>
      <c r="C3200" s="522"/>
      <c r="D3200" s="399" t="s">
        <v>711</v>
      </c>
      <c r="E3200" s="522">
        <v>201601</v>
      </c>
      <c r="F3200" s="431">
        <v>468.63</v>
      </c>
      <c r="G3200" s="521">
        <v>3</v>
      </c>
      <c r="H3200" s="486">
        <v>3.1250000000000002E-3</v>
      </c>
      <c r="I3200" s="523">
        <v>4.3899999999999997</v>
      </c>
      <c r="J3200" s="523">
        <v>17.57</v>
      </c>
    </row>
    <row r="3201" spans="1:10" s="559" customFormat="1">
      <c r="A3201" s="399" t="s">
        <v>346</v>
      </c>
      <c r="B3201" s="522" t="s">
        <v>712</v>
      </c>
      <c r="C3201" s="522"/>
      <c r="D3201" s="399" t="s">
        <v>713</v>
      </c>
      <c r="E3201" s="522">
        <v>201601</v>
      </c>
      <c r="F3201" s="431">
        <v>-186.39</v>
      </c>
      <c r="G3201" s="521">
        <v>3</v>
      </c>
      <c r="H3201" s="486">
        <v>3.1250000000000002E-3</v>
      </c>
      <c r="I3201" s="523">
        <v>-1.75</v>
      </c>
      <c r="J3201" s="523">
        <v>-6.99</v>
      </c>
    </row>
    <row r="3202" spans="1:10" s="559" customFormat="1">
      <c r="A3202" s="399" t="s">
        <v>346</v>
      </c>
      <c r="B3202" s="522" t="s">
        <v>690</v>
      </c>
      <c r="C3202" s="522"/>
      <c r="D3202" s="399" t="s">
        <v>691</v>
      </c>
      <c r="E3202" s="522">
        <v>201601</v>
      </c>
      <c r="F3202" s="431">
        <v>-1444.14</v>
      </c>
      <c r="G3202" s="521">
        <v>3</v>
      </c>
      <c r="H3202" s="486">
        <v>3.1250000000000002E-3</v>
      </c>
      <c r="I3202" s="523">
        <v>-13.54</v>
      </c>
      <c r="J3202" s="523">
        <v>-54.16</v>
      </c>
    </row>
    <row r="3203" spans="1:10" s="559" customFormat="1">
      <c r="A3203" s="399" t="s">
        <v>346</v>
      </c>
      <c r="B3203" s="522" t="s">
        <v>692</v>
      </c>
      <c r="C3203" s="522"/>
      <c r="D3203" s="399" t="s">
        <v>693</v>
      </c>
      <c r="E3203" s="522">
        <v>201601</v>
      </c>
      <c r="F3203" s="431">
        <v>-228.36</v>
      </c>
      <c r="G3203" s="521">
        <v>3</v>
      </c>
      <c r="H3203" s="486">
        <v>3.1250000000000002E-3</v>
      </c>
      <c r="I3203" s="523">
        <v>-2.14</v>
      </c>
      <c r="J3203" s="523">
        <v>-8.56</v>
      </c>
    </row>
    <row r="3204" spans="1:10" s="559" customFormat="1">
      <c r="A3204" s="399" t="s">
        <v>346</v>
      </c>
      <c r="B3204" s="522" t="s">
        <v>694</v>
      </c>
      <c r="C3204" s="522"/>
      <c r="D3204" s="399" t="s">
        <v>695</v>
      </c>
      <c r="E3204" s="522">
        <v>201601</v>
      </c>
      <c r="F3204" s="431">
        <v>49.54</v>
      </c>
      <c r="G3204" s="521">
        <v>3</v>
      </c>
      <c r="H3204" s="486">
        <v>3.1250000000000002E-3</v>
      </c>
      <c r="I3204" s="523">
        <v>0.46</v>
      </c>
      <c r="J3204" s="523">
        <v>1.86</v>
      </c>
    </row>
    <row r="3205" spans="1:10" s="559" customFormat="1">
      <c r="A3205" s="399" t="s">
        <v>346</v>
      </c>
      <c r="B3205" s="522" t="s">
        <v>696</v>
      </c>
      <c r="C3205" s="522"/>
      <c r="D3205" s="399" t="s">
        <v>697</v>
      </c>
      <c r="E3205" s="522">
        <v>201601</v>
      </c>
      <c r="F3205" s="431">
        <v>-6810.86</v>
      </c>
      <c r="G3205" s="521">
        <v>3</v>
      </c>
      <c r="H3205" s="486">
        <v>3.1250000000000002E-3</v>
      </c>
      <c r="I3205" s="523">
        <v>-63.85</v>
      </c>
      <c r="J3205" s="523">
        <v>-255.41</v>
      </c>
    </row>
    <row r="3206" spans="1:10" s="559" customFormat="1">
      <c r="A3206" s="399" t="s">
        <v>346</v>
      </c>
      <c r="B3206" s="522" t="s">
        <v>700</v>
      </c>
      <c r="C3206" s="522"/>
      <c r="D3206" s="399" t="s">
        <v>701</v>
      </c>
      <c r="E3206" s="522">
        <v>201601</v>
      </c>
      <c r="F3206" s="431">
        <v>945.55</v>
      </c>
      <c r="G3206" s="521">
        <v>3</v>
      </c>
      <c r="H3206" s="486">
        <v>3.1250000000000002E-3</v>
      </c>
      <c r="I3206" s="523">
        <v>8.86</v>
      </c>
      <c r="J3206" s="523">
        <v>35.46</v>
      </c>
    </row>
    <row r="3207" spans="1:10" s="559" customFormat="1">
      <c r="A3207" s="399" t="s">
        <v>346</v>
      </c>
      <c r="B3207" s="522" t="s">
        <v>794</v>
      </c>
      <c r="C3207" s="522"/>
      <c r="D3207" s="399" t="s">
        <v>795</v>
      </c>
      <c r="E3207" s="522">
        <v>201601</v>
      </c>
      <c r="F3207" s="431">
        <v>22573.9</v>
      </c>
      <c r="G3207" s="521">
        <v>3</v>
      </c>
      <c r="H3207" s="486">
        <v>3.1250000000000002E-3</v>
      </c>
      <c r="I3207" s="523">
        <v>211.63</v>
      </c>
      <c r="J3207" s="523">
        <v>846.52</v>
      </c>
    </row>
    <row r="3208" spans="1:10" s="559" customFormat="1">
      <c r="A3208" s="399" t="s">
        <v>346</v>
      </c>
      <c r="B3208" s="522" t="s">
        <v>702</v>
      </c>
      <c r="C3208" s="522"/>
      <c r="D3208" s="399" t="s">
        <v>703</v>
      </c>
      <c r="E3208" s="522">
        <v>201601</v>
      </c>
      <c r="F3208" s="431">
        <v>1.74</v>
      </c>
      <c r="G3208" s="521">
        <v>3</v>
      </c>
      <c r="H3208" s="486">
        <v>3.1250000000000002E-3</v>
      </c>
      <c r="I3208" s="523">
        <v>0.02</v>
      </c>
      <c r="J3208" s="523">
        <v>7.0000000000000007E-2</v>
      </c>
    </row>
    <row r="3209" spans="1:10" s="559" customFormat="1">
      <c r="A3209" s="399"/>
      <c r="B3209" s="522"/>
      <c r="C3209" s="522"/>
      <c r="D3209" s="399"/>
      <c r="E3209" s="522"/>
      <c r="F3209" s="431"/>
      <c r="G3209" s="521"/>
      <c r="H3209" s="486"/>
      <c r="I3209" s="523"/>
      <c r="J3209" s="523"/>
    </row>
    <row r="3210" spans="1:10" s="559" customFormat="1">
      <c r="A3210" s="399" t="s">
        <v>346</v>
      </c>
      <c r="B3210" s="522" t="s">
        <v>729</v>
      </c>
      <c r="C3210" s="522"/>
      <c r="D3210" s="399" t="s">
        <v>730</v>
      </c>
      <c r="E3210" s="522">
        <v>201601</v>
      </c>
      <c r="F3210" s="431">
        <v>-191.29</v>
      </c>
      <c r="G3210" s="521">
        <v>3</v>
      </c>
      <c r="H3210" s="486">
        <v>3.1250000000000002E-3</v>
      </c>
      <c r="I3210" s="523">
        <v>-1.79</v>
      </c>
      <c r="J3210" s="523">
        <v>-7.17</v>
      </c>
    </row>
    <row r="3211" spans="1:10" s="559" customFormat="1">
      <c r="A3211" s="399"/>
      <c r="B3211" s="522"/>
      <c r="C3211" s="522"/>
      <c r="D3211" s="399"/>
      <c r="E3211" s="522"/>
      <c r="F3211" s="431"/>
      <c r="G3211" s="521"/>
      <c r="H3211" s="486"/>
      <c r="I3211" s="523"/>
      <c r="J3211" s="523"/>
    </row>
    <row r="3212" spans="1:10" s="559" customFormat="1">
      <c r="A3212" s="399" t="s">
        <v>346</v>
      </c>
      <c r="B3212" s="522" t="s">
        <v>587</v>
      </c>
      <c r="C3212" s="522"/>
      <c r="D3212" s="399" t="s">
        <v>588</v>
      </c>
      <c r="E3212" s="522">
        <v>201602</v>
      </c>
      <c r="F3212" s="431">
        <v>-340</v>
      </c>
      <c r="G3212" s="521">
        <v>2</v>
      </c>
      <c r="H3212" s="486">
        <v>3.1250000000000002E-3</v>
      </c>
      <c r="I3212" s="523">
        <v>-2.13</v>
      </c>
      <c r="J3212" s="523">
        <v>-12.75</v>
      </c>
    </row>
    <row r="3213" spans="1:10" s="559" customFormat="1">
      <c r="A3213" s="399" t="s">
        <v>346</v>
      </c>
      <c r="B3213" s="522" t="s">
        <v>347</v>
      </c>
      <c r="C3213" s="522"/>
      <c r="D3213" s="399" t="s">
        <v>348</v>
      </c>
      <c r="E3213" s="522">
        <v>201602</v>
      </c>
      <c r="F3213" s="431">
        <v>686945.71</v>
      </c>
      <c r="G3213" s="521">
        <v>2</v>
      </c>
      <c r="H3213" s="486">
        <v>3.1250000000000002E-3</v>
      </c>
      <c r="I3213" s="523">
        <v>4293.41</v>
      </c>
      <c r="J3213" s="523">
        <v>25760.46</v>
      </c>
    </row>
    <row r="3214" spans="1:10" s="559" customFormat="1">
      <c r="A3214" s="399" t="s">
        <v>346</v>
      </c>
      <c r="B3214" s="522" t="s">
        <v>349</v>
      </c>
      <c r="C3214" s="522"/>
      <c r="D3214" s="399" t="s">
        <v>350</v>
      </c>
      <c r="E3214" s="522">
        <v>201602</v>
      </c>
      <c r="F3214" s="431">
        <v>26968.49</v>
      </c>
      <c r="G3214" s="521">
        <v>2</v>
      </c>
      <c r="H3214" s="486">
        <v>3.1250000000000002E-3</v>
      </c>
      <c r="I3214" s="523">
        <v>168.55</v>
      </c>
      <c r="J3214" s="523">
        <v>1011.32</v>
      </c>
    </row>
    <row r="3215" spans="1:10" s="559" customFormat="1">
      <c r="A3215" s="399" t="s">
        <v>346</v>
      </c>
      <c r="B3215" s="522" t="s">
        <v>351</v>
      </c>
      <c r="C3215" s="522"/>
      <c r="D3215" s="399" t="s">
        <v>352</v>
      </c>
      <c r="E3215" s="522">
        <v>201602</v>
      </c>
      <c r="F3215" s="431">
        <v>119.34</v>
      </c>
      <c r="G3215" s="521">
        <v>2</v>
      </c>
      <c r="H3215" s="486">
        <v>3.1250000000000002E-3</v>
      </c>
      <c r="I3215" s="523">
        <v>0.75</v>
      </c>
      <c r="J3215" s="523">
        <v>4.4800000000000004</v>
      </c>
    </row>
    <row r="3216" spans="1:10" s="559" customFormat="1">
      <c r="A3216" s="399" t="s">
        <v>346</v>
      </c>
      <c r="B3216" s="522" t="s">
        <v>353</v>
      </c>
      <c r="C3216" s="522"/>
      <c r="D3216" s="399" t="s">
        <v>354</v>
      </c>
      <c r="E3216" s="522">
        <v>201602</v>
      </c>
      <c r="F3216" s="431">
        <v>22.2</v>
      </c>
      <c r="G3216" s="521">
        <v>2</v>
      </c>
      <c r="H3216" s="486">
        <v>3.1250000000000002E-3</v>
      </c>
      <c r="I3216" s="523">
        <v>0.14000000000000001</v>
      </c>
      <c r="J3216" s="523">
        <v>0.83</v>
      </c>
    </row>
    <row r="3217" spans="1:10" s="559" customFormat="1">
      <c r="A3217" s="399" t="s">
        <v>346</v>
      </c>
      <c r="B3217" s="522" t="s">
        <v>355</v>
      </c>
      <c r="C3217" s="522"/>
      <c r="D3217" s="399" t="s">
        <v>356</v>
      </c>
      <c r="E3217" s="522">
        <v>201602</v>
      </c>
      <c r="F3217" s="431">
        <v>63350.25</v>
      </c>
      <c r="G3217" s="521">
        <v>2</v>
      </c>
      <c r="H3217" s="486">
        <v>3.1250000000000002E-3</v>
      </c>
      <c r="I3217" s="523">
        <v>395.94</v>
      </c>
      <c r="J3217" s="523">
        <v>2375.63</v>
      </c>
    </row>
    <row r="3218" spans="1:10" s="559" customFormat="1">
      <c r="A3218" s="399" t="s">
        <v>346</v>
      </c>
      <c r="B3218" s="522" t="s">
        <v>357</v>
      </c>
      <c r="C3218" s="522"/>
      <c r="D3218" s="399" t="s">
        <v>358</v>
      </c>
      <c r="E3218" s="522">
        <v>201602</v>
      </c>
      <c r="F3218" s="431">
        <v>2704.24</v>
      </c>
      <c r="G3218" s="521">
        <v>2</v>
      </c>
      <c r="H3218" s="486">
        <v>3.1250000000000002E-3</v>
      </c>
      <c r="I3218" s="523">
        <v>16.899999999999999</v>
      </c>
      <c r="J3218" s="523">
        <v>101.41</v>
      </c>
    </row>
    <row r="3219" spans="1:10" s="559" customFormat="1">
      <c r="A3219" s="399" t="s">
        <v>346</v>
      </c>
      <c r="B3219" s="522" t="s">
        <v>359</v>
      </c>
      <c r="C3219" s="522"/>
      <c r="D3219" s="399" t="s">
        <v>360</v>
      </c>
      <c r="E3219" s="522">
        <v>201602</v>
      </c>
      <c r="F3219" s="431">
        <v>495.83</v>
      </c>
      <c r="G3219" s="521">
        <v>2</v>
      </c>
      <c r="H3219" s="486">
        <v>3.1250000000000002E-3</v>
      </c>
      <c r="I3219" s="523">
        <v>3.1</v>
      </c>
      <c r="J3219" s="523">
        <v>18.59</v>
      </c>
    </row>
    <row r="3220" spans="1:10" s="559" customFormat="1">
      <c r="A3220" s="399" t="s">
        <v>346</v>
      </c>
      <c r="B3220" s="522" t="s">
        <v>361</v>
      </c>
      <c r="C3220" s="522"/>
      <c r="D3220" s="399" t="s">
        <v>362</v>
      </c>
      <c r="E3220" s="522">
        <v>201602</v>
      </c>
      <c r="F3220" s="431">
        <v>1411.97</v>
      </c>
      <c r="G3220" s="521">
        <v>2</v>
      </c>
      <c r="H3220" s="486">
        <v>3.1250000000000002E-3</v>
      </c>
      <c r="I3220" s="523">
        <v>8.82</v>
      </c>
      <c r="J3220" s="523">
        <v>52.95</v>
      </c>
    </row>
    <row r="3221" spans="1:10" s="559" customFormat="1">
      <c r="A3221" s="399" t="s">
        <v>346</v>
      </c>
      <c r="B3221" s="522" t="s">
        <v>365</v>
      </c>
      <c r="C3221" s="522"/>
      <c r="D3221" s="399" t="s">
        <v>366</v>
      </c>
      <c r="E3221" s="522">
        <v>201602</v>
      </c>
      <c r="F3221" s="431">
        <v>-169.76</v>
      </c>
      <c r="G3221" s="521">
        <v>2</v>
      </c>
      <c r="H3221" s="486">
        <v>3.1250000000000002E-3</v>
      </c>
      <c r="I3221" s="523">
        <v>-1.06</v>
      </c>
      <c r="J3221" s="523">
        <v>-6.37</v>
      </c>
    </row>
    <row r="3222" spans="1:10" s="559" customFormat="1">
      <c r="A3222" s="399" t="s">
        <v>346</v>
      </c>
      <c r="B3222" s="522" t="s">
        <v>367</v>
      </c>
      <c r="C3222" s="522"/>
      <c r="D3222" s="399" t="s">
        <v>368</v>
      </c>
      <c r="E3222" s="522">
        <v>201602</v>
      </c>
      <c r="F3222" s="431">
        <v>12973.14</v>
      </c>
      <c r="G3222" s="521">
        <v>2</v>
      </c>
      <c r="H3222" s="486">
        <v>3.1250000000000002E-3</v>
      </c>
      <c r="I3222" s="523">
        <v>81.08</v>
      </c>
      <c r="J3222" s="523">
        <v>486.49</v>
      </c>
    </row>
    <row r="3223" spans="1:10" s="559" customFormat="1">
      <c r="A3223" s="399" t="s">
        <v>346</v>
      </c>
      <c r="B3223" s="522" t="s">
        <v>585</v>
      </c>
      <c r="C3223" s="522"/>
      <c r="D3223" s="399" t="s">
        <v>586</v>
      </c>
      <c r="E3223" s="522">
        <v>201602</v>
      </c>
      <c r="F3223" s="431">
        <v>101.99</v>
      </c>
      <c r="G3223" s="521">
        <v>2</v>
      </c>
      <c r="H3223" s="486">
        <v>3.1250000000000002E-3</v>
      </c>
      <c r="I3223" s="523">
        <v>0.64</v>
      </c>
      <c r="J3223" s="523">
        <v>3.82</v>
      </c>
    </row>
    <row r="3224" spans="1:10" s="559" customFormat="1">
      <c r="A3224" s="399" t="s">
        <v>346</v>
      </c>
      <c r="B3224" s="522" t="s">
        <v>369</v>
      </c>
      <c r="C3224" s="522"/>
      <c r="D3224" s="399" t="s">
        <v>370</v>
      </c>
      <c r="E3224" s="522">
        <v>201602</v>
      </c>
      <c r="F3224" s="431">
        <v>5323.9</v>
      </c>
      <c r="G3224" s="521">
        <v>2</v>
      </c>
      <c r="H3224" s="486">
        <v>3.1250000000000002E-3</v>
      </c>
      <c r="I3224" s="523">
        <v>33.270000000000003</v>
      </c>
      <c r="J3224" s="523">
        <v>199.65</v>
      </c>
    </row>
    <row r="3225" spans="1:10" s="559" customFormat="1">
      <c r="A3225" s="399" t="s">
        <v>346</v>
      </c>
      <c r="B3225" s="522" t="s">
        <v>371</v>
      </c>
      <c r="C3225" s="522"/>
      <c r="D3225" s="399" t="s">
        <v>372</v>
      </c>
      <c r="E3225" s="522">
        <v>201602</v>
      </c>
      <c r="F3225" s="431">
        <v>0.13</v>
      </c>
      <c r="G3225" s="521">
        <v>2</v>
      </c>
      <c r="H3225" s="486">
        <v>3.1250000000000002E-3</v>
      </c>
      <c r="I3225" s="523">
        <v>0</v>
      </c>
      <c r="J3225" s="523">
        <v>0</v>
      </c>
    </row>
    <row r="3226" spans="1:10" s="559" customFormat="1">
      <c r="A3226" s="399" t="s">
        <v>346</v>
      </c>
      <c r="B3226" s="522" t="s">
        <v>375</v>
      </c>
      <c r="C3226" s="522"/>
      <c r="D3226" s="399" t="s">
        <v>376</v>
      </c>
      <c r="E3226" s="522">
        <v>201602</v>
      </c>
      <c r="F3226" s="431">
        <v>-3567.51</v>
      </c>
      <c r="G3226" s="521">
        <v>2</v>
      </c>
      <c r="H3226" s="486">
        <v>3.1250000000000002E-3</v>
      </c>
      <c r="I3226" s="523">
        <v>-22.3</v>
      </c>
      <c r="J3226" s="523">
        <v>-133.78</v>
      </c>
    </row>
    <row r="3227" spans="1:10" s="559" customFormat="1">
      <c r="A3227" s="399" t="s">
        <v>346</v>
      </c>
      <c r="B3227" s="522" t="s">
        <v>377</v>
      </c>
      <c r="C3227" s="522"/>
      <c r="D3227" s="399" t="s">
        <v>378</v>
      </c>
      <c r="E3227" s="522">
        <v>201602</v>
      </c>
      <c r="F3227" s="431">
        <v>65761.41</v>
      </c>
      <c r="G3227" s="521">
        <v>2</v>
      </c>
      <c r="H3227" s="486">
        <v>3.1250000000000002E-3</v>
      </c>
      <c r="I3227" s="523">
        <v>411.01</v>
      </c>
      <c r="J3227" s="523">
        <v>2466.0500000000002</v>
      </c>
    </row>
    <row r="3228" spans="1:10" s="559" customFormat="1">
      <c r="A3228" s="399" t="s">
        <v>346</v>
      </c>
      <c r="B3228" s="522" t="s">
        <v>379</v>
      </c>
      <c r="C3228" s="522"/>
      <c r="D3228" s="399" t="s">
        <v>380</v>
      </c>
      <c r="E3228" s="522">
        <v>201602</v>
      </c>
      <c r="F3228" s="431">
        <v>3493.07</v>
      </c>
      <c r="G3228" s="521">
        <v>2</v>
      </c>
      <c r="H3228" s="486">
        <v>3.1250000000000002E-3</v>
      </c>
      <c r="I3228" s="523">
        <v>21.83</v>
      </c>
      <c r="J3228" s="523">
        <v>130.99</v>
      </c>
    </row>
    <row r="3229" spans="1:10" s="559" customFormat="1">
      <c r="A3229" s="399" t="s">
        <v>346</v>
      </c>
      <c r="B3229" s="522" t="s">
        <v>383</v>
      </c>
      <c r="C3229" s="522"/>
      <c r="D3229" s="399" t="s">
        <v>384</v>
      </c>
      <c r="E3229" s="522">
        <v>201602</v>
      </c>
      <c r="F3229" s="431">
        <v>7151.26</v>
      </c>
      <c r="G3229" s="521">
        <v>2</v>
      </c>
      <c r="H3229" s="486">
        <v>3.1250000000000002E-3</v>
      </c>
      <c r="I3229" s="523">
        <v>44.7</v>
      </c>
      <c r="J3229" s="523">
        <v>268.17</v>
      </c>
    </row>
    <row r="3230" spans="1:10" s="559" customFormat="1">
      <c r="A3230" s="399" t="s">
        <v>346</v>
      </c>
      <c r="B3230" s="522" t="s">
        <v>385</v>
      </c>
      <c r="C3230" s="522"/>
      <c r="D3230" s="399" t="s">
        <v>386</v>
      </c>
      <c r="E3230" s="522">
        <v>201602</v>
      </c>
      <c r="F3230" s="431">
        <v>464057.11</v>
      </c>
      <c r="G3230" s="521">
        <v>2</v>
      </c>
      <c r="H3230" s="486">
        <v>3.1250000000000002E-3</v>
      </c>
      <c r="I3230" s="523">
        <v>2900.36</v>
      </c>
      <c r="J3230" s="523">
        <v>17402.14</v>
      </c>
    </row>
    <row r="3231" spans="1:10" s="559" customFormat="1">
      <c r="A3231" s="399" t="s">
        <v>346</v>
      </c>
      <c r="B3231" s="522" t="s">
        <v>387</v>
      </c>
      <c r="C3231" s="522"/>
      <c r="D3231" s="399" t="s">
        <v>388</v>
      </c>
      <c r="E3231" s="522">
        <v>201602</v>
      </c>
      <c r="F3231" s="431">
        <v>105666.6</v>
      </c>
      <c r="G3231" s="521">
        <v>2</v>
      </c>
      <c r="H3231" s="486">
        <v>3.1250000000000002E-3</v>
      </c>
      <c r="I3231" s="523">
        <v>660.42</v>
      </c>
      <c r="J3231" s="523">
        <v>3962.5</v>
      </c>
    </row>
    <row r="3232" spans="1:10" s="559" customFormat="1">
      <c r="A3232" s="399" t="s">
        <v>346</v>
      </c>
      <c r="B3232" s="522" t="s">
        <v>389</v>
      </c>
      <c r="C3232" s="522"/>
      <c r="D3232" s="399" t="s">
        <v>390</v>
      </c>
      <c r="E3232" s="522">
        <v>201602</v>
      </c>
      <c r="F3232" s="431">
        <v>19823.16</v>
      </c>
      <c r="G3232" s="521">
        <v>2</v>
      </c>
      <c r="H3232" s="486">
        <v>3.1250000000000002E-3</v>
      </c>
      <c r="I3232" s="523">
        <v>123.89</v>
      </c>
      <c r="J3232" s="523">
        <v>743.37</v>
      </c>
    </row>
    <row r="3233" spans="1:10" s="559" customFormat="1">
      <c r="A3233" s="399" t="s">
        <v>346</v>
      </c>
      <c r="B3233" s="522" t="s">
        <v>391</v>
      </c>
      <c r="C3233" s="522"/>
      <c r="D3233" s="399" t="s">
        <v>392</v>
      </c>
      <c r="E3233" s="522">
        <v>201602</v>
      </c>
      <c r="F3233" s="431">
        <v>466.65</v>
      </c>
      <c r="G3233" s="521">
        <v>2</v>
      </c>
      <c r="H3233" s="486">
        <v>3.1250000000000002E-3</v>
      </c>
      <c r="I3233" s="523">
        <v>2.92</v>
      </c>
      <c r="J3233" s="523">
        <v>17.5</v>
      </c>
    </row>
    <row r="3234" spans="1:10" s="559" customFormat="1">
      <c r="A3234" s="399" t="s">
        <v>346</v>
      </c>
      <c r="B3234" s="522" t="s">
        <v>393</v>
      </c>
      <c r="C3234" s="522"/>
      <c r="D3234" s="399" t="s">
        <v>394</v>
      </c>
      <c r="E3234" s="522">
        <v>201602</v>
      </c>
      <c r="F3234" s="431">
        <v>-6956.26</v>
      </c>
      <c r="G3234" s="521">
        <v>2</v>
      </c>
      <c r="H3234" s="486">
        <v>3.1250000000000002E-3</v>
      </c>
      <c r="I3234" s="523">
        <v>-43.48</v>
      </c>
      <c r="J3234" s="523">
        <v>-260.86</v>
      </c>
    </row>
    <row r="3235" spans="1:10" s="559" customFormat="1">
      <c r="A3235" s="399" t="s">
        <v>346</v>
      </c>
      <c r="B3235" s="522" t="s">
        <v>395</v>
      </c>
      <c r="C3235" s="522"/>
      <c r="D3235" s="399" t="s">
        <v>396</v>
      </c>
      <c r="E3235" s="522">
        <v>201602</v>
      </c>
      <c r="F3235" s="431">
        <v>-8509</v>
      </c>
      <c r="G3235" s="521">
        <v>2</v>
      </c>
      <c r="H3235" s="486">
        <v>3.1250000000000002E-3</v>
      </c>
      <c r="I3235" s="523">
        <v>-53.18</v>
      </c>
      <c r="J3235" s="523">
        <v>-319.08999999999997</v>
      </c>
    </row>
    <row r="3236" spans="1:10" s="559" customFormat="1">
      <c r="A3236" s="399" t="s">
        <v>346</v>
      </c>
      <c r="B3236" s="522" t="s">
        <v>546</v>
      </c>
      <c r="C3236" s="522"/>
      <c r="D3236" s="399" t="s">
        <v>547</v>
      </c>
      <c r="E3236" s="522">
        <v>201602</v>
      </c>
      <c r="F3236" s="431">
        <v>-1.48</v>
      </c>
      <c r="G3236" s="521">
        <v>2</v>
      </c>
      <c r="H3236" s="486">
        <v>3.1250000000000002E-3</v>
      </c>
      <c r="I3236" s="523">
        <v>-0.01</v>
      </c>
      <c r="J3236" s="523">
        <v>-0.06</v>
      </c>
    </row>
    <row r="3237" spans="1:10" s="559" customFormat="1">
      <c r="A3237" s="399" t="s">
        <v>346</v>
      </c>
      <c r="B3237" s="522" t="s">
        <v>589</v>
      </c>
      <c r="C3237" s="522"/>
      <c r="D3237" s="399" t="s">
        <v>590</v>
      </c>
      <c r="E3237" s="522">
        <v>201602</v>
      </c>
      <c r="F3237" s="431">
        <v>-16705.490000000002</v>
      </c>
      <c r="G3237" s="521">
        <v>2</v>
      </c>
      <c r="H3237" s="486">
        <v>3.1250000000000002E-3</v>
      </c>
      <c r="I3237" s="523">
        <v>-104.41</v>
      </c>
      <c r="J3237" s="523">
        <v>-626.46</v>
      </c>
    </row>
    <row r="3238" spans="1:10" s="559" customFormat="1">
      <c r="A3238" s="399" t="s">
        <v>346</v>
      </c>
      <c r="B3238" s="522" t="s">
        <v>643</v>
      </c>
      <c r="C3238" s="522"/>
      <c r="D3238" s="399" t="s">
        <v>644</v>
      </c>
      <c r="E3238" s="522">
        <v>201602</v>
      </c>
      <c r="F3238" s="431">
        <v>1823.25</v>
      </c>
      <c r="G3238" s="521">
        <v>2</v>
      </c>
      <c r="H3238" s="486">
        <v>3.1250000000000002E-3</v>
      </c>
      <c r="I3238" s="523">
        <v>11.4</v>
      </c>
      <c r="J3238" s="523">
        <v>68.37</v>
      </c>
    </row>
    <row r="3239" spans="1:10" s="559" customFormat="1">
      <c r="A3239" s="399" t="s">
        <v>346</v>
      </c>
      <c r="B3239" s="522" t="s">
        <v>800</v>
      </c>
      <c r="C3239" s="522"/>
      <c r="D3239" s="399" t="s">
        <v>1085</v>
      </c>
      <c r="E3239" s="522">
        <v>201602</v>
      </c>
      <c r="F3239" s="431">
        <v>3775.97</v>
      </c>
      <c r="G3239" s="521">
        <v>2</v>
      </c>
      <c r="H3239" s="486">
        <v>3.1250000000000002E-3</v>
      </c>
      <c r="I3239" s="523">
        <v>23.6</v>
      </c>
      <c r="J3239" s="523">
        <v>141.6</v>
      </c>
    </row>
    <row r="3240" spans="1:10" s="559" customFormat="1">
      <c r="A3240" s="399" t="s">
        <v>346</v>
      </c>
      <c r="B3240" s="522" t="s">
        <v>451</v>
      </c>
      <c r="C3240" s="522"/>
      <c r="D3240" s="399" t="s">
        <v>452</v>
      </c>
      <c r="E3240" s="522">
        <v>201602</v>
      </c>
      <c r="F3240" s="431">
        <v>-0.05</v>
      </c>
      <c r="G3240" s="521">
        <v>2</v>
      </c>
      <c r="H3240" s="486">
        <v>3.1250000000000002E-3</v>
      </c>
      <c r="I3240" s="523">
        <v>0</v>
      </c>
      <c r="J3240" s="523">
        <v>0</v>
      </c>
    </row>
    <row r="3241" spans="1:10" s="559" customFormat="1">
      <c r="A3241" s="399" t="s">
        <v>346</v>
      </c>
      <c r="B3241" s="522" t="s">
        <v>645</v>
      </c>
      <c r="C3241" s="522"/>
      <c r="D3241" s="399" t="s">
        <v>646</v>
      </c>
      <c r="E3241" s="522">
        <v>201602</v>
      </c>
      <c r="F3241" s="431">
        <v>-3.04</v>
      </c>
      <c r="G3241" s="521">
        <v>2</v>
      </c>
      <c r="H3241" s="486">
        <v>3.1250000000000002E-3</v>
      </c>
      <c r="I3241" s="523">
        <v>-0.02</v>
      </c>
      <c r="J3241" s="523">
        <v>-0.11</v>
      </c>
    </row>
    <row r="3242" spans="1:10" s="559" customFormat="1">
      <c r="A3242" s="399" t="s">
        <v>346</v>
      </c>
      <c r="B3242" s="522" t="s">
        <v>647</v>
      </c>
      <c r="C3242" s="522"/>
      <c r="D3242" s="399" t="s">
        <v>648</v>
      </c>
      <c r="E3242" s="522">
        <v>201602</v>
      </c>
      <c r="F3242" s="431">
        <v>77.349999999999994</v>
      </c>
      <c r="G3242" s="521">
        <v>2</v>
      </c>
      <c r="H3242" s="486">
        <v>3.1250000000000002E-3</v>
      </c>
      <c r="I3242" s="523">
        <v>0.48</v>
      </c>
      <c r="J3242" s="523">
        <v>2.9</v>
      </c>
    </row>
    <row r="3243" spans="1:10" s="559" customFormat="1">
      <c r="A3243" s="399" t="s">
        <v>346</v>
      </c>
      <c r="B3243" s="522" t="s">
        <v>784</v>
      </c>
      <c r="C3243" s="522"/>
      <c r="D3243" s="399" t="s">
        <v>785</v>
      </c>
      <c r="E3243" s="522">
        <v>201602</v>
      </c>
      <c r="F3243" s="431">
        <v>2531.83</v>
      </c>
      <c r="G3243" s="521">
        <v>2</v>
      </c>
      <c r="H3243" s="486">
        <v>3.1250000000000002E-3</v>
      </c>
      <c r="I3243" s="523">
        <v>15.82</v>
      </c>
      <c r="J3243" s="523">
        <v>94.94</v>
      </c>
    </row>
    <row r="3244" spans="1:10" s="559" customFormat="1">
      <c r="A3244" s="399" t="s">
        <v>346</v>
      </c>
      <c r="B3244" s="522" t="s">
        <v>629</v>
      </c>
      <c r="C3244" s="522"/>
      <c r="D3244" s="399" t="s">
        <v>630</v>
      </c>
      <c r="E3244" s="522">
        <v>201602</v>
      </c>
      <c r="F3244" s="431">
        <v>166058.32</v>
      </c>
      <c r="G3244" s="521">
        <v>2</v>
      </c>
      <c r="H3244" s="486">
        <v>3.1250000000000002E-3</v>
      </c>
      <c r="I3244" s="523">
        <v>1037.8599999999999</v>
      </c>
      <c r="J3244" s="523">
        <v>6227.19</v>
      </c>
    </row>
    <row r="3245" spans="1:10" s="559" customFormat="1">
      <c r="A3245" s="399" t="s">
        <v>346</v>
      </c>
      <c r="B3245" s="522" t="s">
        <v>649</v>
      </c>
      <c r="C3245" s="522"/>
      <c r="D3245" s="399" t="s">
        <v>650</v>
      </c>
      <c r="E3245" s="522">
        <v>201602</v>
      </c>
      <c r="F3245" s="431">
        <v>48887.67</v>
      </c>
      <c r="G3245" s="521">
        <v>2</v>
      </c>
      <c r="H3245" s="486">
        <v>3.1250000000000002E-3</v>
      </c>
      <c r="I3245" s="523">
        <v>305.55</v>
      </c>
      <c r="J3245" s="523">
        <v>1833.29</v>
      </c>
    </row>
    <row r="3246" spans="1:10" s="559" customFormat="1">
      <c r="A3246" s="399" t="s">
        <v>346</v>
      </c>
      <c r="B3246" s="522" t="s">
        <v>651</v>
      </c>
      <c r="C3246" s="522"/>
      <c r="D3246" s="399" t="s">
        <v>652</v>
      </c>
      <c r="E3246" s="522">
        <v>201602</v>
      </c>
      <c r="F3246" s="431">
        <v>9928.43</v>
      </c>
      <c r="G3246" s="521">
        <v>2</v>
      </c>
      <c r="H3246" s="486">
        <v>3.1250000000000002E-3</v>
      </c>
      <c r="I3246" s="523">
        <v>62.05</v>
      </c>
      <c r="J3246" s="523">
        <v>372.32</v>
      </c>
    </row>
    <row r="3247" spans="1:10" s="559" customFormat="1">
      <c r="A3247" s="399" t="s">
        <v>346</v>
      </c>
      <c r="B3247" s="522" t="s">
        <v>786</v>
      </c>
      <c r="C3247" s="522"/>
      <c r="D3247" s="399" t="s">
        <v>787</v>
      </c>
      <c r="E3247" s="522">
        <v>201602</v>
      </c>
      <c r="F3247" s="431">
        <v>34810.199999999997</v>
      </c>
      <c r="G3247" s="521">
        <v>2</v>
      </c>
      <c r="H3247" s="486">
        <v>3.1250000000000002E-3</v>
      </c>
      <c r="I3247" s="523">
        <v>217.56</v>
      </c>
      <c r="J3247" s="523">
        <v>1305.3800000000001</v>
      </c>
    </row>
    <row r="3248" spans="1:10" s="559" customFormat="1">
      <c r="A3248" s="399" t="s">
        <v>346</v>
      </c>
      <c r="B3248" s="522" t="s">
        <v>653</v>
      </c>
      <c r="C3248" s="522"/>
      <c r="D3248" s="399" t="s">
        <v>654</v>
      </c>
      <c r="E3248" s="522">
        <v>201602</v>
      </c>
      <c r="F3248" s="431">
        <v>18238.52</v>
      </c>
      <c r="G3248" s="521">
        <v>2</v>
      </c>
      <c r="H3248" s="486">
        <v>3.1250000000000002E-3</v>
      </c>
      <c r="I3248" s="523">
        <v>113.99</v>
      </c>
      <c r="J3248" s="523">
        <v>683.94</v>
      </c>
    </row>
    <row r="3249" spans="1:10" s="559" customFormat="1">
      <c r="A3249" s="399" t="s">
        <v>346</v>
      </c>
      <c r="B3249" s="522" t="s">
        <v>655</v>
      </c>
      <c r="C3249" s="522"/>
      <c r="D3249" s="399" t="s">
        <v>656</v>
      </c>
      <c r="E3249" s="522">
        <v>201602</v>
      </c>
      <c r="F3249" s="431">
        <v>20.18</v>
      </c>
      <c r="G3249" s="521">
        <v>2</v>
      </c>
      <c r="H3249" s="486">
        <v>3.1250000000000002E-3</v>
      </c>
      <c r="I3249" s="523">
        <v>0.13</v>
      </c>
      <c r="J3249" s="523">
        <v>0.76</v>
      </c>
    </row>
    <row r="3250" spans="1:10" s="559" customFormat="1">
      <c r="A3250" s="399" t="s">
        <v>346</v>
      </c>
      <c r="B3250" s="522" t="s">
        <v>594</v>
      </c>
      <c r="C3250" s="522"/>
      <c r="D3250" s="399" t="s">
        <v>595</v>
      </c>
      <c r="E3250" s="522">
        <v>201602</v>
      </c>
      <c r="F3250" s="431">
        <v>3.69</v>
      </c>
      <c r="G3250" s="521">
        <v>2</v>
      </c>
      <c r="H3250" s="486">
        <v>3.1250000000000002E-3</v>
      </c>
      <c r="I3250" s="523">
        <v>0.02</v>
      </c>
      <c r="J3250" s="523">
        <v>0.14000000000000001</v>
      </c>
    </row>
    <row r="3251" spans="1:10" s="559" customFormat="1">
      <c r="A3251" s="399" t="s">
        <v>346</v>
      </c>
      <c r="B3251" s="522" t="s">
        <v>596</v>
      </c>
      <c r="C3251" s="522"/>
      <c r="D3251" s="399" t="s">
        <v>597</v>
      </c>
      <c r="E3251" s="522">
        <v>201602</v>
      </c>
      <c r="F3251" s="431">
        <v>0.24</v>
      </c>
      <c r="G3251" s="521">
        <v>2</v>
      </c>
      <c r="H3251" s="486">
        <v>3.1250000000000002E-3</v>
      </c>
      <c r="I3251" s="523">
        <v>0</v>
      </c>
      <c r="J3251" s="523">
        <v>0.01</v>
      </c>
    </row>
    <row r="3252" spans="1:10" s="559" customFormat="1">
      <c r="A3252" s="399" t="s">
        <v>346</v>
      </c>
      <c r="B3252" s="522" t="s">
        <v>657</v>
      </c>
      <c r="C3252" s="522"/>
      <c r="D3252" s="399" t="s">
        <v>658</v>
      </c>
      <c r="E3252" s="522">
        <v>201602</v>
      </c>
      <c r="F3252" s="431">
        <v>-8.24</v>
      </c>
      <c r="G3252" s="521">
        <v>2</v>
      </c>
      <c r="H3252" s="486">
        <v>3.1250000000000002E-3</v>
      </c>
      <c r="I3252" s="523">
        <v>-0.05</v>
      </c>
      <c r="J3252" s="523">
        <v>-0.31</v>
      </c>
    </row>
    <row r="3253" spans="1:10" s="559" customFormat="1">
      <c r="A3253" s="399" t="s">
        <v>346</v>
      </c>
      <c r="B3253" s="522" t="s">
        <v>661</v>
      </c>
      <c r="C3253" s="522"/>
      <c r="D3253" s="399" t="s">
        <v>662</v>
      </c>
      <c r="E3253" s="522">
        <v>201602</v>
      </c>
      <c r="F3253" s="431">
        <v>79101.87</v>
      </c>
      <c r="G3253" s="521">
        <v>2</v>
      </c>
      <c r="H3253" s="486">
        <v>3.1250000000000002E-3</v>
      </c>
      <c r="I3253" s="523">
        <v>494.39</v>
      </c>
      <c r="J3253" s="523">
        <v>2966.32</v>
      </c>
    </row>
    <row r="3254" spans="1:10" s="559" customFormat="1">
      <c r="A3254" s="399" t="s">
        <v>346</v>
      </c>
      <c r="B3254" s="522" t="s">
        <v>663</v>
      </c>
      <c r="C3254" s="522"/>
      <c r="D3254" s="399" t="s">
        <v>664</v>
      </c>
      <c r="E3254" s="522">
        <v>201602</v>
      </c>
      <c r="F3254" s="431">
        <v>-8520.73</v>
      </c>
      <c r="G3254" s="521">
        <v>2</v>
      </c>
      <c r="H3254" s="486">
        <v>3.1250000000000002E-3</v>
      </c>
      <c r="I3254" s="523">
        <v>-53.25</v>
      </c>
      <c r="J3254" s="523">
        <v>-319.52999999999997</v>
      </c>
    </row>
    <row r="3255" spans="1:10" s="559" customFormat="1">
      <c r="A3255" s="399" t="s">
        <v>346</v>
      </c>
      <c r="B3255" s="522" t="s">
        <v>665</v>
      </c>
      <c r="C3255" s="522"/>
      <c r="D3255" s="399" t="s">
        <v>666</v>
      </c>
      <c r="E3255" s="522">
        <v>201602</v>
      </c>
      <c r="F3255" s="431">
        <v>-44362.12</v>
      </c>
      <c r="G3255" s="521">
        <v>2</v>
      </c>
      <c r="H3255" s="486">
        <v>3.1250000000000002E-3</v>
      </c>
      <c r="I3255" s="523">
        <v>-277.26</v>
      </c>
      <c r="J3255" s="523">
        <v>-1663.58</v>
      </c>
    </row>
    <row r="3256" spans="1:10" s="559" customFormat="1">
      <c r="A3256" s="399" t="s">
        <v>346</v>
      </c>
      <c r="B3256" s="522" t="s">
        <v>801</v>
      </c>
      <c r="C3256" s="522"/>
      <c r="D3256" s="399" t="s">
        <v>802</v>
      </c>
      <c r="E3256" s="522">
        <v>201602</v>
      </c>
      <c r="F3256" s="431">
        <v>261398.68</v>
      </c>
      <c r="G3256" s="521">
        <v>2</v>
      </c>
      <c r="H3256" s="486">
        <v>3.1250000000000002E-3</v>
      </c>
      <c r="I3256" s="523">
        <v>1633.74</v>
      </c>
      <c r="J3256" s="523">
        <v>9802.4500000000007</v>
      </c>
    </row>
    <row r="3257" spans="1:10" s="559" customFormat="1">
      <c r="A3257" s="399" t="s">
        <v>346</v>
      </c>
      <c r="B3257" s="522" t="s">
        <v>803</v>
      </c>
      <c r="C3257" s="522"/>
      <c r="D3257" s="399" t="s">
        <v>804</v>
      </c>
      <c r="E3257" s="522">
        <v>201602</v>
      </c>
      <c r="F3257" s="431">
        <v>186014.98</v>
      </c>
      <c r="G3257" s="521">
        <v>2</v>
      </c>
      <c r="H3257" s="486">
        <v>3.1250000000000002E-3</v>
      </c>
      <c r="I3257" s="523">
        <v>1162.5899999999999</v>
      </c>
      <c r="J3257" s="523">
        <v>6975.56</v>
      </c>
    </row>
    <row r="3258" spans="1:10" s="559" customFormat="1">
      <c r="A3258" s="399" t="s">
        <v>346</v>
      </c>
      <c r="B3258" s="522" t="s">
        <v>805</v>
      </c>
      <c r="C3258" s="522"/>
      <c r="D3258" s="399" t="s">
        <v>806</v>
      </c>
      <c r="E3258" s="522">
        <v>201602</v>
      </c>
      <c r="F3258" s="431">
        <v>206383.74</v>
      </c>
      <c r="G3258" s="521">
        <v>2</v>
      </c>
      <c r="H3258" s="486">
        <v>3.1250000000000002E-3</v>
      </c>
      <c r="I3258" s="523">
        <v>1289.9000000000001</v>
      </c>
      <c r="J3258" s="523">
        <v>7739.39</v>
      </c>
    </row>
    <row r="3259" spans="1:10" s="559" customFormat="1">
      <c r="A3259" s="399" t="s">
        <v>346</v>
      </c>
      <c r="B3259" s="522" t="s">
        <v>598</v>
      </c>
      <c r="C3259" s="522"/>
      <c r="D3259" s="399" t="s">
        <v>599</v>
      </c>
      <c r="E3259" s="522">
        <v>201602</v>
      </c>
      <c r="F3259" s="431">
        <v>-25.43</v>
      </c>
      <c r="G3259" s="521">
        <v>2</v>
      </c>
      <c r="H3259" s="486">
        <v>3.1250000000000002E-3</v>
      </c>
      <c r="I3259" s="523">
        <v>-0.16</v>
      </c>
      <c r="J3259" s="523">
        <v>-0.95</v>
      </c>
    </row>
    <row r="3260" spans="1:10" s="559" customFormat="1">
      <c r="A3260" s="399" t="s">
        <v>346</v>
      </c>
      <c r="B3260" s="522" t="s">
        <v>600</v>
      </c>
      <c r="C3260" s="522"/>
      <c r="D3260" s="399" t="s">
        <v>601</v>
      </c>
      <c r="E3260" s="522">
        <v>201602</v>
      </c>
      <c r="F3260" s="431">
        <v>0.26</v>
      </c>
      <c r="G3260" s="521">
        <v>2</v>
      </c>
      <c r="H3260" s="486">
        <v>3.1250000000000002E-3</v>
      </c>
      <c r="I3260" s="523">
        <v>0</v>
      </c>
      <c r="J3260" s="523">
        <v>0.01</v>
      </c>
    </row>
    <row r="3261" spans="1:10" s="559" customFormat="1">
      <c r="A3261" s="399" t="s">
        <v>346</v>
      </c>
      <c r="B3261" s="522" t="s">
        <v>554</v>
      </c>
      <c r="C3261" s="522"/>
      <c r="D3261" s="399" t="s">
        <v>555</v>
      </c>
      <c r="E3261" s="522">
        <v>201602</v>
      </c>
      <c r="F3261" s="431">
        <v>0.04</v>
      </c>
      <c r="G3261" s="521">
        <v>2</v>
      </c>
      <c r="H3261" s="486">
        <v>3.1250000000000002E-3</v>
      </c>
      <c r="I3261" s="523">
        <v>0</v>
      </c>
      <c r="J3261" s="523">
        <v>0</v>
      </c>
    </row>
    <row r="3262" spans="1:10" s="559" customFormat="1">
      <c r="A3262" s="399" t="s">
        <v>346</v>
      </c>
      <c r="B3262" s="522" t="s">
        <v>556</v>
      </c>
      <c r="C3262" s="522"/>
      <c r="D3262" s="399" t="s">
        <v>557</v>
      </c>
      <c r="E3262" s="522">
        <v>201602</v>
      </c>
      <c r="F3262" s="431">
        <v>11.37</v>
      </c>
      <c r="G3262" s="521">
        <v>2</v>
      </c>
      <c r="H3262" s="486">
        <v>3.1250000000000002E-3</v>
      </c>
      <c r="I3262" s="523">
        <v>7.0000000000000007E-2</v>
      </c>
      <c r="J3262" s="523">
        <v>0.43</v>
      </c>
    </row>
    <row r="3263" spans="1:10" s="559" customFormat="1">
      <c r="A3263" s="399" t="s">
        <v>346</v>
      </c>
      <c r="B3263" s="522" t="s">
        <v>560</v>
      </c>
      <c r="C3263" s="522"/>
      <c r="D3263" s="399" t="s">
        <v>561</v>
      </c>
      <c r="E3263" s="522">
        <v>201602</v>
      </c>
      <c r="F3263" s="431">
        <v>-0.12</v>
      </c>
      <c r="G3263" s="521">
        <v>2</v>
      </c>
      <c r="H3263" s="486">
        <v>3.1250000000000002E-3</v>
      </c>
      <c r="I3263" s="523">
        <v>0</v>
      </c>
      <c r="J3263" s="523">
        <v>0</v>
      </c>
    </row>
    <row r="3264" spans="1:10" s="559" customFormat="1">
      <c r="A3264" s="399" t="s">
        <v>346</v>
      </c>
      <c r="B3264" s="522" t="s">
        <v>562</v>
      </c>
      <c r="C3264" s="522"/>
      <c r="D3264" s="399" t="s">
        <v>563</v>
      </c>
      <c r="E3264" s="522">
        <v>201602</v>
      </c>
      <c r="F3264" s="431">
        <v>3.5</v>
      </c>
      <c r="G3264" s="521">
        <v>2</v>
      </c>
      <c r="H3264" s="486">
        <v>3.1250000000000002E-3</v>
      </c>
      <c r="I3264" s="523">
        <v>0.02</v>
      </c>
      <c r="J3264" s="523">
        <v>0.13</v>
      </c>
    </row>
    <row r="3265" spans="1:10" s="559" customFormat="1">
      <c r="A3265" s="399" t="s">
        <v>346</v>
      </c>
      <c r="B3265" s="522" t="s">
        <v>602</v>
      </c>
      <c r="C3265" s="522"/>
      <c r="D3265" s="399" t="s">
        <v>603</v>
      </c>
      <c r="E3265" s="522">
        <v>201602</v>
      </c>
      <c r="F3265" s="431">
        <v>21.69</v>
      </c>
      <c r="G3265" s="521">
        <v>2</v>
      </c>
      <c r="H3265" s="486">
        <v>3.1250000000000002E-3</v>
      </c>
      <c r="I3265" s="523">
        <v>0.14000000000000001</v>
      </c>
      <c r="J3265" s="523">
        <v>0.81</v>
      </c>
    </row>
    <row r="3266" spans="1:10" s="559" customFormat="1">
      <c r="A3266" s="399" t="s">
        <v>346</v>
      </c>
      <c r="B3266" s="522" t="s">
        <v>810</v>
      </c>
      <c r="C3266" s="522"/>
      <c r="D3266" s="399" t="s">
        <v>811</v>
      </c>
      <c r="E3266" s="522">
        <v>201602</v>
      </c>
      <c r="F3266" s="431">
        <v>768132.56</v>
      </c>
      <c r="G3266" s="521">
        <v>2</v>
      </c>
      <c r="H3266" s="486">
        <v>3.1250000000000002E-3</v>
      </c>
      <c r="I3266" s="523">
        <v>4800.83</v>
      </c>
      <c r="J3266" s="523">
        <v>28804.97</v>
      </c>
    </row>
    <row r="3267" spans="1:10" s="559" customFormat="1">
      <c r="A3267" s="399" t="s">
        <v>346</v>
      </c>
      <c r="B3267" s="522" t="s">
        <v>788</v>
      </c>
      <c r="C3267" s="522"/>
      <c r="D3267" s="399" t="s">
        <v>789</v>
      </c>
      <c r="E3267" s="522">
        <v>201602</v>
      </c>
      <c r="F3267" s="431">
        <v>248.54</v>
      </c>
      <c r="G3267" s="521">
        <v>2</v>
      </c>
      <c r="H3267" s="486">
        <v>3.1250000000000002E-3</v>
      </c>
      <c r="I3267" s="523">
        <v>1.55</v>
      </c>
      <c r="J3267" s="523">
        <v>9.32</v>
      </c>
    </row>
    <row r="3268" spans="1:10" s="559" customFormat="1">
      <c r="A3268" s="399" t="s">
        <v>346</v>
      </c>
      <c r="B3268" s="522" t="s">
        <v>564</v>
      </c>
      <c r="C3268" s="522"/>
      <c r="D3268" s="399" t="s">
        <v>669</v>
      </c>
      <c r="E3268" s="522">
        <v>201602</v>
      </c>
      <c r="F3268" s="431">
        <v>-7.0000000000000007E-2</v>
      </c>
      <c r="G3268" s="521">
        <v>2</v>
      </c>
      <c r="H3268" s="486">
        <v>3.1250000000000002E-3</v>
      </c>
      <c r="I3268" s="523">
        <v>0</v>
      </c>
      <c r="J3268" s="523">
        <v>0</v>
      </c>
    </row>
    <row r="3269" spans="1:10" s="559" customFormat="1">
      <c r="A3269" s="399" t="s">
        <v>346</v>
      </c>
      <c r="B3269" s="522" t="s">
        <v>829</v>
      </c>
      <c r="C3269" s="522"/>
      <c r="D3269" s="399" t="s">
        <v>1087</v>
      </c>
      <c r="E3269" s="522">
        <v>201602</v>
      </c>
      <c r="F3269" s="431">
        <v>203346.1</v>
      </c>
      <c r="G3269" s="521">
        <v>2</v>
      </c>
      <c r="H3269" s="486">
        <v>3.1250000000000002E-3</v>
      </c>
      <c r="I3269" s="523">
        <v>1270.9100000000001</v>
      </c>
      <c r="J3269" s="523">
        <v>7625.48</v>
      </c>
    </row>
    <row r="3270" spans="1:10" s="559" customFormat="1">
      <c r="A3270" s="399" t="s">
        <v>346</v>
      </c>
      <c r="B3270" s="522" t="s">
        <v>604</v>
      </c>
      <c r="C3270" s="522"/>
      <c r="D3270" s="399" t="s">
        <v>605</v>
      </c>
      <c r="E3270" s="522">
        <v>201602</v>
      </c>
      <c r="F3270" s="431">
        <v>-10544.48</v>
      </c>
      <c r="G3270" s="521">
        <v>2</v>
      </c>
      <c r="H3270" s="486">
        <v>3.1250000000000002E-3</v>
      </c>
      <c r="I3270" s="523">
        <v>-65.900000000000006</v>
      </c>
      <c r="J3270" s="523">
        <v>-395.42</v>
      </c>
    </row>
    <row r="3271" spans="1:10" s="559" customFormat="1">
      <c r="A3271" s="399" t="s">
        <v>346</v>
      </c>
      <c r="B3271" s="522" t="s">
        <v>606</v>
      </c>
      <c r="C3271" s="522"/>
      <c r="D3271" s="399" t="s">
        <v>607</v>
      </c>
      <c r="E3271" s="522">
        <v>201602</v>
      </c>
      <c r="F3271" s="431">
        <v>0.95</v>
      </c>
      <c r="G3271" s="521">
        <v>2</v>
      </c>
      <c r="H3271" s="486">
        <v>3.1250000000000002E-3</v>
      </c>
      <c r="I3271" s="523">
        <v>0.01</v>
      </c>
      <c r="J3271" s="523">
        <v>0.04</v>
      </c>
    </row>
    <row r="3272" spans="1:10" s="559" customFormat="1">
      <c r="A3272" s="399" t="s">
        <v>346</v>
      </c>
      <c r="B3272" s="522" t="s">
        <v>608</v>
      </c>
      <c r="C3272" s="522"/>
      <c r="D3272" s="399" t="s">
        <v>609</v>
      </c>
      <c r="E3272" s="522">
        <v>201602</v>
      </c>
      <c r="F3272" s="431">
        <v>10.44</v>
      </c>
      <c r="G3272" s="521">
        <v>2</v>
      </c>
      <c r="H3272" s="486">
        <v>3.1250000000000002E-3</v>
      </c>
      <c r="I3272" s="523">
        <v>7.0000000000000007E-2</v>
      </c>
      <c r="J3272" s="523">
        <v>0.39</v>
      </c>
    </row>
    <row r="3273" spans="1:10" s="559" customFormat="1">
      <c r="A3273" s="399" t="s">
        <v>346</v>
      </c>
      <c r="B3273" s="522" t="s">
        <v>565</v>
      </c>
      <c r="C3273" s="522"/>
      <c r="D3273" s="399" t="s">
        <v>566</v>
      </c>
      <c r="E3273" s="522">
        <v>201602</v>
      </c>
      <c r="F3273" s="431">
        <v>0.02</v>
      </c>
      <c r="G3273" s="521">
        <v>2</v>
      </c>
      <c r="H3273" s="486">
        <v>3.1250000000000002E-3</v>
      </c>
      <c r="I3273" s="523">
        <v>0</v>
      </c>
      <c r="J3273" s="523">
        <v>0</v>
      </c>
    </row>
    <row r="3274" spans="1:10" s="559" customFormat="1">
      <c r="A3274" s="399" t="s">
        <v>346</v>
      </c>
      <c r="B3274" s="522" t="s">
        <v>610</v>
      </c>
      <c r="C3274" s="522"/>
      <c r="D3274" s="399" t="s">
        <v>611</v>
      </c>
      <c r="E3274" s="522">
        <v>201602</v>
      </c>
      <c r="F3274" s="431">
        <v>0.39</v>
      </c>
      <c r="G3274" s="521">
        <v>2</v>
      </c>
      <c r="H3274" s="486">
        <v>3.1250000000000002E-3</v>
      </c>
      <c r="I3274" s="523">
        <v>0</v>
      </c>
      <c r="J3274" s="523">
        <v>0.01</v>
      </c>
    </row>
    <row r="3275" spans="1:10" s="559" customFormat="1">
      <c r="A3275" s="399" t="s">
        <v>346</v>
      </c>
      <c r="B3275" s="522" t="s">
        <v>814</v>
      </c>
      <c r="C3275" s="522"/>
      <c r="D3275" s="399" t="s">
        <v>815</v>
      </c>
      <c r="E3275" s="522">
        <v>201602</v>
      </c>
      <c r="F3275" s="431">
        <v>242055.84</v>
      </c>
      <c r="G3275" s="521">
        <v>2</v>
      </c>
      <c r="H3275" s="486">
        <v>3.1250000000000002E-3</v>
      </c>
      <c r="I3275" s="523">
        <v>1512.85</v>
      </c>
      <c r="J3275" s="523">
        <v>9077.09</v>
      </c>
    </row>
    <row r="3276" spans="1:10" s="559" customFormat="1">
      <c r="A3276" s="399" t="s">
        <v>346</v>
      </c>
      <c r="B3276" s="522" t="s">
        <v>674</v>
      </c>
      <c r="C3276" s="522"/>
      <c r="D3276" s="399" t="s">
        <v>675</v>
      </c>
      <c r="E3276" s="522">
        <v>201602</v>
      </c>
      <c r="F3276" s="431">
        <v>17268.87</v>
      </c>
      <c r="G3276" s="521">
        <v>2</v>
      </c>
      <c r="H3276" s="486">
        <v>3.1250000000000002E-3</v>
      </c>
      <c r="I3276" s="523">
        <v>107.93</v>
      </c>
      <c r="J3276" s="523">
        <v>647.58000000000004</v>
      </c>
    </row>
    <row r="3277" spans="1:10" s="559" customFormat="1">
      <c r="A3277" s="399" t="s">
        <v>346</v>
      </c>
      <c r="B3277" s="522" t="s">
        <v>790</v>
      </c>
      <c r="C3277" s="522"/>
      <c r="D3277" s="399" t="s">
        <v>791</v>
      </c>
      <c r="E3277" s="522">
        <v>201602</v>
      </c>
      <c r="F3277" s="431">
        <v>1310.6300000000001</v>
      </c>
      <c r="G3277" s="521">
        <v>2</v>
      </c>
      <c r="H3277" s="486">
        <v>3.1250000000000002E-3</v>
      </c>
      <c r="I3277" s="523">
        <v>8.19</v>
      </c>
      <c r="J3277" s="523">
        <v>49.15</v>
      </c>
    </row>
    <row r="3278" spans="1:10" s="559" customFormat="1">
      <c r="A3278" s="399" t="s">
        <v>346</v>
      </c>
      <c r="B3278" s="522" t="s">
        <v>678</v>
      </c>
      <c r="C3278" s="522"/>
      <c r="D3278" s="399" t="s">
        <v>679</v>
      </c>
      <c r="E3278" s="522">
        <v>201602</v>
      </c>
      <c r="F3278" s="431">
        <v>5382.34</v>
      </c>
      <c r="G3278" s="521">
        <v>2</v>
      </c>
      <c r="H3278" s="486">
        <v>3.1250000000000002E-3</v>
      </c>
      <c r="I3278" s="523">
        <v>33.64</v>
      </c>
      <c r="J3278" s="523">
        <v>201.84</v>
      </c>
    </row>
    <row r="3279" spans="1:10" s="559" customFormat="1">
      <c r="A3279" s="399" t="s">
        <v>346</v>
      </c>
      <c r="B3279" s="522" t="s">
        <v>680</v>
      </c>
      <c r="C3279" s="522"/>
      <c r="D3279" s="399" t="s">
        <v>681</v>
      </c>
      <c r="E3279" s="522">
        <v>201602</v>
      </c>
      <c r="F3279" s="431">
        <v>80.319999999999993</v>
      </c>
      <c r="G3279" s="521">
        <v>2</v>
      </c>
      <c r="H3279" s="486">
        <v>3.1250000000000002E-3</v>
      </c>
      <c r="I3279" s="523">
        <v>0.5</v>
      </c>
      <c r="J3279" s="523">
        <v>3.01</v>
      </c>
    </row>
    <row r="3280" spans="1:10" s="559" customFormat="1">
      <c r="A3280" s="399" t="s">
        <v>346</v>
      </c>
      <c r="B3280" s="522" t="s">
        <v>612</v>
      </c>
      <c r="C3280" s="522"/>
      <c r="D3280" s="399" t="s">
        <v>613</v>
      </c>
      <c r="E3280" s="522">
        <v>201602</v>
      </c>
      <c r="F3280" s="431">
        <v>185.16</v>
      </c>
      <c r="G3280" s="521">
        <v>2</v>
      </c>
      <c r="H3280" s="486">
        <v>3.1250000000000002E-3</v>
      </c>
      <c r="I3280" s="523">
        <v>1.1599999999999999</v>
      </c>
      <c r="J3280" s="523">
        <v>6.94</v>
      </c>
    </row>
    <row r="3281" spans="1:10" s="559" customFormat="1">
      <c r="A3281" s="399" t="s">
        <v>346</v>
      </c>
      <c r="B3281" s="522" t="s">
        <v>684</v>
      </c>
      <c r="C3281" s="522"/>
      <c r="D3281" s="399" t="s">
        <v>685</v>
      </c>
      <c r="E3281" s="522">
        <v>201602</v>
      </c>
      <c r="F3281" s="431">
        <v>-3.57</v>
      </c>
      <c r="G3281" s="521">
        <v>2</v>
      </c>
      <c r="H3281" s="486">
        <v>3.1250000000000002E-3</v>
      </c>
      <c r="I3281" s="523">
        <v>-0.02</v>
      </c>
      <c r="J3281" s="523">
        <v>-0.13</v>
      </c>
    </row>
    <row r="3282" spans="1:10" s="559" customFormat="1">
      <c r="A3282" s="399" t="s">
        <v>346</v>
      </c>
      <c r="B3282" s="522" t="s">
        <v>710</v>
      </c>
      <c r="C3282" s="522"/>
      <c r="D3282" s="399" t="s">
        <v>711</v>
      </c>
      <c r="E3282" s="522">
        <v>201602</v>
      </c>
      <c r="F3282" s="431">
        <v>16644.669999999998</v>
      </c>
      <c r="G3282" s="521">
        <v>2</v>
      </c>
      <c r="H3282" s="486">
        <v>3.1250000000000002E-3</v>
      </c>
      <c r="I3282" s="523">
        <v>104.03</v>
      </c>
      <c r="J3282" s="523">
        <v>624.17999999999995</v>
      </c>
    </row>
    <row r="3283" spans="1:10" s="559" customFormat="1">
      <c r="A3283" s="399" t="s">
        <v>346</v>
      </c>
      <c r="B3283" s="522" t="s">
        <v>712</v>
      </c>
      <c r="C3283" s="522"/>
      <c r="D3283" s="399" t="s">
        <v>713</v>
      </c>
      <c r="E3283" s="522">
        <v>201602</v>
      </c>
      <c r="F3283" s="431">
        <v>103.24</v>
      </c>
      <c r="G3283" s="521">
        <v>2</v>
      </c>
      <c r="H3283" s="486">
        <v>3.1250000000000002E-3</v>
      </c>
      <c r="I3283" s="523">
        <v>0.65</v>
      </c>
      <c r="J3283" s="523">
        <v>3.87</v>
      </c>
    </row>
    <row r="3284" spans="1:10" s="559" customFormat="1">
      <c r="A3284" s="399" t="s">
        <v>346</v>
      </c>
      <c r="B3284" s="522" t="s">
        <v>822</v>
      </c>
      <c r="C3284" s="522"/>
      <c r="D3284" s="399" t="s">
        <v>823</v>
      </c>
      <c r="E3284" s="522">
        <v>201602</v>
      </c>
      <c r="F3284" s="431">
        <v>310322.92</v>
      </c>
      <c r="G3284" s="521">
        <v>2</v>
      </c>
      <c r="H3284" s="486">
        <v>3.1250000000000002E-3</v>
      </c>
      <c r="I3284" s="523">
        <v>1939.52</v>
      </c>
      <c r="J3284" s="523">
        <v>11637.11</v>
      </c>
    </row>
    <row r="3285" spans="1:10" s="559" customFormat="1">
      <c r="A3285" s="399" t="s">
        <v>346</v>
      </c>
      <c r="B3285" s="522" t="s">
        <v>690</v>
      </c>
      <c r="C3285" s="522"/>
      <c r="D3285" s="399" t="s">
        <v>691</v>
      </c>
      <c r="E3285" s="522">
        <v>201602</v>
      </c>
      <c r="F3285" s="431">
        <v>27604.21</v>
      </c>
      <c r="G3285" s="521">
        <v>2</v>
      </c>
      <c r="H3285" s="486">
        <v>3.1250000000000002E-3</v>
      </c>
      <c r="I3285" s="523">
        <v>172.53</v>
      </c>
      <c r="J3285" s="523">
        <v>1035.1600000000001</v>
      </c>
    </row>
    <row r="3286" spans="1:10" s="559" customFormat="1">
      <c r="A3286" s="399" t="s">
        <v>346</v>
      </c>
      <c r="B3286" s="522" t="s">
        <v>692</v>
      </c>
      <c r="C3286" s="522"/>
      <c r="D3286" s="399" t="s">
        <v>693</v>
      </c>
      <c r="E3286" s="522">
        <v>201602</v>
      </c>
      <c r="F3286" s="431">
        <v>5.33</v>
      </c>
      <c r="G3286" s="521">
        <v>2</v>
      </c>
      <c r="H3286" s="486">
        <v>3.1250000000000002E-3</v>
      </c>
      <c r="I3286" s="523">
        <v>0.03</v>
      </c>
      <c r="J3286" s="523">
        <v>0.2</v>
      </c>
    </row>
    <row r="3287" spans="1:10" s="559" customFormat="1">
      <c r="A3287" s="399" t="s">
        <v>346</v>
      </c>
      <c r="B3287" s="522" t="s">
        <v>694</v>
      </c>
      <c r="C3287" s="522"/>
      <c r="D3287" s="399" t="s">
        <v>695</v>
      </c>
      <c r="E3287" s="522">
        <v>201602</v>
      </c>
      <c r="F3287" s="431">
        <v>0.54</v>
      </c>
      <c r="G3287" s="521">
        <v>2</v>
      </c>
      <c r="H3287" s="486">
        <v>3.1250000000000002E-3</v>
      </c>
      <c r="I3287" s="523">
        <v>0</v>
      </c>
      <c r="J3287" s="523">
        <v>0.02</v>
      </c>
    </row>
    <row r="3288" spans="1:10" s="559" customFormat="1">
      <c r="A3288" s="399" t="s">
        <v>346</v>
      </c>
      <c r="B3288" s="522" t="s">
        <v>696</v>
      </c>
      <c r="C3288" s="522"/>
      <c r="D3288" s="399" t="s">
        <v>697</v>
      </c>
      <c r="E3288" s="522">
        <v>201602</v>
      </c>
      <c r="F3288" s="431">
        <v>-1.34</v>
      </c>
      <c r="G3288" s="521">
        <v>2</v>
      </c>
      <c r="H3288" s="486">
        <v>3.1250000000000002E-3</v>
      </c>
      <c r="I3288" s="523">
        <v>-0.01</v>
      </c>
      <c r="J3288" s="523">
        <v>-0.05</v>
      </c>
    </row>
    <row r="3289" spans="1:10" s="559" customFormat="1">
      <c r="A3289" s="399" t="s">
        <v>346</v>
      </c>
      <c r="B3289" s="522" t="s">
        <v>700</v>
      </c>
      <c r="C3289" s="522"/>
      <c r="D3289" s="399" t="s">
        <v>701</v>
      </c>
      <c r="E3289" s="522">
        <v>201602</v>
      </c>
      <c r="F3289" s="431">
        <v>-949.51</v>
      </c>
      <c r="G3289" s="521">
        <v>2</v>
      </c>
      <c r="H3289" s="486">
        <v>3.1250000000000002E-3</v>
      </c>
      <c r="I3289" s="523">
        <v>-5.93</v>
      </c>
      <c r="J3289" s="523">
        <v>-35.61</v>
      </c>
    </row>
    <row r="3290" spans="1:10" s="559" customFormat="1">
      <c r="A3290" s="399" t="s">
        <v>346</v>
      </c>
      <c r="B3290" s="522" t="s">
        <v>794</v>
      </c>
      <c r="C3290" s="522"/>
      <c r="D3290" s="399" t="s">
        <v>795</v>
      </c>
      <c r="E3290" s="522">
        <v>201602</v>
      </c>
      <c r="F3290" s="431">
        <v>4052.34</v>
      </c>
      <c r="G3290" s="521">
        <v>2</v>
      </c>
      <c r="H3290" s="486">
        <v>3.1250000000000002E-3</v>
      </c>
      <c r="I3290" s="523">
        <v>25.33</v>
      </c>
      <c r="J3290" s="523">
        <v>151.96</v>
      </c>
    </row>
    <row r="3291" spans="1:10" s="559" customFormat="1">
      <c r="A3291" s="399" t="s">
        <v>346</v>
      </c>
      <c r="B3291" s="522" t="s">
        <v>702</v>
      </c>
      <c r="C3291" s="522"/>
      <c r="D3291" s="399" t="s">
        <v>703</v>
      </c>
      <c r="E3291" s="522">
        <v>201602</v>
      </c>
      <c r="F3291" s="431">
        <v>0.5</v>
      </c>
      <c r="G3291" s="521">
        <v>2</v>
      </c>
      <c r="H3291" s="486">
        <v>3.1250000000000002E-3</v>
      </c>
      <c r="I3291" s="523">
        <v>0</v>
      </c>
      <c r="J3291" s="523">
        <v>0.02</v>
      </c>
    </row>
    <row r="3292" spans="1:10" s="559" customFormat="1">
      <c r="A3292" s="399" t="s">
        <v>346</v>
      </c>
      <c r="B3292" s="522" t="s">
        <v>826</v>
      </c>
      <c r="C3292" s="522"/>
      <c r="D3292" s="399" t="s">
        <v>827</v>
      </c>
      <c r="E3292" s="522">
        <v>201602</v>
      </c>
      <c r="F3292" s="431">
        <v>99616.92</v>
      </c>
      <c r="G3292" s="521">
        <v>2</v>
      </c>
      <c r="H3292" s="486">
        <v>3.1250000000000002E-3</v>
      </c>
      <c r="I3292" s="523">
        <v>622.61</v>
      </c>
      <c r="J3292" s="523">
        <v>3735.63</v>
      </c>
    </row>
    <row r="3293" spans="1:10" s="559" customFormat="1">
      <c r="A3293" s="399" t="s">
        <v>346</v>
      </c>
      <c r="B3293" s="522" t="s">
        <v>729</v>
      </c>
      <c r="C3293" s="522"/>
      <c r="D3293" s="399" t="s">
        <v>730</v>
      </c>
      <c r="E3293" s="522">
        <v>201602</v>
      </c>
      <c r="F3293" s="431">
        <v>31.84</v>
      </c>
      <c r="G3293" s="521">
        <v>2</v>
      </c>
      <c r="H3293" s="486">
        <v>3.1250000000000002E-3</v>
      </c>
      <c r="I3293" s="523">
        <v>0.2</v>
      </c>
      <c r="J3293" s="523">
        <v>1.19</v>
      </c>
    </row>
    <row r="3294" spans="1:10" s="559" customFormat="1">
      <c r="A3294" s="399" t="s">
        <v>346</v>
      </c>
      <c r="B3294" s="522">
        <v>695300</v>
      </c>
      <c r="C3294" s="522"/>
      <c r="D3294" s="399" t="s">
        <v>348</v>
      </c>
      <c r="E3294" s="522">
        <v>201603</v>
      </c>
      <c r="F3294" s="431">
        <v>1019359.9</v>
      </c>
      <c r="G3294" s="521">
        <v>13.5</v>
      </c>
      <c r="H3294" s="486">
        <v>3.1250000000000002E-3</v>
      </c>
      <c r="I3294" s="523">
        <v>43004.25</v>
      </c>
      <c r="J3294" s="523">
        <v>38226</v>
      </c>
    </row>
    <row r="3295" spans="1:10" s="559" customFormat="1">
      <c r="A3295" s="399" t="s">
        <v>346</v>
      </c>
      <c r="B3295" s="522">
        <v>695310</v>
      </c>
      <c r="C3295" s="522"/>
      <c r="D3295" s="399" t="s">
        <v>350</v>
      </c>
      <c r="E3295" s="522">
        <v>201603</v>
      </c>
      <c r="F3295" s="431">
        <v>-4952.7299999999996</v>
      </c>
      <c r="G3295" s="521">
        <v>13.5</v>
      </c>
      <c r="H3295" s="486">
        <v>3.1250000000000002E-3</v>
      </c>
      <c r="I3295" s="523">
        <v>-208.94</v>
      </c>
      <c r="J3295" s="523">
        <v>-185.73</v>
      </c>
    </row>
    <row r="3296" spans="1:10" s="559" customFormat="1">
      <c r="A3296" s="399" t="s">
        <v>346</v>
      </c>
      <c r="B3296" s="522">
        <v>695320</v>
      </c>
      <c r="C3296" s="522"/>
      <c r="D3296" s="399" t="s">
        <v>352</v>
      </c>
      <c r="E3296" s="522">
        <v>201603</v>
      </c>
      <c r="F3296" s="431">
        <v>-259.31</v>
      </c>
      <c r="G3296" s="521">
        <v>13.5</v>
      </c>
      <c r="H3296" s="486">
        <v>3.1250000000000002E-3</v>
      </c>
      <c r="I3296" s="523">
        <v>-10.94</v>
      </c>
      <c r="J3296" s="523">
        <v>-9.7200000000000006</v>
      </c>
    </row>
    <row r="3297" spans="1:10" s="559" customFormat="1">
      <c r="A3297" s="399" t="s">
        <v>346</v>
      </c>
      <c r="B3297" s="522">
        <v>695330</v>
      </c>
      <c r="C3297" s="522"/>
      <c r="D3297" s="399" t="s">
        <v>354</v>
      </c>
      <c r="E3297" s="522">
        <v>201603</v>
      </c>
      <c r="F3297" s="431">
        <v>-70.44</v>
      </c>
      <c r="G3297" s="521">
        <v>13.5</v>
      </c>
      <c r="H3297" s="486">
        <v>3.1250000000000002E-3</v>
      </c>
      <c r="I3297" s="523">
        <v>-2.97</v>
      </c>
      <c r="J3297" s="523">
        <v>-2.64</v>
      </c>
    </row>
    <row r="3298" spans="1:10" s="559" customFormat="1">
      <c r="A3298" s="399" t="s">
        <v>346</v>
      </c>
      <c r="B3298" s="522">
        <v>695800</v>
      </c>
      <c r="C3298" s="522"/>
      <c r="D3298" s="399" t="s">
        <v>356</v>
      </c>
      <c r="E3298" s="522">
        <v>201603</v>
      </c>
      <c r="F3298" s="431">
        <v>39805.07</v>
      </c>
      <c r="G3298" s="521">
        <v>13.5</v>
      </c>
      <c r="H3298" s="486">
        <v>3.1250000000000002E-3</v>
      </c>
      <c r="I3298" s="523">
        <v>1679.28</v>
      </c>
      <c r="J3298" s="523">
        <v>1492.69</v>
      </c>
    </row>
    <row r="3299" spans="1:10" s="559" customFormat="1">
      <c r="A3299" s="399" t="s">
        <v>346</v>
      </c>
      <c r="B3299" s="522">
        <v>695810</v>
      </c>
      <c r="C3299" s="522"/>
      <c r="D3299" s="399" t="s">
        <v>358</v>
      </c>
      <c r="E3299" s="522">
        <v>201603</v>
      </c>
      <c r="F3299" s="431">
        <v>7981.97</v>
      </c>
      <c r="G3299" s="521">
        <v>13.5</v>
      </c>
      <c r="H3299" s="486">
        <v>3.1250000000000002E-3</v>
      </c>
      <c r="I3299" s="523">
        <v>336.74</v>
      </c>
      <c r="J3299" s="523">
        <v>299.32</v>
      </c>
    </row>
    <row r="3300" spans="1:10" s="559" customFormat="1">
      <c r="A3300" s="399" t="s">
        <v>346</v>
      </c>
      <c r="B3300" s="522">
        <v>695820</v>
      </c>
      <c r="C3300" s="522"/>
      <c r="D3300" s="399" t="s">
        <v>360</v>
      </c>
      <c r="E3300" s="522">
        <v>201603</v>
      </c>
      <c r="F3300" s="431">
        <v>-1255.82</v>
      </c>
      <c r="G3300" s="521">
        <v>13.5</v>
      </c>
      <c r="H3300" s="486">
        <v>3.1250000000000002E-3</v>
      </c>
      <c r="I3300" s="523">
        <v>-52.98</v>
      </c>
      <c r="J3300" s="523">
        <v>-47.09</v>
      </c>
    </row>
    <row r="3301" spans="1:10" s="559" customFormat="1">
      <c r="A3301" s="399" t="s">
        <v>346</v>
      </c>
      <c r="B3301" s="522">
        <v>695830</v>
      </c>
      <c r="C3301" s="522"/>
      <c r="D3301" s="399" t="s">
        <v>362</v>
      </c>
      <c r="E3301" s="522">
        <v>201603</v>
      </c>
      <c r="F3301" s="431">
        <v>5136.75</v>
      </c>
      <c r="G3301" s="521">
        <v>13.5</v>
      </c>
      <c r="H3301" s="486">
        <v>3.1250000000000002E-3</v>
      </c>
      <c r="I3301" s="523">
        <v>216.71</v>
      </c>
      <c r="J3301" s="523">
        <v>192.63</v>
      </c>
    </row>
    <row r="3302" spans="1:10" s="559" customFormat="1">
      <c r="A3302" s="399" t="s">
        <v>346</v>
      </c>
      <c r="B3302" s="522">
        <v>696400</v>
      </c>
      <c r="C3302" s="522"/>
      <c r="D3302" s="399" t="s">
        <v>366</v>
      </c>
      <c r="E3302" s="522">
        <v>201603</v>
      </c>
      <c r="F3302" s="431">
        <v>0.94</v>
      </c>
      <c r="G3302" s="521">
        <v>13.5</v>
      </c>
      <c r="H3302" s="486">
        <v>3.1250000000000002E-3</v>
      </c>
      <c r="I3302" s="523">
        <v>0.04</v>
      </c>
      <c r="J3302" s="523">
        <v>0.04</v>
      </c>
    </row>
    <row r="3303" spans="1:10" s="559" customFormat="1">
      <c r="A3303" s="399" t="s">
        <v>346</v>
      </c>
      <c r="B3303" s="522">
        <v>696450</v>
      </c>
      <c r="C3303" s="522"/>
      <c r="D3303" s="399" t="s">
        <v>368</v>
      </c>
      <c r="E3303" s="522">
        <v>201603</v>
      </c>
      <c r="F3303" s="431">
        <v>10622.22</v>
      </c>
      <c r="G3303" s="521">
        <v>13.5</v>
      </c>
      <c r="H3303" s="486">
        <v>3.1250000000000002E-3</v>
      </c>
      <c r="I3303" s="523">
        <v>448.12</v>
      </c>
      <c r="J3303" s="523">
        <v>398.33</v>
      </c>
    </row>
    <row r="3304" spans="1:10" s="559" customFormat="1">
      <c r="A3304" s="399" t="s">
        <v>346</v>
      </c>
      <c r="B3304" s="522">
        <v>696480</v>
      </c>
      <c r="C3304" s="522"/>
      <c r="D3304" s="399" t="s">
        <v>586</v>
      </c>
      <c r="E3304" s="522">
        <v>201603</v>
      </c>
      <c r="F3304" s="431">
        <v>-254.7</v>
      </c>
      <c r="G3304" s="521">
        <v>13.5</v>
      </c>
      <c r="H3304" s="486">
        <v>3.1250000000000002E-3</v>
      </c>
      <c r="I3304" s="523">
        <v>-10.75</v>
      </c>
      <c r="J3304" s="523">
        <v>-9.5500000000000007</v>
      </c>
    </row>
    <row r="3305" spans="1:10" s="559" customFormat="1">
      <c r="A3305" s="399" t="s">
        <v>346</v>
      </c>
      <c r="B3305" s="522">
        <v>697450</v>
      </c>
      <c r="C3305" s="522"/>
      <c r="D3305" s="399" t="s">
        <v>370</v>
      </c>
      <c r="E3305" s="522">
        <v>201603</v>
      </c>
      <c r="F3305" s="431">
        <v>11472.12</v>
      </c>
      <c r="G3305" s="521">
        <v>13.5</v>
      </c>
      <c r="H3305" s="486">
        <v>3.1250000000000002E-3</v>
      </c>
      <c r="I3305" s="523">
        <v>483.98</v>
      </c>
      <c r="J3305" s="523">
        <v>430.2</v>
      </c>
    </row>
    <row r="3306" spans="1:10" s="559" customFormat="1">
      <c r="A3306" s="399" t="s">
        <v>346</v>
      </c>
      <c r="B3306" s="522">
        <v>697460</v>
      </c>
      <c r="C3306" s="522"/>
      <c r="D3306" s="399" t="s">
        <v>372</v>
      </c>
      <c r="E3306" s="522">
        <v>201603</v>
      </c>
      <c r="F3306" s="431">
        <v>0.02</v>
      </c>
      <c r="G3306" s="521">
        <v>13.5</v>
      </c>
      <c r="H3306" s="486">
        <v>3.1250000000000002E-3</v>
      </c>
      <c r="I3306" s="523">
        <v>0</v>
      </c>
      <c r="J3306" s="523">
        <v>0</v>
      </c>
    </row>
    <row r="3307" spans="1:10" s="559" customFormat="1">
      <c r="A3307" s="399" t="s">
        <v>346</v>
      </c>
      <c r="B3307" s="522">
        <v>698400</v>
      </c>
      <c r="C3307" s="522"/>
      <c r="D3307" s="399" t="s">
        <v>376</v>
      </c>
      <c r="E3307" s="522">
        <v>201603</v>
      </c>
      <c r="F3307" s="431">
        <v>-3082.33</v>
      </c>
      <c r="G3307" s="521">
        <v>13.5</v>
      </c>
      <c r="H3307" s="486">
        <v>3.1250000000000002E-3</v>
      </c>
      <c r="I3307" s="523">
        <v>-130.04</v>
      </c>
      <c r="J3307" s="523">
        <v>-115.59</v>
      </c>
    </row>
    <row r="3308" spans="1:10" s="559" customFormat="1">
      <c r="A3308" s="399" t="s">
        <v>346</v>
      </c>
      <c r="B3308" s="522">
        <v>698450</v>
      </c>
      <c r="C3308" s="522"/>
      <c r="D3308" s="399" t="s">
        <v>378</v>
      </c>
      <c r="E3308" s="522">
        <v>201603</v>
      </c>
      <c r="F3308" s="431">
        <v>55609.63</v>
      </c>
      <c r="G3308" s="521">
        <v>13.5</v>
      </c>
      <c r="H3308" s="486">
        <v>3.1250000000000002E-3</v>
      </c>
      <c r="I3308" s="523">
        <v>2346.0300000000002</v>
      </c>
      <c r="J3308" s="523">
        <v>2085.36</v>
      </c>
    </row>
    <row r="3309" spans="1:10" s="559" customFormat="1">
      <c r="A3309" s="399" t="s">
        <v>346</v>
      </c>
      <c r="B3309" s="522">
        <v>698460</v>
      </c>
      <c r="C3309" s="522"/>
      <c r="D3309" s="399" t="s">
        <v>380</v>
      </c>
      <c r="E3309" s="522">
        <v>201603</v>
      </c>
      <c r="F3309" s="431">
        <v>6941.19</v>
      </c>
      <c r="G3309" s="521">
        <v>13.5</v>
      </c>
      <c r="H3309" s="486">
        <v>3.1250000000000002E-3</v>
      </c>
      <c r="I3309" s="523">
        <v>292.83</v>
      </c>
      <c r="J3309" s="523">
        <v>260.29000000000002</v>
      </c>
    </row>
    <row r="3310" spans="1:10" s="559" customFormat="1">
      <c r="A3310" s="399" t="s">
        <v>346</v>
      </c>
      <c r="B3310" s="522">
        <v>698480</v>
      </c>
      <c r="C3310" s="522"/>
      <c r="D3310" s="399" t="s">
        <v>384</v>
      </c>
      <c r="E3310" s="522">
        <v>201603</v>
      </c>
      <c r="F3310" s="431">
        <v>-411.45</v>
      </c>
      <c r="G3310" s="521">
        <v>13.5</v>
      </c>
      <c r="H3310" s="486">
        <v>3.1250000000000002E-3</v>
      </c>
      <c r="I3310" s="523">
        <v>-17.36</v>
      </c>
      <c r="J3310" s="523">
        <v>-15.43</v>
      </c>
    </row>
    <row r="3311" spans="1:10" s="559" customFormat="1">
      <c r="A3311" s="399" t="s">
        <v>346</v>
      </c>
      <c r="B3311" s="522">
        <v>699300</v>
      </c>
      <c r="C3311" s="522"/>
      <c r="D3311" s="399" t="s">
        <v>386</v>
      </c>
      <c r="E3311" s="522">
        <v>201603</v>
      </c>
      <c r="F3311" s="431">
        <v>320081.7</v>
      </c>
      <c r="G3311" s="521">
        <v>13.5</v>
      </c>
      <c r="H3311" s="486">
        <v>3.1250000000000002E-3</v>
      </c>
      <c r="I3311" s="523">
        <v>13503.45</v>
      </c>
      <c r="J3311" s="523">
        <v>12003.06</v>
      </c>
    </row>
    <row r="3312" spans="1:10" s="559" customFormat="1">
      <c r="A3312" s="399" t="s">
        <v>346</v>
      </c>
      <c r="B3312" s="522">
        <v>699310</v>
      </c>
      <c r="C3312" s="522"/>
      <c r="D3312" s="399" t="s">
        <v>388</v>
      </c>
      <c r="E3312" s="522">
        <v>201603</v>
      </c>
      <c r="F3312" s="431">
        <v>53739.49</v>
      </c>
      <c r="G3312" s="521">
        <v>13.5</v>
      </c>
      <c r="H3312" s="486">
        <v>3.1250000000000002E-3</v>
      </c>
      <c r="I3312" s="523">
        <v>2267.13</v>
      </c>
      <c r="J3312" s="523">
        <v>2015.23</v>
      </c>
    </row>
    <row r="3313" spans="1:10" s="559" customFormat="1">
      <c r="A3313" s="399" t="s">
        <v>346</v>
      </c>
      <c r="B3313" s="522">
        <v>699320</v>
      </c>
      <c r="C3313" s="522"/>
      <c r="D3313" s="399" t="s">
        <v>390</v>
      </c>
      <c r="E3313" s="522">
        <v>201603</v>
      </c>
      <c r="F3313" s="431">
        <v>-2282.92</v>
      </c>
      <c r="G3313" s="521">
        <v>13.5</v>
      </c>
      <c r="H3313" s="486">
        <v>3.1250000000000002E-3</v>
      </c>
      <c r="I3313" s="523">
        <v>-96.31</v>
      </c>
      <c r="J3313" s="523">
        <v>-85.61</v>
      </c>
    </row>
    <row r="3314" spans="1:10" s="559" customFormat="1">
      <c r="A3314" s="399" t="s">
        <v>346</v>
      </c>
      <c r="B3314" s="522">
        <v>699330</v>
      </c>
      <c r="C3314" s="522"/>
      <c r="D3314" s="399" t="s">
        <v>392</v>
      </c>
      <c r="E3314" s="522">
        <v>201603</v>
      </c>
      <c r="F3314" s="431">
        <v>-1162.6400000000001</v>
      </c>
      <c r="G3314" s="521">
        <v>13.5</v>
      </c>
      <c r="H3314" s="486">
        <v>3.1250000000000002E-3</v>
      </c>
      <c r="I3314" s="523">
        <v>-49.05</v>
      </c>
      <c r="J3314" s="523">
        <v>-43.6</v>
      </c>
    </row>
    <row r="3315" spans="1:10" s="559" customFormat="1">
      <c r="A3315" s="399" t="s">
        <v>346</v>
      </c>
      <c r="B3315" s="522">
        <v>699400</v>
      </c>
      <c r="C3315" s="522"/>
      <c r="D3315" s="399" t="s">
        <v>394</v>
      </c>
      <c r="E3315" s="522">
        <v>201603</v>
      </c>
      <c r="F3315" s="431">
        <v>-8281.2900000000009</v>
      </c>
      <c r="G3315" s="521">
        <v>13.5</v>
      </c>
      <c r="H3315" s="486">
        <v>3.1250000000000002E-3</v>
      </c>
      <c r="I3315" s="523">
        <v>-349.37</v>
      </c>
      <c r="J3315" s="523">
        <v>-310.55</v>
      </c>
    </row>
    <row r="3316" spans="1:10" s="559" customFormat="1">
      <c r="A3316" s="399" t="s">
        <v>346</v>
      </c>
      <c r="B3316" s="522">
        <v>699410</v>
      </c>
      <c r="C3316" s="522"/>
      <c r="D3316" s="399" t="s">
        <v>396</v>
      </c>
      <c r="E3316" s="522">
        <v>201603</v>
      </c>
      <c r="F3316" s="431">
        <v>-7030.21</v>
      </c>
      <c r="G3316" s="521">
        <v>13.5</v>
      </c>
      <c r="H3316" s="486">
        <v>3.1250000000000002E-3</v>
      </c>
      <c r="I3316" s="523">
        <v>-296.58999999999997</v>
      </c>
      <c r="J3316" s="523">
        <v>-263.63</v>
      </c>
    </row>
    <row r="3317" spans="1:10" s="559" customFormat="1">
      <c r="A3317" s="399" t="s">
        <v>346</v>
      </c>
      <c r="B3317" s="522">
        <v>900068</v>
      </c>
      <c r="C3317" s="522"/>
      <c r="D3317" s="399" t="s">
        <v>547</v>
      </c>
      <c r="E3317" s="522">
        <v>201603</v>
      </c>
      <c r="F3317" s="431">
        <v>0.01</v>
      </c>
      <c r="G3317" s="521">
        <v>13.5</v>
      </c>
      <c r="H3317" s="486">
        <v>3.1250000000000002E-3</v>
      </c>
      <c r="I3317" s="523">
        <v>0</v>
      </c>
      <c r="J3317" s="523">
        <v>0</v>
      </c>
    </row>
    <row r="3318" spans="1:10" s="559" customFormat="1">
      <c r="A3318" s="399" t="s">
        <v>346</v>
      </c>
      <c r="B3318" s="522">
        <v>900069</v>
      </c>
      <c r="C3318" s="522"/>
      <c r="D3318" s="399" t="s">
        <v>590</v>
      </c>
      <c r="E3318" s="522">
        <v>201603</v>
      </c>
      <c r="F3318" s="431">
        <v>-9.1999999999999993</v>
      </c>
      <c r="G3318" s="521">
        <v>13.5</v>
      </c>
      <c r="H3318" s="486">
        <v>3.1250000000000002E-3</v>
      </c>
      <c r="I3318" s="523">
        <v>-0.39</v>
      </c>
      <c r="J3318" s="523">
        <v>-0.35</v>
      </c>
    </row>
    <row r="3319" spans="1:10" s="559" customFormat="1">
      <c r="A3319" s="399" t="s">
        <v>346</v>
      </c>
      <c r="B3319" s="522">
        <v>900071</v>
      </c>
      <c r="C3319" s="522"/>
      <c r="D3319" s="399" t="s">
        <v>644</v>
      </c>
      <c r="E3319" s="522">
        <v>201603</v>
      </c>
      <c r="F3319" s="431">
        <v>3233.09</v>
      </c>
      <c r="G3319" s="521">
        <v>13.5</v>
      </c>
      <c r="H3319" s="486">
        <v>3.1250000000000002E-3</v>
      </c>
      <c r="I3319" s="523">
        <v>136.4</v>
      </c>
      <c r="J3319" s="523">
        <v>121.24</v>
      </c>
    </row>
    <row r="3320" spans="1:10" s="559" customFormat="1">
      <c r="A3320" s="399" t="s">
        <v>346</v>
      </c>
      <c r="B3320" s="522">
        <v>900076</v>
      </c>
      <c r="C3320" s="522"/>
      <c r="D3320" s="399" t="s">
        <v>830</v>
      </c>
      <c r="E3320" s="522">
        <v>201603</v>
      </c>
      <c r="F3320" s="431">
        <v>-389.71</v>
      </c>
      <c r="G3320" s="521">
        <v>13.5</v>
      </c>
      <c r="H3320" s="486">
        <v>3.1250000000000002E-3</v>
      </c>
      <c r="I3320" s="523">
        <v>-16.440000000000001</v>
      </c>
      <c r="J3320" s="523">
        <v>-14.61</v>
      </c>
    </row>
    <row r="3321" spans="1:10" s="559" customFormat="1">
      <c r="A3321" s="399" t="s">
        <v>346</v>
      </c>
      <c r="B3321" s="522">
        <v>900266</v>
      </c>
      <c r="C3321" s="522"/>
      <c r="D3321" s="399" t="s">
        <v>452</v>
      </c>
      <c r="E3321" s="522">
        <v>201603</v>
      </c>
      <c r="F3321" s="431">
        <v>1.23</v>
      </c>
      <c r="G3321" s="521">
        <v>13.5</v>
      </c>
      <c r="H3321" s="486">
        <v>3.1250000000000002E-3</v>
      </c>
      <c r="I3321" s="523">
        <v>0.05</v>
      </c>
      <c r="J3321" s="523">
        <v>0.05</v>
      </c>
    </row>
    <row r="3322" spans="1:10" s="559" customFormat="1">
      <c r="A3322" s="399" t="s">
        <v>346</v>
      </c>
      <c r="B3322" s="522">
        <v>900272</v>
      </c>
      <c r="C3322" s="522"/>
      <c r="D3322" s="399" t="s">
        <v>646</v>
      </c>
      <c r="E3322" s="522">
        <v>201603</v>
      </c>
      <c r="F3322" s="431">
        <v>243.65</v>
      </c>
      <c r="G3322" s="521">
        <v>13.5</v>
      </c>
      <c r="H3322" s="486">
        <v>3.1250000000000002E-3</v>
      </c>
      <c r="I3322" s="523">
        <v>10.28</v>
      </c>
      <c r="J3322" s="523">
        <v>9.14</v>
      </c>
    </row>
    <row r="3323" spans="1:10" s="559" customFormat="1">
      <c r="A3323" s="399" t="s">
        <v>346</v>
      </c>
      <c r="B3323" s="522">
        <v>900273</v>
      </c>
      <c r="C3323" s="522"/>
      <c r="D3323" s="399" t="s">
        <v>648</v>
      </c>
      <c r="E3323" s="522">
        <v>201603</v>
      </c>
      <c r="F3323" s="431">
        <v>-173.19</v>
      </c>
      <c r="G3323" s="521">
        <v>13.5</v>
      </c>
      <c r="H3323" s="486">
        <v>3.1250000000000002E-3</v>
      </c>
      <c r="I3323" s="523">
        <v>-7.31</v>
      </c>
      <c r="J3323" s="523">
        <v>-6.49</v>
      </c>
    </row>
    <row r="3324" spans="1:10" s="559" customFormat="1">
      <c r="A3324" s="399" t="s">
        <v>346</v>
      </c>
      <c r="B3324" s="522">
        <v>900446</v>
      </c>
      <c r="C3324" s="522"/>
      <c r="D3324" s="399" t="s">
        <v>785</v>
      </c>
      <c r="E3324" s="522">
        <v>201603</v>
      </c>
      <c r="F3324" s="431">
        <v>-6412.15</v>
      </c>
      <c r="G3324" s="521">
        <v>13.5</v>
      </c>
      <c r="H3324" s="486">
        <v>3.1250000000000002E-3</v>
      </c>
      <c r="I3324" s="523">
        <v>-270.51</v>
      </c>
      <c r="J3324" s="523">
        <v>-240.46</v>
      </c>
    </row>
    <row r="3325" spans="1:10" s="559" customFormat="1">
      <c r="A3325" s="399" t="s">
        <v>346</v>
      </c>
      <c r="B3325" s="522">
        <v>900523</v>
      </c>
      <c r="C3325" s="522"/>
      <c r="D3325" s="399" t="s">
        <v>650</v>
      </c>
      <c r="E3325" s="522">
        <v>201603</v>
      </c>
      <c r="F3325" s="431">
        <v>-13314.97</v>
      </c>
      <c r="G3325" s="521">
        <v>13.5</v>
      </c>
      <c r="H3325" s="486">
        <v>3.1250000000000002E-3</v>
      </c>
      <c r="I3325" s="523">
        <v>-561.73</v>
      </c>
      <c r="J3325" s="523">
        <v>-499.31</v>
      </c>
    </row>
    <row r="3326" spans="1:10" s="559" customFormat="1">
      <c r="A3326" s="399" t="s">
        <v>346</v>
      </c>
      <c r="B3326" s="522">
        <v>900530</v>
      </c>
      <c r="C3326" s="522"/>
      <c r="D3326" s="399" t="s">
        <v>903</v>
      </c>
      <c r="E3326" s="522">
        <v>201603</v>
      </c>
      <c r="F3326" s="431">
        <v>-2.36</v>
      </c>
      <c r="G3326" s="521">
        <v>13.5</v>
      </c>
      <c r="H3326" s="486">
        <v>3.1250000000000002E-3</v>
      </c>
      <c r="I3326" s="523">
        <v>-0.1</v>
      </c>
      <c r="J3326" s="523">
        <v>-0.09</v>
      </c>
    </row>
    <row r="3327" spans="1:10" s="559" customFormat="1">
      <c r="A3327" s="399" t="s">
        <v>346</v>
      </c>
      <c r="B3327" s="522">
        <v>900546</v>
      </c>
      <c r="C3327" s="522"/>
      <c r="D3327" s="399" t="s">
        <v>652</v>
      </c>
      <c r="E3327" s="522">
        <v>201603</v>
      </c>
      <c r="F3327" s="431">
        <v>-4085.44</v>
      </c>
      <c r="G3327" s="521">
        <v>13.5</v>
      </c>
      <c r="H3327" s="486">
        <v>3.1250000000000002E-3</v>
      </c>
      <c r="I3327" s="523">
        <v>-172.35</v>
      </c>
      <c r="J3327" s="523">
        <v>-153.19999999999999</v>
      </c>
    </row>
    <row r="3328" spans="1:10" s="559" customFormat="1">
      <c r="A3328" s="399" t="s">
        <v>346</v>
      </c>
      <c r="B3328" s="522">
        <v>900547</v>
      </c>
      <c r="C3328" s="522"/>
      <c r="D3328" s="399" t="s">
        <v>787</v>
      </c>
      <c r="E3328" s="522">
        <v>201603</v>
      </c>
      <c r="F3328" s="431">
        <v>-10139.66</v>
      </c>
      <c r="G3328" s="521">
        <v>13.5</v>
      </c>
      <c r="H3328" s="486">
        <v>3.1250000000000002E-3</v>
      </c>
      <c r="I3328" s="523">
        <v>-427.77</v>
      </c>
      <c r="J3328" s="523">
        <v>-380.24</v>
      </c>
    </row>
    <row r="3329" spans="1:10" s="559" customFormat="1">
      <c r="A3329" s="399" t="s">
        <v>346</v>
      </c>
      <c r="B3329" s="522">
        <v>900548</v>
      </c>
      <c r="C3329" s="522"/>
      <c r="D3329" s="399" t="s">
        <v>654</v>
      </c>
      <c r="E3329" s="522">
        <v>201603</v>
      </c>
      <c r="F3329" s="431">
        <v>-5599.45</v>
      </c>
      <c r="G3329" s="521">
        <v>13.5</v>
      </c>
      <c r="H3329" s="486">
        <v>3.1250000000000002E-3</v>
      </c>
      <c r="I3329" s="523">
        <v>-236.23</v>
      </c>
      <c r="J3329" s="523">
        <v>-209.98</v>
      </c>
    </row>
    <row r="3330" spans="1:10" s="559" customFormat="1">
      <c r="A3330" s="399" t="s">
        <v>346</v>
      </c>
      <c r="B3330" s="522">
        <v>900549</v>
      </c>
      <c r="C3330" s="522"/>
      <c r="D3330" s="399" t="s">
        <v>904</v>
      </c>
      <c r="E3330" s="522">
        <v>201603</v>
      </c>
      <c r="F3330" s="431">
        <v>-105.36</v>
      </c>
      <c r="G3330" s="521">
        <v>13.5</v>
      </c>
      <c r="H3330" s="486">
        <v>3.1250000000000002E-3</v>
      </c>
      <c r="I3330" s="523">
        <v>-4.4400000000000004</v>
      </c>
      <c r="J3330" s="523">
        <v>-3.95</v>
      </c>
    </row>
    <row r="3331" spans="1:10" s="559" customFormat="1">
      <c r="A3331" s="399" t="s">
        <v>346</v>
      </c>
      <c r="B3331" s="522">
        <v>900556</v>
      </c>
      <c r="C3331" s="522"/>
      <c r="D3331" s="399" t="s">
        <v>656</v>
      </c>
      <c r="E3331" s="522">
        <v>201603</v>
      </c>
      <c r="F3331" s="431">
        <v>-4.9800000000000004</v>
      </c>
      <c r="G3331" s="521">
        <v>13.5</v>
      </c>
      <c r="H3331" s="486">
        <v>3.1250000000000002E-3</v>
      </c>
      <c r="I3331" s="523">
        <v>-0.21</v>
      </c>
      <c r="J3331" s="523">
        <v>-0.19</v>
      </c>
    </row>
    <row r="3332" spans="1:10" s="559" customFormat="1">
      <c r="A3332" s="399" t="s">
        <v>346</v>
      </c>
      <c r="B3332" s="522">
        <v>900558</v>
      </c>
      <c r="C3332" s="522"/>
      <c r="D3332" s="399" t="s">
        <v>595</v>
      </c>
      <c r="E3332" s="522">
        <v>201603</v>
      </c>
      <c r="F3332" s="431">
        <v>-0.43</v>
      </c>
      <c r="G3332" s="521">
        <v>13.5</v>
      </c>
      <c r="H3332" s="486">
        <v>3.1250000000000002E-3</v>
      </c>
      <c r="I3332" s="523">
        <v>-0.02</v>
      </c>
      <c r="J3332" s="523">
        <v>-0.02</v>
      </c>
    </row>
    <row r="3333" spans="1:10" s="559" customFormat="1">
      <c r="A3333" s="399" t="s">
        <v>346</v>
      </c>
      <c r="B3333" s="522">
        <v>900559</v>
      </c>
      <c r="C3333" s="522"/>
      <c r="D3333" s="399" t="s">
        <v>597</v>
      </c>
      <c r="E3333" s="522">
        <v>201603</v>
      </c>
      <c r="F3333" s="431">
        <v>-0.37</v>
      </c>
      <c r="G3333" s="521">
        <v>13.5</v>
      </c>
      <c r="H3333" s="486">
        <v>3.1250000000000002E-3</v>
      </c>
      <c r="I3333" s="523">
        <v>-0.02</v>
      </c>
      <c r="J3333" s="523">
        <v>-0.01</v>
      </c>
    </row>
    <row r="3334" spans="1:10" s="559" customFormat="1">
      <c r="A3334" s="399" t="s">
        <v>346</v>
      </c>
      <c r="B3334" s="522">
        <v>900560</v>
      </c>
      <c r="C3334" s="522"/>
      <c r="D3334" s="399" t="s">
        <v>658</v>
      </c>
      <c r="E3334" s="522">
        <v>201603</v>
      </c>
      <c r="F3334" s="431">
        <v>-1114.24</v>
      </c>
      <c r="G3334" s="521">
        <v>13.5</v>
      </c>
      <c r="H3334" s="486">
        <v>3.1250000000000002E-3</v>
      </c>
      <c r="I3334" s="523">
        <v>-47.01</v>
      </c>
      <c r="J3334" s="523">
        <v>-41.78</v>
      </c>
    </row>
    <row r="3335" spans="1:10" s="559" customFormat="1">
      <c r="A3335" s="399" t="s">
        <v>346</v>
      </c>
      <c r="B3335" s="522">
        <v>900603</v>
      </c>
      <c r="C3335" s="522"/>
      <c r="D3335" s="399" t="s">
        <v>662</v>
      </c>
      <c r="E3335" s="522">
        <v>201603</v>
      </c>
      <c r="F3335" s="431">
        <v>74688.479999999996</v>
      </c>
      <c r="G3335" s="521">
        <v>13.5</v>
      </c>
      <c r="H3335" s="486">
        <v>3.1250000000000002E-3</v>
      </c>
      <c r="I3335" s="523">
        <v>3150.92</v>
      </c>
      <c r="J3335" s="523">
        <v>2800.82</v>
      </c>
    </row>
    <row r="3336" spans="1:10" s="559" customFormat="1">
      <c r="A3336" s="399" t="s">
        <v>346</v>
      </c>
      <c r="B3336" s="522">
        <v>900605</v>
      </c>
      <c r="C3336" s="522"/>
      <c r="D3336" s="399" t="s">
        <v>664</v>
      </c>
      <c r="E3336" s="522">
        <v>201603</v>
      </c>
      <c r="F3336" s="431">
        <v>-6986.82</v>
      </c>
      <c r="G3336" s="521">
        <v>13.5</v>
      </c>
      <c r="H3336" s="486">
        <v>3.1250000000000002E-3</v>
      </c>
      <c r="I3336" s="523">
        <v>-294.76</v>
      </c>
      <c r="J3336" s="523">
        <v>-262.01</v>
      </c>
    </row>
    <row r="3337" spans="1:10" s="559" customFormat="1">
      <c r="A3337" s="399" t="s">
        <v>346</v>
      </c>
      <c r="B3337" s="522">
        <v>900607</v>
      </c>
      <c r="C3337" s="522"/>
      <c r="D3337" s="399" t="s">
        <v>666</v>
      </c>
      <c r="E3337" s="522">
        <v>201603</v>
      </c>
      <c r="F3337" s="431">
        <v>-35.79</v>
      </c>
      <c r="G3337" s="521">
        <v>13.5</v>
      </c>
      <c r="H3337" s="486">
        <v>3.1250000000000002E-3</v>
      </c>
      <c r="I3337" s="523">
        <v>-1.51</v>
      </c>
      <c r="J3337" s="523">
        <v>-1.34</v>
      </c>
    </row>
    <row r="3338" spans="1:10" s="559" customFormat="1">
      <c r="A3338" s="399" t="s">
        <v>346</v>
      </c>
      <c r="B3338" s="522">
        <v>900609</v>
      </c>
      <c r="C3338" s="522"/>
      <c r="D3338" s="399" t="s">
        <v>802</v>
      </c>
      <c r="E3338" s="522">
        <v>201603</v>
      </c>
      <c r="F3338" s="431">
        <v>866.93</v>
      </c>
      <c r="G3338" s="521">
        <v>13.5</v>
      </c>
      <c r="H3338" s="486">
        <v>3.1250000000000002E-3</v>
      </c>
      <c r="I3338" s="523">
        <v>36.57</v>
      </c>
      <c r="J3338" s="523">
        <v>32.51</v>
      </c>
    </row>
    <row r="3339" spans="1:10" s="559" customFormat="1">
      <c r="A3339" s="399" t="s">
        <v>346</v>
      </c>
      <c r="B3339" s="522">
        <v>900611</v>
      </c>
      <c r="C3339" s="522"/>
      <c r="D3339" s="399" t="s">
        <v>804</v>
      </c>
      <c r="E3339" s="522">
        <v>201603</v>
      </c>
      <c r="F3339" s="431">
        <v>36112.39</v>
      </c>
      <c r="G3339" s="521">
        <v>13.5</v>
      </c>
      <c r="H3339" s="486">
        <v>3.1250000000000002E-3</v>
      </c>
      <c r="I3339" s="523">
        <v>1523.49</v>
      </c>
      <c r="J3339" s="523">
        <v>1354.21</v>
      </c>
    </row>
    <row r="3340" spans="1:10" s="559" customFormat="1">
      <c r="A3340" s="399" t="s">
        <v>346</v>
      </c>
      <c r="B3340" s="522">
        <v>900618</v>
      </c>
      <c r="C3340" s="522"/>
      <c r="D3340" s="399" t="s">
        <v>806</v>
      </c>
      <c r="E3340" s="522">
        <v>201603</v>
      </c>
      <c r="F3340" s="431">
        <v>9835.09</v>
      </c>
      <c r="G3340" s="521">
        <v>13.5</v>
      </c>
      <c r="H3340" s="486">
        <v>3.1250000000000002E-3</v>
      </c>
      <c r="I3340" s="523">
        <v>414.92</v>
      </c>
      <c r="J3340" s="523">
        <v>368.82</v>
      </c>
    </row>
    <row r="3341" spans="1:10" s="559" customFormat="1">
      <c r="A3341" s="399" t="s">
        <v>346</v>
      </c>
      <c r="B3341" s="522">
        <v>900650</v>
      </c>
      <c r="C3341" s="522"/>
      <c r="D3341" s="399" t="s">
        <v>599</v>
      </c>
      <c r="E3341" s="522">
        <v>201603</v>
      </c>
      <c r="F3341" s="431">
        <v>0.09</v>
      </c>
      <c r="G3341" s="521">
        <v>13.5</v>
      </c>
      <c r="H3341" s="486">
        <v>3.1250000000000002E-3</v>
      </c>
      <c r="I3341" s="523">
        <v>0</v>
      </c>
      <c r="J3341" s="523">
        <v>0</v>
      </c>
    </row>
    <row r="3342" spans="1:10" s="559" customFormat="1">
      <c r="A3342" s="399" t="s">
        <v>346</v>
      </c>
      <c r="B3342" s="522">
        <v>900653</v>
      </c>
      <c r="C3342" s="522"/>
      <c r="D3342" s="399" t="s">
        <v>601</v>
      </c>
      <c r="E3342" s="522">
        <v>201603</v>
      </c>
      <c r="F3342" s="431">
        <v>-0.44</v>
      </c>
      <c r="G3342" s="521">
        <v>13.5</v>
      </c>
      <c r="H3342" s="486">
        <v>3.1250000000000002E-3</v>
      </c>
      <c r="I3342" s="523">
        <v>-0.02</v>
      </c>
      <c r="J3342" s="523">
        <v>-0.02</v>
      </c>
    </row>
    <row r="3343" spans="1:10" s="559" customFormat="1">
      <c r="A3343" s="399" t="s">
        <v>346</v>
      </c>
      <c r="B3343" s="522">
        <v>900683</v>
      </c>
      <c r="C3343" s="522"/>
      <c r="D3343" s="399" t="s">
        <v>555</v>
      </c>
      <c r="E3343" s="522">
        <v>201603</v>
      </c>
      <c r="F3343" s="431">
        <v>-0.04</v>
      </c>
      <c r="G3343" s="521">
        <v>13.5</v>
      </c>
      <c r="H3343" s="486">
        <v>3.1250000000000002E-3</v>
      </c>
      <c r="I3343" s="523">
        <v>0</v>
      </c>
      <c r="J3343" s="523">
        <v>0</v>
      </c>
    </row>
    <row r="3344" spans="1:10" s="559" customFormat="1">
      <c r="A3344" s="399" t="s">
        <v>346</v>
      </c>
      <c r="B3344" s="522">
        <v>900685</v>
      </c>
      <c r="C3344" s="522"/>
      <c r="D3344" s="399" t="s">
        <v>557</v>
      </c>
      <c r="E3344" s="522">
        <v>201603</v>
      </c>
      <c r="F3344" s="431">
        <v>-0.1</v>
      </c>
      <c r="G3344" s="521">
        <v>13.5</v>
      </c>
      <c r="H3344" s="486">
        <v>3.1250000000000002E-3</v>
      </c>
      <c r="I3344" s="523">
        <v>0</v>
      </c>
      <c r="J3344" s="523">
        <v>0</v>
      </c>
    </row>
    <row r="3345" spans="1:10" s="559" customFormat="1">
      <c r="A3345" s="399" t="s">
        <v>346</v>
      </c>
      <c r="B3345" s="522">
        <v>900689</v>
      </c>
      <c r="C3345" s="522"/>
      <c r="D3345" s="399" t="s">
        <v>561</v>
      </c>
      <c r="E3345" s="522">
        <v>201603</v>
      </c>
      <c r="F3345" s="431">
        <v>0.18</v>
      </c>
      <c r="G3345" s="521">
        <v>13.5</v>
      </c>
      <c r="H3345" s="486">
        <v>3.1250000000000002E-3</v>
      </c>
      <c r="I3345" s="523">
        <v>0.01</v>
      </c>
      <c r="J3345" s="523">
        <v>0.01</v>
      </c>
    </row>
    <row r="3346" spans="1:10" s="559" customFormat="1">
      <c r="A3346" s="399" t="s">
        <v>346</v>
      </c>
      <c r="B3346" s="522">
        <v>900691</v>
      </c>
      <c r="C3346" s="522"/>
      <c r="D3346" s="399" t="s">
        <v>563</v>
      </c>
      <c r="E3346" s="522">
        <v>201603</v>
      </c>
      <c r="F3346" s="431">
        <v>-10.45</v>
      </c>
      <c r="G3346" s="521">
        <v>13.5</v>
      </c>
      <c r="H3346" s="486">
        <v>3.1250000000000002E-3</v>
      </c>
      <c r="I3346" s="523">
        <v>-0.44</v>
      </c>
      <c r="J3346" s="523">
        <v>-0.39</v>
      </c>
    </row>
    <row r="3347" spans="1:10" s="559" customFormat="1">
      <c r="A3347" s="399" t="s">
        <v>346</v>
      </c>
      <c r="B3347" s="522">
        <v>900734</v>
      </c>
      <c r="C3347" s="522"/>
      <c r="D3347" s="399" t="s">
        <v>603</v>
      </c>
      <c r="E3347" s="522">
        <v>201603</v>
      </c>
      <c r="F3347" s="431">
        <v>-0.46</v>
      </c>
      <c r="G3347" s="521">
        <v>13.5</v>
      </c>
      <c r="H3347" s="486">
        <v>3.1250000000000002E-3</v>
      </c>
      <c r="I3347" s="523">
        <v>-0.02</v>
      </c>
      <c r="J3347" s="523">
        <v>-0.02</v>
      </c>
    </row>
    <row r="3348" spans="1:10" s="559" customFormat="1">
      <c r="A3348" s="399" t="s">
        <v>346</v>
      </c>
      <c r="B3348" s="522">
        <v>900747</v>
      </c>
      <c r="C3348" s="522"/>
      <c r="D3348" s="399" t="s">
        <v>811</v>
      </c>
      <c r="E3348" s="522">
        <v>201603</v>
      </c>
      <c r="F3348" s="431">
        <v>-7704.34</v>
      </c>
      <c r="G3348" s="521">
        <v>13.5</v>
      </c>
      <c r="H3348" s="486">
        <v>3.1250000000000002E-3</v>
      </c>
      <c r="I3348" s="523">
        <v>-325.02999999999997</v>
      </c>
      <c r="J3348" s="523">
        <v>-288.91000000000003</v>
      </c>
    </row>
    <row r="3349" spans="1:10" s="559" customFormat="1">
      <c r="A3349" s="399" t="s">
        <v>346</v>
      </c>
      <c r="B3349" s="522">
        <v>900836</v>
      </c>
      <c r="C3349" s="522"/>
      <c r="D3349" s="399" t="s">
        <v>789</v>
      </c>
      <c r="E3349" s="522">
        <v>201603</v>
      </c>
      <c r="F3349" s="431">
        <v>-4635.71</v>
      </c>
      <c r="G3349" s="521">
        <v>13.5</v>
      </c>
      <c r="H3349" s="486">
        <v>3.1250000000000002E-3</v>
      </c>
      <c r="I3349" s="523">
        <v>-195.57</v>
      </c>
      <c r="J3349" s="523">
        <v>-173.84</v>
      </c>
    </row>
    <row r="3350" spans="1:10" s="559" customFormat="1">
      <c r="A3350" s="399" t="s">
        <v>346</v>
      </c>
      <c r="B3350" s="522">
        <v>900862</v>
      </c>
      <c r="C3350" s="522"/>
      <c r="D3350" s="399" t="s">
        <v>669</v>
      </c>
      <c r="E3350" s="522">
        <v>201603</v>
      </c>
      <c r="F3350" s="431">
        <v>0.12</v>
      </c>
      <c r="G3350" s="521">
        <v>13.5</v>
      </c>
      <c r="H3350" s="486">
        <v>3.1250000000000002E-3</v>
      </c>
      <c r="I3350" s="523">
        <v>0.01</v>
      </c>
      <c r="J3350" s="523">
        <v>0</v>
      </c>
    </row>
    <row r="3351" spans="1:10" s="559" customFormat="1">
      <c r="A3351" s="399" t="s">
        <v>346</v>
      </c>
      <c r="B3351" s="522">
        <v>900869</v>
      </c>
      <c r="C3351" s="522"/>
      <c r="D3351" s="399" t="s">
        <v>831</v>
      </c>
      <c r="E3351" s="522">
        <v>201603</v>
      </c>
      <c r="F3351" s="431">
        <v>-3985.52</v>
      </c>
      <c r="G3351" s="521">
        <v>13.5</v>
      </c>
      <c r="H3351" s="486">
        <v>3.1250000000000002E-3</v>
      </c>
      <c r="I3351" s="523">
        <v>-168.14</v>
      </c>
      <c r="J3351" s="523">
        <v>-149.46</v>
      </c>
    </row>
    <row r="3352" spans="1:10" s="559" customFormat="1">
      <c r="A3352" s="399" t="s">
        <v>346</v>
      </c>
      <c r="B3352" s="522">
        <v>900876</v>
      </c>
      <c r="C3352" s="522"/>
      <c r="D3352" s="399" t="s">
        <v>607</v>
      </c>
      <c r="E3352" s="522">
        <v>201603</v>
      </c>
      <c r="F3352" s="431">
        <v>-1.36</v>
      </c>
      <c r="G3352" s="521">
        <v>13.5</v>
      </c>
      <c r="H3352" s="486">
        <v>3.1250000000000002E-3</v>
      </c>
      <c r="I3352" s="523">
        <v>-0.06</v>
      </c>
      <c r="J3352" s="523">
        <v>-0.05</v>
      </c>
    </row>
    <row r="3353" spans="1:10" s="559" customFormat="1">
      <c r="A3353" s="399" t="s">
        <v>346</v>
      </c>
      <c r="B3353" s="522">
        <v>900893</v>
      </c>
      <c r="C3353" s="522"/>
      <c r="D3353" s="399" t="s">
        <v>609</v>
      </c>
      <c r="E3353" s="522">
        <v>201603</v>
      </c>
      <c r="F3353" s="431">
        <v>-0.16</v>
      </c>
      <c r="G3353" s="521">
        <v>13.5</v>
      </c>
      <c r="H3353" s="486">
        <v>3.1250000000000002E-3</v>
      </c>
      <c r="I3353" s="523">
        <v>-0.01</v>
      </c>
      <c r="J3353" s="523">
        <v>-0.01</v>
      </c>
    </row>
    <row r="3354" spans="1:10" s="559" customFormat="1">
      <c r="A3354" s="399" t="s">
        <v>346</v>
      </c>
      <c r="B3354" s="522">
        <v>900895</v>
      </c>
      <c r="C3354" s="522"/>
      <c r="D3354" s="399" t="s">
        <v>566</v>
      </c>
      <c r="E3354" s="522">
        <v>201603</v>
      </c>
      <c r="F3354" s="431">
        <v>-0.02</v>
      </c>
      <c r="G3354" s="521">
        <v>13.5</v>
      </c>
      <c r="H3354" s="486">
        <v>3.1250000000000002E-3</v>
      </c>
      <c r="I3354" s="523">
        <v>0</v>
      </c>
      <c r="J3354" s="523">
        <v>0</v>
      </c>
    </row>
    <row r="3355" spans="1:10" s="559" customFormat="1">
      <c r="A3355" s="399" t="s">
        <v>346</v>
      </c>
      <c r="B3355" s="522">
        <v>900896</v>
      </c>
      <c r="C3355" s="522"/>
      <c r="D3355" s="399" t="s">
        <v>611</v>
      </c>
      <c r="E3355" s="522">
        <v>201603</v>
      </c>
      <c r="F3355" s="431">
        <v>-0.56999999999999995</v>
      </c>
      <c r="G3355" s="521">
        <v>13.5</v>
      </c>
      <c r="H3355" s="486">
        <v>3.1250000000000002E-3</v>
      </c>
      <c r="I3355" s="523">
        <v>-0.02</v>
      </c>
      <c r="J3355" s="523">
        <v>-0.02</v>
      </c>
    </row>
    <row r="3356" spans="1:10" s="559" customFormat="1">
      <c r="A3356" s="399" t="s">
        <v>346</v>
      </c>
      <c r="B3356" s="522">
        <v>900951</v>
      </c>
      <c r="C3356" s="522"/>
      <c r="D3356" s="399" t="s">
        <v>815</v>
      </c>
      <c r="E3356" s="522">
        <v>201603</v>
      </c>
      <c r="F3356" s="431">
        <v>-5783.25</v>
      </c>
      <c r="G3356" s="521">
        <v>13.5</v>
      </c>
      <c r="H3356" s="486">
        <v>3.1250000000000002E-3</v>
      </c>
      <c r="I3356" s="523">
        <v>-243.98</v>
      </c>
      <c r="J3356" s="523">
        <v>-216.87</v>
      </c>
    </row>
    <row r="3357" spans="1:10" s="559" customFormat="1">
      <c r="A3357" s="399" t="s">
        <v>346</v>
      </c>
      <c r="B3357" s="522">
        <v>900952</v>
      </c>
      <c r="C3357" s="522"/>
      <c r="D3357" s="399" t="s">
        <v>675</v>
      </c>
      <c r="E3357" s="522">
        <v>201603</v>
      </c>
      <c r="F3357" s="431">
        <v>-433.7</v>
      </c>
      <c r="G3357" s="521">
        <v>13.5</v>
      </c>
      <c r="H3357" s="486">
        <v>3.1250000000000002E-3</v>
      </c>
      <c r="I3357" s="523">
        <v>-18.3</v>
      </c>
      <c r="J3357" s="523">
        <v>-16.260000000000002</v>
      </c>
    </row>
    <row r="3358" spans="1:10" s="559" customFormat="1">
      <c r="A3358" s="399" t="s">
        <v>346</v>
      </c>
      <c r="B3358" s="522">
        <v>900953</v>
      </c>
      <c r="C3358" s="522"/>
      <c r="D3358" s="399" t="s">
        <v>791</v>
      </c>
      <c r="E3358" s="522">
        <v>201603</v>
      </c>
      <c r="F3358" s="431">
        <v>-347.72</v>
      </c>
      <c r="G3358" s="521">
        <v>13.5</v>
      </c>
      <c r="H3358" s="486">
        <v>3.1250000000000002E-3</v>
      </c>
      <c r="I3358" s="523">
        <v>-14.67</v>
      </c>
      <c r="J3358" s="523">
        <v>-13.04</v>
      </c>
    </row>
    <row r="3359" spans="1:10" s="559" customFormat="1">
      <c r="A3359" s="399" t="s">
        <v>346</v>
      </c>
      <c r="B3359" s="522">
        <v>900973</v>
      </c>
      <c r="C3359" s="522"/>
      <c r="D3359" s="399" t="s">
        <v>724</v>
      </c>
      <c r="E3359" s="522">
        <v>201603</v>
      </c>
      <c r="F3359" s="431">
        <v>4108.2299999999996</v>
      </c>
      <c r="G3359" s="521">
        <v>13.5</v>
      </c>
      <c r="H3359" s="486">
        <v>3.1250000000000002E-3</v>
      </c>
      <c r="I3359" s="523">
        <v>173.32</v>
      </c>
      <c r="J3359" s="523">
        <v>154.06</v>
      </c>
    </row>
    <row r="3360" spans="1:10" s="559" customFormat="1">
      <c r="A3360" s="399" t="s">
        <v>346</v>
      </c>
      <c r="B3360" s="522">
        <v>900983</v>
      </c>
      <c r="C3360" s="522"/>
      <c r="D3360" s="399" t="s">
        <v>679</v>
      </c>
      <c r="E3360" s="522">
        <v>201603</v>
      </c>
      <c r="F3360" s="431">
        <v>-4816.17</v>
      </c>
      <c r="G3360" s="521">
        <v>13.5</v>
      </c>
      <c r="H3360" s="486">
        <v>3.1250000000000002E-3</v>
      </c>
      <c r="I3360" s="523">
        <v>-203.18</v>
      </c>
      <c r="J3360" s="523">
        <v>-180.61</v>
      </c>
    </row>
    <row r="3361" spans="1:10" s="559" customFormat="1">
      <c r="A3361" s="399" t="s">
        <v>346</v>
      </c>
      <c r="B3361" s="522">
        <v>900988</v>
      </c>
      <c r="C3361" s="522"/>
      <c r="D3361" s="399" t="s">
        <v>681</v>
      </c>
      <c r="E3361" s="522">
        <v>201603</v>
      </c>
      <c r="F3361" s="431">
        <v>-32.200000000000003</v>
      </c>
      <c r="G3361" s="521">
        <v>13.5</v>
      </c>
      <c r="H3361" s="486">
        <v>3.1250000000000002E-3</v>
      </c>
      <c r="I3361" s="523">
        <v>-1.36</v>
      </c>
      <c r="J3361" s="523">
        <v>-1.21</v>
      </c>
    </row>
    <row r="3362" spans="1:10" s="559" customFormat="1">
      <c r="A3362" s="399" t="s">
        <v>346</v>
      </c>
      <c r="B3362" s="522">
        <v>901059</v>
      </c>
      <c r="C3362" s="522"/>
      <c r="D3362" s="399" t="s">
        <v>685</v>
      </c>
      <c r="E3362" s="522">
        <v>201603</v>
      </c>
      <c r="F3362" s="431">
        <v>-17.13</v>
      </c>
      <c r="G3362" s="521">
        <v>13.5</v>
      </c>
      <c r="H3362" s="486">
        <v>3.1250000000000002E-3</v>
      </c>
      <c r="I3362" s="523">
        <v>-0.72</v>
      </c>
      <c r="J3362" s="523">
        <v>-0.64</v>
      </c>
    </row>
    <row r="3363" spans="1:10" s="559" customFormat="1">
      <c r="A3363" s="399" t="s">
        <v>346</v>
      </c>
      <c r="B3363" s="522">
        <v>901063</v>
      </c>
      <c r="C3363" s="522"/>
      <c r="D3363" s="399" t="s">
        <v>711</v>
      </c>
      <c r="E3363" s="522">
        <v>201603</v>
      </c>
      <c r="F3363" s="431">
        <v>-9.42</v>
      </c>
      <c r="G3363" s="521">
        <v>13.5</v>
      </c>
      <c r="H3363" s="486">
        <v>3.1250000000000002E-3</v>
      </c>
      <c r="I3363" s="523">
        <v>-0.4</v>
      </c>
      <c r="J3363" s="523">
        <v>-0.35</v>
      </c>
    </row>
    <row r="3364" spans="1:10" s="559" customFormat="1">
      <c r="A3364" s="399" t="s">
        <v>346</v>
      </c>
      <c r="B3364" s="522">
        <v>901081</v>
      </c>
      <c r="C3364" s="522"/>
      <c r="D3364" s="399" t="s">
        <v>713</v>
      </c>
      <c r="E3364" s="522">
        <v>201603</v>
      </c>
      <c r="F3364" s="431">
        <v>-172.34</v>
      </c>
      <c r="G3364" s="521">
        <v>13.5</v>
      </c>
      <c r="H3364" s="486">
        <v>3.1250000000000002E-3</v>
      </c>
      <c r="I3364" s="523">
        <v>-7.27</v>
      </c>
      <c r="J3364" s="523">
        <v>-6.46</v>
      </c>
    </row>
    <row r="3365" spans="1:10" s="559" customFormat="1">
      <c r="A3365" s="399" t="s">
        <v>346</v>
      </c>
      <c r="B3365" s="522">
        <v>901087</v>
      </c>
      <c r="C3365" s="522"/>
      <c r="D3365" s="399" t="s">
        <v>823</v>
      </c>
      <c r="E3365" s="522">
        <v>201603</v>
      </c>
      <c r="F3365" s="431">
        <v>-15680.59</v>
      </c>
      <c r="G3365" s="521">
        <v>13.5</v>
      </c>
      <c r="H3365" s="486">
        <v>3.1250000000000002E-3</v>
      </c>
      <c r="I3365" s="523">
        <v>-661.52</v>
      </c>
      <c r="J3365" s="523">
        <v>-588.02</v>
      </c>
    </row>
    <row r="3366" spans="1:10" s="559" customFormat="1">
      <c r="A3366" s="399" t="s">
        <v>346</v>
      </c>
      <c r="B3366" s="522">
        <v>901088</v>
      </c>
      <c r="C3366" s="522"/>
      <c r="D3366" s="399" t="s">
        <v>691</v>
      </c>
      <c r="E3366" s="522">
        <v>201603</v>
      </c>
      <c r="F3366" s="431">
        <v>-6116.11</v>
      </c>
      <c r="G3366" s="521">
        <v>13.5</v>
      </c>
      <c r="H3366" s="486">
        <v>3.1250000000000002E-3</v>
      </c>
      <c r="I3366" s="523">
        <v>-258.02</v>
      </c>
      <c r="J3366" s="523">
        <v>-229.35</v>
      </c>
    </row>
    <row r="3367" spans="1:10" s="559" customFormat="1">
      <c r="A3367" s="399" t="s">
        <v>346</v>
      </c>
      <c r="B3367" s="522">
        <v>901111</v>
      </c>
      <c r="C3367" s="522"/>
      <c r="D3367" s="399" t="s">
        <v>693</v>
      </c>
      <c r="E3367" s="522">
        <v>201603</v>
      </c>
      <c r="F3367" s="431">
        <v>-22.78</v>
      </c>
      <c r="G3367" s="521">
        <v>13.5</v>
      </c>
      <c r="H3367" s="486">
        <v>3.1250000000000002E-3</v>
      </c>
      <c r="I3367" s="523">
        <v>-0.96</v>
      </c>
      <c r="J3367" s="523">
        <v>-0.85</v>
      </c>
    </row>
    <row r="3368" spans="1:10" s="559" customFormat="1">
      <c r="A3368" s="399" t="s">
        <v>346</v>
      </c>
      <c r="B3368" s="522">
        <v>901114</v>
      </c>
      <c r="C3368" s="522"/>
      <c r="D3368" s="399" t="s">
        <v>695</v>
      </c>
      <c r="E3368" s="522">
        <v>201603</v>
      </c>
      <c r="F3368" s="431">
        <v>844.88</v>
      </c>
      <c r="G3368" s="521">
        <v>13.5</v>
      </c>
      <c r="H3368" s="486">
        <v>3.1250000000000002E-3</v>
      </c>
      <c r="I3368" s="523">
        <v>35.64</v>
      </c>
      <c r="J3368" s="523">
        <v>31.68</v>
      </c>
    </row>
    <row r="3369" spans="1:10" s="559" customFormat="1">
      <c r="A3369" s="399" t="s">
        <v>346</v>
      </c>
      <c r="B3369" s="522">
        <v>901139</v>
      </c>
      <c r="C3369" s="522"/>
      <c r="D3369" s="399" t="s">
        <v>697</v>
      </c>
      <c r="E3369" s="522">
        <v>201603</v>
      </c>
      <c r="F3369" s="431">
        <v>0.08</v>
      </c>
      <c r="G3369" s="521">
        <v>13.5</v>
      </c>
      <c r="H3369" s="486">
        <v>3.1250000000000002E-3</v>
      </c>
      <c r="I3369" s="523">
        <v>0</v>
      </c>
      <c r="J3369" s="523">
        <v>0</v>
      </c>
    </row>
    <row r="3370" spans="1:10" s="559" customFormat="1">
      <c r="A3370" s="399" t="s">
        <v>346</v>
      </c>
      <c r="B3370" s="522">
        <v>901162</v>
      </c>
      <c r="C3370" s="522"/>
      <c r="D3370" s="399" t="s">
        <v>701</v>
      </c>
      <c r="E3370" s="522">
        <v>201603</v>
      </c>
      <c r="F3370" s="431">
        <v>-1127.33</v>
      </c>
      <c r="G3370" s="521">
        <v>13.5</v>
      </c>
      <c r="H3370" s="486">
        <v>3.1250000000000002E-3</v>
      </c>
      <c r="I3370" s="523">
        <v>-47.56</v>
      </c>
      <c r="J3370" s="523">
        <v>-42.27</v>
      </c>
    </row>
    <row r="3371" spans="1:10" s="559" customFormat="1">
      <c r="A3371" s="399" t="s">
        <v>346</v>
      </c>
      <c r="B3371" s="522">
        <v>901163</v>
      </c>
      <c r="C3371" s="522"/>
      <c r="D3371" s="399" t="s">
        <v>795</v>
      </c>
      <c r="E3371" s="522">
        <v>201603</v>
      </c>
      <c r="F3371" s="431">
        <v>-994.43</v>
      </c>
      <c r="G3371" s="521">
        <v>13.5</v>
      </c>
      <c r="H3371" s="486">
        <v>3.1250000000000002E-3</v>
      </c>
      <c r="I3371" s="523">
        <v>-41.95</v>
      </c>
      <c r="J3371" s="523">
        <v>-37.29</v>
      </c>
    </row>
    <row r="3372" spans="1:10" s="559" customFormat="1">
      <c r="A3372" s="399" t="s">
        <v>346</v>
      </c>
      <c r="B3372" s="522">
        <v>901173</v>
      </c>
      <c r="C3372" s="522"/>
      <c r="D3372" s="399" t="s">
        <v>714</v>
      </c>
      <c r="E3372" s="522">
        <v>201603</v>
      </c>
      <c r="F3372" s="431">
        <v>-0.42</v>
      </c>
      <c r="G3372" s="521">
        <v>13.5</v>
      </c>
      <c r="H3372" s="486">
        <v>3.1250000000000002E-3</v>
      </c>
      <c r="I3372" s="523">
        <v>-0.02</v>
      </c>
      <c r="J3372" s="523">
        <v>-0.02</v>
      </c>
    </row>
    <row r="3373" spans="1:10" s="559" customFormat="1">
      <c r="A3373" s="399" t="s">
        <v>346</v>
      </c>
      <c r="B3373" s="522">
        <v>901178</v>
      </c>
      <c r="C3373" s="522"/>
      <c r="D3373" s="399" t="s">
        <v>703</v>
      </c>
      <c r="E3373" s="522">
        <v>201603</v>
      </c>
      <c r="F3373" s="431">
        <v>2723.5</v>
      </c>
      <c r="G3373" s="521">
        <v>13.5</v>
      </c>
      <c r="H3373" s="486">
        <v>3.1250000000000002E-3</v>
      </c>
      <c r="I3373" s="523">
        <v>114.9</v>
      </c>
      <c r="J3373" s="523">
        <v>102.13</v>
      </c>
    </row>
    <row r="3374" spans="1:10" s="559" customFormat="1">
      <c r="A3374" s="399" t="s">
        <v>346</v>
      </c>
      <c r="B3374" s="522">
        <v>901187</v>
      </c>
      <c r="C3374" s="522"/>
      <c r="D3374" s="399" t="s">
        <v>827</v>
      </c>
      <c r="E3374" s="522">
        <v>201603</v>
      </c>
      <c r="F3374" s="431">
        <v>2627.99</v>
      </c>
      <c r="G3374" s="521">
        <v>13.5</v>
      </c>
      <c r="H3374" s="486">
        <v>3.1250000000000002E-3</v>
      </c>
      <c r="I3374" s="523">
        <v>110.87</v>
      </c>
      <c r="J3374" s="523">
        <v>98.55</v>
      </c>
    </row>
    <row r="3375" spans="1:10" s="559" customFormat="1">
      <c r="A3375" s="399" t="s">
        <v>346</v>
      </c>
      <c r="B3375" s="522">
        <v>901308</v>
      </c>
      <c r="C3375" s="522"/>
      <c r="D3375" s="399" t="s">
        <v>730</v>
      </c>
      <c r="E3375" s="522">
        <v>201603</v>
      </c>
      <c r="F3375" s="431">
        <v>-96.79</v>
      </c>
      <c r="G3375" s="521">
        <v>13.5</v>
      </c>
      <c r="H3375" s="486">
        <v>3.1250000000000002E-3</v>
      </c>
      <c r="I3375" s="523">
        <v>-4.08</v>
      </c>
      <c r="J3375" s="523">
        <v>-3.63</v>
      </c>
    </row>
    <row r="3376" spans="1:10" s="559" customFormat="1">
      <c r="A3376" s="399" t="s">
        <v>346</v>
      </c>
      <c r="B3376" s="522">
        <v>694250</v>
      </c>
      <c r="C3376" s="522"/>
      <c r="D3376" s="399" t="s">
        <v>732</v>
      </c>
      <c r="E3376" s="522">
        <v>201604</v>
      </c>
      <c r="F3376" s="431">
        <v>-50.45</v>
      </c>
      <c r="G3376" s="521">
        <v>12.5</v>
      </c>
      <c r="H3376" s="486">
        <v>3.1250000000000002E-3</v>
      </c>
      <c r="I3376" s="523">
        <v>-1.97</v>
      </c>
      <c r="J3376" s="523">
        <v>-1.89</v>
      </c>
    </row>
    <row r="3377" spans="1:10" s="559" customFormat="1">
      <c r="A3377" s="399" t="s">
        <v>346</v>
      </c>
      <c r="B3377" s="522">
        <v>695300</v>
      </c>
      <c r="C3377" s="522"/>
      <c r="D3377" s="399" t="s">
        <v>348</v>
      </c>
      <c r="E3377" s="522">
        <v>201604</v>
      </c>
      <c r="F3377" s="431">
        <v>1028595.41</v>
      </c>
      <c r="G3377" s="521">
        <v>12.5</v>
      </c>
      <c r="H3377" s="486">
        <v>3.1250000000000002E-3</v>
      </c>
      <c r="I3377" s="523">
        <v>40179.51</v>
      </c>
      <c r="J3377" s="523">
        <v>38572.33</v>
      </c>
    </row>
    <row r="3378" spans="1:10" s="559" customFormat="1">
      <c r="A3378" s="399" t="s">
        <v>346</v>
      </c>
      <c r="B3378" s="522">
        <v>695310</v>
      </c>
      <c r="C3378" s="522"/>
      <c r="D3378" s="399" t="s">
        <v>350</v>
      </c>
      <c r="E3378" s="522">
        <v>201604</v>
      </c>
      <c r="F3378" s="431">
        <v>12801.53</v>
      </c>
      <c r="G3378" s="521">
        <v>12.5</v>
      </c>
      <c r="H3378" s="486">
        <v>3.1250000000000002E-3</v>
      </c>
      <c r="I3378" s="523">
        <v>500.06</v>
      </c>
      <c r="J3378" s="523">
        <v>480.06</v>
      </c>
    </row>
    <row r="3379" spans="1:10" s="559" customFormat="1">
      <c r="A3379" s="399" t="s">
        <v>346</v>
      </c>
      <c r="B3379" s="522">
        <v>695320</v>
      </c>
      <c r="C3379" s="522"/>
      <c r="D3379" s="399" t="s">
        <v>352</v>
      </c>
      <c r="E3379" s="522">
        <v>201604</v>
      </c>
      <c r="F3379" s="431">
        <v>1711.66</v>
      </c>
      <c r="G3379" s="521">
        <v>12.5</v>
      </c>
      <c r="H3379" s="486">
        <v>3.1250000000000002E-3</v>
      </c>
      <c r="I3379" s="523">
        <v>66.86</v>
      </c>
      <c r="J3379" s="523">
        <v>64.19</v>
      </c>
    </row>
    <row r="3380" spans="1:10" s="559" customFormat="1">
      <c r="A3380" s="399" t="s">
        <v>346</v>
      </c>
      <c r="B3380" s="522">
        <v>695330</v>
      </c>
      <c r="C3380" s="522"/>
      <c r="D3380" s="399" t="s">
        <v>354</v>
      </c>
      <c r="E3380" s="522">
        <v>201604</v>
      </c>
      <c r="F3380" s="431">
        <v>1478.57</v>
      </c>
      <c r="G3380" s="521">
        <v>12.5</v>
      </c>
      <c r="H3380" s="486">
        <v>3.1250000000000002E-3</v>
      </c>
      <c r="I3380" s="523">
        <v>57.76</v>
      </c>
      <c r="J3380" s="523">
        <v>55.45</v>
      </c>
    </row>
    <row r="3381" spans="1:10" s="559" customFormat="1">
      <c r="A3381" s="399" t="s">
        <v>346</v>
      </c>
      <c r="B3381" s="522">
        <v>695800</v>
      </c>
      <c r="C3381" s="522"/>
      <c r="D3381" s="399" t="s">
        <v>356</v>
      </c>
      <c r="E3381" s="522">
        <v>201604</v>
      </c>
      <c r="F3381" s="431">
        <v>55086.22</v>
      </c>
      <c r="G3381" s="521">
        <v>12.5</v>
      </c>
      <c r="H3381" s="486">
        <v>3.1250000000000002E-3</v>
      </c>
      <c r="I3381" s="523">
        <v>2151.81</v>
      </c>
      <c r="J3381" s="523">
        <v>2065.73</v>
      </c>
    </row>
    <row r="3382" spans="1:10" s="559" customFormat="1">
      <c r="A3382" s="399" t="s">
        <v>346</v>
      </c>
      <c r="B3382" s="522">
        <v>695810</v>
      </c>
      <c r="C3382" s="522"/>
      <c r="D3382" s="399" t="s">
        <v>358</v>
      </c>
      <c r="E3382" s="522">
        <v>201604</v>
      </c>
      <c r="F3382" s="431">
        <v>10960.04</v>
      </c>
      <c r="G3382" s="521">
        <v>12.5</v>
      </c>
      <c r="H3382" s="486">
        <v>3.1250000000000002E-3</v>
      </c>
      <c r="I3382" s="523">
        <v>428.13</v>
      </c>
      <c r="J3382" s="523">
        <v>411</v>
      </c>
    </row>
    <row r="3383" spans="1:10" s="559" customFormat="1">
      <c r="A3383" s="399" t="s">
        <v>346</v>
      </c>
      <c r="B3383" s="522">
        <v>695820</v>
      </c>
      <c r="C3383" s="522"/>
      <c r="D3383" s="399" t="s">
        <v>360</v>
      </c>
      <c r="E3383" s="522">
        <v>201604</v>
      </c>
      <c r="F3383" s="431">
        <v>2409.14</v>
      </c>
      <c r="G3383" s="521">
        <v>12.5</v>
      </c>
      <c r="H3383" s="486">
        <v>3.1250000000000002E-3</v>
      </c>
      <c r="I3383" s="523">
        <v>94.11</v>
      </c>
      <c r="J3383" s="523">
        <v>90.34</v>
      </c>
    </row>
    <row r="3384" spans="1:10" s="559" customFormat="1">
      <c r="A3384" s="399" t="s">
        <v>346</v>
      </c>
      <c r="B3384" s="522">
        <v>695830</v>
      </c>
      <c r="C3384" s="522"/>
      <c r="D3384" s="399" t="s">
        <v>362</v>
      </c>
      <c r="E3384" s="522">
        <v>201604</v>
      </c>
      <c r="F3384" s="431">
        <v>853.38</v>
      </c>
      <c r="G3384" s="521">
        <v>12.5</v>
      </c>
      <c r="H3384" s="486">
        <v>3.1250000000000002E-3</v>
      </c>
      <c r="I3384" s="523">
        <v>33.340000000000003</v>
      </c>
      <c r="J3384" s="523">
        <v>32</v>
      </c>
    </row>
    <row r="3385" spans="1:10" s="559" customFormat="1">
      <c r="A3385" s="399" t="s">
        <v>346</v>
      </c>
      <c r="B3385" s="522">
        <v>696400</v>
      </c>
      <c r="C3385" s="522"/>
      <c r="D3385" s="399" t="s">
        <v>366</v>
      </c>
      <c r="E3385" s="522">
        <v>201604</v>
      </c>
      <c r="F3385" s="431">
        <v>-34.770000000000003</v>
      </c>
      <c r="G3385" s="521">
        <v>12.5</v>
      </c>
      <c r="H3385" s="486">
        <v>3.1250000000000002E-3</v>
      </c>
      <c r="I3385" s="523">
        <v>-1.36</v>
      </c>
      <c r="J3385" s="523">
        <v>-1.3</v>
      </c>
    </row>
    <row r="3386" spans="1:10" s="559" customFormat="1">
      <c r="A3386" s="399" t="s">
        <v>346</v>
      </c>
      <c r="B3386" s="522">
        <v>696450</v>
      </c>
      <c r="C3386" s="522"/>
      <c r="D3386" s="399" t="s">
        <v>368</v>
      </c>
      <c r="E3386" s="522">
        <v>201604</v>
      </c>
      <c r="F3386" s="431">
        <v>14456.71</v>
      </c>
      <c r="G3386" s="521">
        <v>12.5</v>
      </c>
      <c r="H3386" s="486">
        <v>3.1250000000000002E-3</v>
      </c>
      <c r="I3386" s="523">
        <v>564.72</v>
      </c>
      <c r="J3386" s="523">
        <v>542.13</v>
      </c>
    </row>
    <row r="3387" spans="1:10" s="559" customFormat="1">
      <c r="A3387" s="399" t="s">
        <v>346</v>
      </c>
      <c r="B3387" s="522">
        <v>696480</v>
      </c>
      <c r="C3387" s="522"/>
      <c r="D3387" s="399" t="s">
        <v>586</v>
      </c>
      <c r="E3387" s="522">
        <v>201604</v>
      </c>
      <c r="F3387" s="431">
        <v>458.34</v>
      </c>
      <c r="G3387" s="521">
        <v>12.5</v>
      </c>
      <c r="H3387" s="486">
        <v>3.1250000000000002E-3</v>
      </c>
      <c r="I3387" s="523">
        <v>17.899999999999999</v>
      </c>
      <c r="J3387" s="523">
        <v>17.190000000000001</v>
      </c>
    </row>
    <row r="3388" spans="1:10" s="559" customFormat="1">
      <c r="A3388" s="399" t="s">
        <v>346</v>
      </c>
      <c r="B3388" s="522">
        <v>697450</v>
      </c>
      <c r="C3388" s="522"/>
      <c r="D3388" s="399" t="s">
        <v>370</v>
      </c>
      <c r="E3388" s="522">
        <v>201604</v>
      </c>
      <c r="F3388" s="431">
        <v>14823.08</v>
      </c>
      <c r="G3388" s="521">
        <v>12.5</v>
      </c>
      <c r="H3388" s="486">
        <v>3.1250000000000002E-3</v>
      </c>
      <c r="I3388" s="523">
        <v>579.03</v>
      </c>
      <c r="J3388" s="523">
        <v>555.87</v>
      </c>
    </row>
    <row r="3389" spans="1:10" s="559" customFormat="1">
      <c r="A3389" s="399" t="s">
        <v>346</v>
      </c>
      <c r="B3389" s="522">
        <v>697460</v>
      </c>
      <c r="C3389" s="522"/>
      <c r="D3389" s="399" t="s">
        <v>372</v>
      </c>
      <c r="E3389" s="522">
        <v>201604</v>
      </c>
      <c r="F3389" s="431">
        <v>1.01</v>
      </c>
      <c r="G3389" s="521">
        <v>12.5</v>
      </c>
      <c r="H3389" s="486">
        <v>3.1250000000000002E-3</v>
      </c>
      <c r="I3389" s="523">
        <v>0.04</v>
      </c>
      <c r="J3389" s="523">
        <v>0.04</v>
      </c>
    </row>
    <row r="3390" spans="1:10" s="559" customFormat="1">
      <c r="A3390" s="399" t="s">
        <v>346</v>
      </c>
      <c r="B3390" s="522">
        <v>698400</v>
      </c>
      <c r="C3390" s="522"/>
      <c r="D3390" s="399" t="s">
        <v>376</v>
      </c>
      <c r="E3390" s="522">
        <v>201604</v>
      </c>
      <c r="F3390" s="431">
        <v>-3596.29</v>
      </c>
      <c r="G3390" s="521">
        <v>12.5</v>
      </c>
      <c r="H3390" s="486">
        <v>3.1250000000000002E-3</v>
      </c>
      <c r="I3390" s="523">
        <v>-140.47999999999999</v>
      </c>
      <c r="J3390" s="523">
        <v>-134.86000000000001</v>
      </c>
    </row>
    <row r="3391" spans="1:10" s="559" customFormat="1">
      <c r="A3391" s="399" t="s">
        <v>346</v>
      </c>
      <c r="B3391" s="522">
        <v>698450</v>
      </c>
      <c r="C3391" s="522"/>
      <c r="D3391" s="399" t="s">
        <v>378</v>
      </c>
      <c r="E3391" s="522">
        <v>201604</v>
      </c>
      <c r="F3391" s="431">
        <v>63720.59</v>
      </c>
      <c r="G3391" s="521">
        <v>12.5</v>
      </c>
      <c r="H3391" s="486">
        <v>3.1250000000000002E-3</v>
      </c>
      <c r="I3391" s="523">
        <v>2489.09</v>
      </c>
      <c r="J3391" s="523">
        <v>2389.52</v>
      </c>
    </row>
    <row r="3392" spans="1:10" s="559" customFormat="1">
      <c r="A3392" s="399" t="s">
        <v>346</v>
      </c>
      <c r="B3392" s="522">
        <v>698460</v>
      </c>
      <c r="C3392" s="522"/>
      <c r="D3392" s="399" t="s">
        <v>380</v>
      </c>
      <c r="E3392" s="522">
        <v>201604</v>
      </c>
      <c r="F3392" s="431">
        <v>1586.55</v>
      </c>
      <c r="G3392" s="521">
        <v>12.5</v>
      </c>
      <c r="H3392" s="486">
        <v>3.1250000000000002E-3</v>
      </c>
      <c r="I3392" s="523">
        <v>61.97</v>
      </c>
      <c r="J3392" s="523">
        <v>59.5</v>
      </c>
    </row>
    <row r="3393" spans="1:10" s="559" customFormat="1">
      <c r="A3393" s="399" t="s">
        <v>346</v>
      </c>
      <c r="B3393" s="522">
        <v>698480</v>
      </c>
      <c r="C3393" s="522"/>
      <c r="D3393" s="399" t="s">
        <v>384</v>
      </c>
      <c r="E3393" s="522">
        <v>201604</v>
      </c>
      <c r="F3393" s="431">
        <v>779.5</v>
      </c>
      <c r="G3393" s="521">
        <v>12.5</v>
      </c>
      <c r="H3393" s="486">
        <v>3.1250000000000002E-3</v>
      </c>
      <c r="I3393" s="523">
        <v>30.45</v>
      </c>
      <c r="J3393" s="523">
        <v>29.23</v>
      </c>
    </row>
    <row r="3394" spans="1:10" s="559" customFormat="1">
      <c r="A3394" s="399" t="s">
        <v>346</v>
      </c>
      <c r="B3394" s="522">
        <v>699300</v>
      </c>
      <c r="C3394" s="522"/>
      <c r="D3394" s="399" t="s">
        <v>386</v>
      </c>
      <c r="E3394" s="522">
        <v>201604</v>
      </c>
      <c r="F3394" s="431">
        <v>377606.63</v>
      </c>
      <c r="G3394" s="521">
        <v>12.5</v>
      </c>
      <c r="H3394" s="486">
        <v>3.1250000000000002E-3</v>
      </c>
      <c r="I3394" s="523">
        <v>14750.26</v>
      </c>
      <c r="J3394" s="523">
        <v>14160.25</v>
      </c>
    </row>
    <row r="3395" spans="1:10" s="559" customFormat="1">
      <c r="A3395" s="399" t="s">
        <v>346</v>
      </c>
      <c r="B3395" s="522">
        <v>699310</v>
      </c>
      <c r="C3395" s="522"/>
      <c r="D3395" s="399" t="s">
        <v>388</v>
      </c>
      <c r="E3395" s="522">
        <v>201604</v>
      </c>
      <c r="F3395" s="431">
        <v>58787.99</v>
      </c>
      <c r="G3395" s="521">
        <v>12.5</v>
      </c>
      <c r="H3395" s="486">
        <v>3.1250000000000002E-3</v>
      </c>
      <c r="I3395" s="523">
        <v>2296.41</v>
      </c>
      <c r="J3395" s="523">
        <v>2204.5500000000002</v>
      </c>
    </row>
    <row r="3396" spans="1:10" s="559" customFormat="1">
      <c r="A3396" s="399" t="s">
        <v>346</v>
      </c>
      <c r="B3396" s="522">
        <v>699320</v>
      </c>
      <c r="C3396" s="522"/>
      <c r="D3396" s="399" t="s">
        <v>390</v>
      </c>
      <c r="E3396" s="522">
        <v>201604</v>
      </c>
      <c r="F3396" s="431">
        <v>20595.419999999998</v>
      </c>
      <c r="G3396" s="521">
        <v>12.5</v>
      </c>
      <c r="H3396" s="486">
        <v>3.1250000000000002E-3</v>
      </c>
      <c r="I3396" s="523">
        <v>804.51</v>
      </c>
      <c r="J3396" s="523">
        <v>772.33</v>
      </c>
    </row>
    <row r="3397" spans="1:10" s="559" customFormat="1">
      <c r="A3397" s="399" t="s">
        <v>346</v>
      </c>
      <c r="B3397" s="522">
        <v>699330</v>
      </c>
      <c r="C3397" s="522"/>
      <c r="D3397" s="399" t="s">
        <v>392</v>
      </c>
      <c r="E3397" s="522">
        <v>201604</v>
      </c>
      <c r="F3397" s="431">
        <v>6572.91</v>
      </c>
      <c r="G3397" s="521">
        <v>12.5</v>
      </c>
      <c r="H3397" s="486">
        <v>3.1250000000000002E-3</v>
      </c>
      <c r="I3397" s="523">
        <v>256.75</v>
      </c>
      <c r="J3397" s="523">
        <v>246.48</v>
      </c>
    </row>
    <row r="3398" spans="1:10" s="559" customFormat="1">
      <c r="A3398" s="399" t="s">
        <v>346</v>
      </c>
      <c r="B3398" s="522">
        <v>699400</v>
      </c>
      <c r="C3398" s="522"/>
      <c r="D3398" s="399" t="s">
        <v>394</v>
      </c>
      <c r="E3398" s="522">
        <v>201604</v>
      </c>
      <c r="F3398" s="431">
        <v>-12902.07</v>
      </c>
      <c r="G3398" s="521">
        <v>12.5</v>
      </c>
      <c r="H3398" s="486">
        <v>3.1250000000000002E-3</v>
      </c>
      <c r="I3398" s="523">
        <v>-503.99</v>
      </c>
      <c r="J3398" s="523">
        <v>-483.83</v>
      </c>
    </row>
    <row r="3399" spans="1:10" s="559" customFormat="1">
      <c r="A3399" s="399" t="s">
        <v>346</v>
      </c>
      <c r="B3399" s="522">
        <v>699410</v>
      </c>
      <c r="C3399" s="522"/>
      <c r="D3399" s="399" t="s">
        <v>396</v>
      </c>
      <c r="E3399" s="522">
        <v>201604</v>
      </c>
      <c r="F3399" s="431">
        <v>-30343.29</v>
      </c>
      <c r="G3399" s="521">
        <v>12.5</v>
      </c>
      <c r="H3399" s="486">
        <v>3.1250000000000002E-3</v>
      </c>
      <c r="I3399" s="523">
        <v>-1185.28</v>
      </c>
      <c r="J3399" s="523">
        <v>-1137.8699999999999</v>
      </c>
    </row>
    <row r="3400" spans="1:10" s="559" customFormat="1">
      <c r="A3400" s="399" t="s">
        <v>346</v>
      </c>
      <c r="B3400" s="522">
        <v>900068</v>
      </c>
      <c r="C3400" s="522"/>
      <c r="D3400" s="399" t="s">
        <v>547</v>
      </c>
      <c r="E3400" s="522">
        <v>201604</v>
      </c>
      <c r="F3400" s="431">
        <v>-0.03</v>
      </c>
      <c r="G3400" s="521">
        <v>12.5</v>
      </c>
      <c r="H3400" s="486">
        <v>3.1250000000000002E-3</v>
      </c>
      <c r="I3400" s="523">
        <v>0</v>
      </c>
      <c r="J3400" s="523">
        <v>0</v>
      </c>
    </row>
    <row r="3401" spans="1:10" s="559" customFormat="1">
      <c r="A3401" s="399" t="s">
        <v>346</v>
      </c>
      <c r="B3401" s="522">
        <v>900069</v>
      </c>
      <c r="C3401" s="522"/>
      <c r="D3401" s="399" t="s">
        <v>590</v>
      </c>
      <c r="E3401" s="522">
        <v>201604</v>
      </c>
      <c r="F3401" s="431">
        <v>75.349999999999994</v>
      </c>
      <c r="G3401" s="521">
        <v>12.5</v>
      </c>
      <c r="H3401" s="486">
        <v>3.1250000000000002E-3</v>
      </c>
      <c r="I3401" s="523">
        <v>2.94</v>
      </c>
      <c r="J3401" s="523">
        <v>2.83</v>
      </c>
    </row>
    <row r="3402" spans="1:10" s="559" customFormat="1">
      <c r="A3402" s="399" t="s">
        <v>346</v>
      </c>
      <c r="B3402" s="522">
        <v>900071</v>
      </c>
      <c r="C3402" s="522"/>
      <c r="D3402" s="399" t="s">
        <v>644</v>
      </c>
      <c r="E3402" s="522">
        <v>201604</v>
      </c>
      <c r="F3402" s="431">
        <v>4134.09</v>
      </c>
      <c r="G3402" s="521">
        <v>12.5</v>
      </c>
      <c r="H3402" s="486">
        <v>3.1250000000000002E-3</v>
      </c>
      <c r="I3402" s="523">
        <v>161.49</v>
      </c>
      <c r="J3402" s="523">
        <v>155.03</v>
      </c>
    </row>
    <row r="3403" spans="1:10" s="559" customFormat="1">
      <c r="A3403" s="399" t="s">
        <v>346</v>
      </c>
      <c r="B3403" s="522">
        <v>900076</v>
      </c>
      <c r="C3403" s="522"/>
      <c r="D3403" s="399" t="s">
        <v>830</v>
      </c>
      <c r="E3403" s="522">
        <v>201604</v>
      </c>
      <c r="F3403" s="431">
        <v>364.38</v>
      </c>
      <c r="G3403" s="521">
        <v>12.5</v>
      </c>
      <c r="H3403" s="486">
        <v>3.1250000000000002E-3</v>
      </c>
      <c r="I3403" s="523">
        <v>14.23</v>
      </c>
      <c r="J3403" s="523">
        <v>13.66</v>
      </c>
    </row>
    <row r="3404" spans="1:10" s="559" customFormat="1">
      <c r="A3404" s="399" t="s">
        <v>346</v>
      </c>
      <c r="B3404" s="522">
        <v>900266</v>
      </c>
      <c r="C3404" s="522"/>
      <c r="D3404" s="399" t="s">
        <v>452</v>
      </c>
      <c r="E3404" s="522">
        <v>201604</v>
      </c>
      <c r="F3404" s="431">
        <v>9.14</v>
      </c>
      <c r="G3404" s="521">
        <v>12.5</v>
      </c>
      <c r="H3404" s="486">
        <v>3.1250000000000002E-3</v>
      </c>
      <c r="I3404" s="523">
        <v>0.36</v>
      </c>
      <c r="J3404" s="523">
        <v>0.34</v>
      </c>
    </row>
    <row r="3405" spans="1:10" s="559" customFormat="1">
      <c r="A3405" s="399" t="s">
        <v>346</v>
      </c>
      <c r="B3405" s="522">
        <v>900272</v>
      </c>
      <c r="C3405" s="522"/>
      <c r="D3405" s="399" t="s">
        <v>646</v>
      </c>
      <c r="E3405" s="522">
        <v>201604</v>
      </c>
      <c r="F3405" s="431">
        <v>-52888.92</v>
      </c>
      <c r="G3405" s="521">
        <v>12.5</v>
      </c>
      <c r="H3405" s="486">
        <v>3.1250000000000002E-3</v>
      </c>
      <c r="I3405" s="523">
        <v>-2065.9699999999998</v>
      </c>
      <c r="J3405" s="523">
        <v>-1983.33</v>
      </c>
    </row>
    <row r="3406" spans="1:10" s="559" customFormat="1">
      <c r="A3406" s="399" t="s">
        <v>346</v>
      </c>
      <c r="B3406" s="522">
        <v>900273</v>
      </c>
      <c r="C3406" s="522"/>
      <c r="D3406" s="399" t="s">
        <v>648</v>
      </c>
      <c r="E3406" s="522">
        <v>201604</v>
      </c>
      <c r="F3406" s="431">
        <v>-209411.19</v>
      </c>
      <c r="G3406" s="521">
        <v>12.5</v>
      </c>
      <c r="H3406" s="486">
        <v>3.1250000000000002E-3</v>
      </c>
      <c r="I3406" s="523">
        <v>-8180.12</v>
      </c>
      <c r="J3406" s="523">
        <v>-7852.92</v>
      </c>
    </row>
    <row r="3407" spans="1:10" s="559" customFormat="1">
      <c r="A3407" s="399" t="s">
        <v>346</v>
      </c>
      <c r="B3407" s="522">
        <v>900446</v>
      </c>
      <c r="C3407" s="522"/>
      <c r="D3407" s="399" t="s">
        <v>785</v>
      </c>
      <c r="E3407" s="522">
        <v>201604</v>
      </c>
      <c r="F3407" s="431">
        <v>12185.53</v>
      </c>
      <c r="G3407" s="521">
        <v>12.5</v>
      </c>
      <c r="H3407" s="486">
        <v>3.1250000000000002E-3</v>
      </c>
      <c r="I3407" s="523">
        <v>476</v>
      </c>
      <c r="J3407" s="523">
        <v>456.96</v>
      </c>
    </row>
    <row r="3408" spans="1:10" s="559" customFormat="1">
      <c r="A3408" s="399" t="s">
        <v>346</v>
      </c>
      <c r="B3408" s="522">
        <v>900447</v>
      </c>
      <c r="C3408" s="522"/>
      <c r="D3408" s="399" t="s">
        <v>591</v>
      </c>
      <c r="E3408" s="522">
        <v>201604</v>
      </c>
      <c r="F3408" s="431">
        <v>-37.35</v>
      </c>
      <c r="G3408" s="521">
        <v>12.5</v>
      </c>
      <c r="H3408" s="486">
        <v>3.1250000000000002E-3</v>
      </c>
      <c r="I3408" s="523">
        <v>-1.46</v>
      </c>
      <c r="J3408" s="523">
        <v>-1.4</v>
      </c>
    </row>
    <row r="3409" spans="1:10" s="559" customFormat="1">
      <c r="A3409" s="399" t="s">
        <v>346</v>
      </c>
      <c r="B3409" s="522">
        <v>900458</v>
      </c>
      <c r="C3409" s="522"/>
      <c r="D3409" s="399" t="s">
        <v>630</v>
      </c>
      <c r="E3409" s="522">
        <v>201604</v>
      </c>
      <c r="F3409" s="431">
        <v>224.83</v>
      </c>
      <c r="G3409" s="521">
        <v>12.5</v>
      </c>
      <c r="H3409" s="486">
        <v>3.1250000000000002E-3</v>
      </c>
      <c r="I3409" s="523">
        <v>8.7799999999999994</v>
      </c>
      <c r="J3409" s="523">
        <v>8.43</v>
      </c>
    </row>
    <row r="3410" spans="1:10" s="559" customFormat="1">
      <c r="A3410" s="399" t="s">
        <v>346</v>
      </c>
      <c r="B3410" s="522">
        <v>900476</v>
      </c>
      <c r="C3410" s="522"/>
      <c r="D3410" s="399" t="s">
        <v>593</v>
      </c>
      <c r="E3410" s="522">
        <v>201604</v>
      </c>
      <c r="F3410" s="431">
        <v>-0.02</v>
      </c>
      <c r="G3410" s="521">
        <v>12.5</v>
      </c>
      <c r="H3410" s="486">
        <v>3.1250000000000002E-3</v>
      </c>
      <c r="I3410" s="523">
        <v>0</v>
      </c>
      <c r="J3410" s="523">
        <v>0</v>
      </c>
    </row>
    <row r="3411" spans="1:10" s="559" customFormat="1">
      <c r="A3411" s="399" t="s">
        <v>346</v>
      </c>
      <c r="B3411" s="522">
        <v>900523</v>
      </c>
      <c r="C3411" s="522"/>
      <c r="D3411" s="399" t="s">
        <v>650</v>
      </c>
      <c r="E3411" s="522">
        <v>201604</v>
      </c>
      <c r="F3411" s="431">
        <v>26103.8</v>
      </c>
      <c r="G3411" s="521">
        <v>12.5</v>
      </c>
      <c r="H3411" s="486">
        <v>3.1250000000000002E-3</v>
      </c>
      <c r="I3411" s="523">
        <v>1019.68</v>
      </c>
      <c r="J3411" s="523">
        <v>978.89</v>
      </c>
    </row>
    <row r="3412" spans="1:10" s="559" customFormat="1">
      <c r="A3412" s="399" t="s">
        <v>346</v>
      </c>
      <c r="B3412" s="522">
        <v>900530</v>
      </c>
      <c r="C3412" s="522"/>
      <c r="D3412" s="399" t="s">
        <v>903</v>
      </c>
      <c r="E3412" s="522">
        <v>201604</v>
      </c>
      <c r="F3412" s="431">
        <v>5015.04</v>
      </c>
      <c r="G3412" s="521">
        <v>12.5</v>
      </c>
      <c r="H3412" s="486">
        <v>3.1250000000000002E-3</v>
      </c>
      <c r="I3412" s="523">
        <v>195.9</v>
      </c>
      <c r="J3412" s="523">
        <v>188.06</v>
      </c>
    </row>
    <row r="3413" spans="1:10" s="559" customFormat="1">
      <c r="A3413" s="399" t="s">
        <v>346</v>
      </c>
      <c r="B3413" s="522">
        <v>900531</v>
      </c>
      <c r="C3413" s="522"/>
      <c r="D3413" s="399" t="s">
        <v>905</v>
      </c>
      <c r="E3413" s="522">
        <v>201604</v>
      </c>
      <c r="F3413" s="431">
        <v>1255.8699999999999</v>
      </c>
      <c r="G3413" s="521">
        <v>12.5</v>
      </c>
      <c r="H3413" s="486">
        <v>3.1250000000000002E-3</v>
      </c>
      <c r="I3413" s="523">
        <v>49.06</v>
      </c>
      <c r="J3413" s="523">
        <v>47.1</v>
      </c>
    </row>
    <row r="3414" spans="1:10" s="559" customFormat="1">
      <c r="A3414" s="399" t="s">
        <v>346</v>
      </c>
      <c r="B3414" s="522">
        <v>900533</v>
      </c>
      <c r="C3414" s="522"/>
      <c r="D3414" s="399" t="s">
        <v>906</v>
      </c>
      <c r="E3414" s="522">
        <v>201604</v>
      </c>
      <c r="F3414" s="431">
        <v>104.88</v>
      </c>
      <c r="G3414" s="521">
        <v>12.5</v>
      </c>
      <c r="H3414" s="486">
        <v>3.1250000000000002E-3</v>
      </c>
      <c r="I3414" s="523">
        <v>4.0999999999999996</v>
      </c>
      <c r="J3414" s="523">
        <v>3.93</v>
      </c>
    </row>
    <row r="3415" spans="1:10" s="559" customFormat="1">
      <c r="A3415" s="399" t="s">
        <v>346</v>
      </c>
      <c r="B3415" s="522">
        <v>900534</v>
      </c>
      <c r="C3415" s="522"/>
      <c r="D3415" s="399" t="s">
        <v>907</v>
      </c>
      <c r="E3415" s="522">
        <v>201604</v>
      </c>
      <c r="F3415" s="431">
        <v>2440.37</v>
      </c>
      <c r="G3415" s="521">
        <v>12.5</v>
      </c>
      <c r="H3415" s="486">
        <v>3.1250000000000002E-3</v>
      </c>
      <c r="I3415" s="523">
        <v>95.33</v>
      </c>
      <c r="J3415" s="523">
        <v>91.51</v>
      </c>
    </row>
    <row r="3416" spans="1:10" s="559" customFormat="1">
      <c r="A3416" s="399" t="s">
        <v>346</v>
      </c>
      <c r="B3416" s="522">
        <v>900537</v>
      </c>
      <c r="C3416" s="522"/>
      <c r="D3416" s="399" t="s">
        <v>908</v>
      </c>
      <c r="E3416" s="522">
        <v>201604</v>
      </c>
      <c r="F3416" s="431">
        <v>24314.38</v>
      </c>
      <c r="G3416" s="521">
        <v>12.5</v>
      </c>
      <c r="H3416" s="486">
        <v>3.1250000000000002E-3</v>
      </c>
      <c r="I3416" s="523">
        <v>949.78</v>
      </c>
      <c r="J3416" s="523">
        <v>911.79</v>
      </c>
    </row>
    <row r="3417" spans="1:10" s="559" customFormat="1">
      <c r="A3417" s="399" t="s">
        <v>346</v>
      </c>
      <c r="B3417" s="522">
        <v>900539</v>
      </c>
      <c r="C3417" s="522"/>
      <c r="D3417" s="399" t="s">
        <v>909</v>
      </c>
      <c r="E3417" s="522">
        <v>201604</v>
      </c>
      <c r="F3417" s="431">
        <v>5106.96</v>
      </c>
      <c r="G3417" s="521">
        <v>12.5</v>
      </c>
      <c r="H3417" s="486">
        <v>3.1250000000000002E-3</v>
      </c>
      <c r="I3417" s="523">
        <v>199.49</v>
      </c>
      <c r="J3417" s="523">
        <v>191.51</v>
      </c>
    </row>
    <row r="3418" spans="1:10" s="559" customFormat="1">
      <c r="A3418" s="399" t="s">
        <v>346</v>
      </c>
      <c r="B3418" s="522">
        <v>900546</v>
      </c>
      <c r="C3418" s="522"/>
      <c r="D3418" s="399" t="s">
        <v>652</v>
      </c>
      <c r="E3418" s="522">
        <v>201604</v>
      </c>
      <c r="F3418" s="431">
        <v>21686</v>
      </c>
      <c r="G3418" s="521">
        <v>12.5</v>
      </c>
      <c r="H3418" s="486">
        <v>3.1250000000000002E-3</v>
      </c>
      <c r="I3418" s="523">
        <v>847.11</v>
      </c>
      <c r="J3418" s="523">
        <v>813.23</v>
      </c>
    </row>
    <row r="3419" spans="1:10" s="559" customFormat="1">
      <c r="A3419" s="399" t="s">
        <v>346</v>
      </c>
      <c r="B3419" s="522">
        <v>900547</v>
      </c>
      <c r="C3419" s="522"/>
      <c r="D3419" s="399" t="s">
        <v>787</v>
      </c>
      <c r="E3419" s="522">
        <v>201604</v>
      </c>
      <c r="F3419" s="431">
        <v>18134.189999999999</v>
      </c>
      <c r="G3419" s="521">
        <v>12.5</v>
      </c>
      <c r="H3419" s="486">
        <v>3.1250000000000002E-3</v>
      </c>
      <c r="I3419" s="523">
        <v>708.37</v>
      </c>
      <c r="J3419" s="523">
        <v>680.03</v>
      </c>
    </row>
    <row r="3420" spans="1:10" s="559" customFormat="1">
      <c r="A3420" s="399" t="s">
        <v>346</v>
      </c>
      <c r="B3420" s="522">
        <v>900548</v>
      </c>
      <c r="C3420" s="522"/>
      <c r="D3420" s="399" t="s">
        <v>654</v>
      </c>
      <c r="E3420" s="522">
        <v>201604</v>
      </c>
      <c r="F3420" s="431">
        <v>8940.99</v>
      </c>
      <c r="G3420" s="521">
        <v>12.5</v>
      </c>
      <c r="H3420" s="486">
        <v>3.1250000000000002E-3</v>
      </c>
      <c r="I3420" s="523">
        <v>349.26</v>
      </c>
      <c r="J3420" s="523">
        <v>335.29</v>
      </c>
    </row>
    <row r="3421" spans="1:10" s="559" customFormat="1">
      <c r="A3421" s="399" t="s">
        <v>346</v>
      </c>
      <c r="B3421" s="522">
        <v>900549</v>
      </c>
      <c r="C3421" s="522"/>
      <c r="D3421" s="399" t="s">
        <v>904</v>
      </c>
      <c r="E3421" s="522">
        <v>201604</v>
      </c>
      <c r="F3421" s="431">
        <v>50671.15</v>
      </c>
      <c r="G3421" s="521">
        <v>12.5</v>
      </c>
      <c r="H3421" s="486">
        <v>3.1250000000000002E-3</v>
      </c>
      <c r="I3421" s="523">
        <v>1979.34</v>
      </c>
      <c r="J3421" s="523">
        <v>1900.17</v>
      </c>
    </row>
    <row r="3422" spans="1:10" s="559" customFormat="1">
      <c r="A3422" s="399" t="s">
        <v>346</v>
      </c>
      <c r="B3422" s="522">
        <v>900550</v>
      </c>
      <c r="C3422" s="522"/>
      <c r="D3422" s="399" t="s">
        <v>910</v>
      </c>
      <c r="E3422" s="522">
        <v>201604</v>
      </c>
      <c r="F3422" s="431">
        <v>9524.9599999999991</v>
      </c>
      <c r="G3422" s="521">
        <v>12.5</v>
      </c>
      <c r="H3422" s="486">
        <v>3.1250000000000002E-3</v>
      </c>
      <c r="I3422" s="523">
        <v>372.07</v>
      </c>
      <c r="J3422" s="523">
        <v>357.19</v>
      </c>
    </row>
    <row r="3423" spans="1:10" s="559" customFormat="1">
      <c r="A3423" s="399" t="s">
        <v>346</v>
      </c>
      <c r="B3423" s="522">
        <v>900556</v>
      </c>
      <c r="C3423" s="522"/>
      <c r="D3423" s="399" t="s">
        <v>656</v>
      </c>
      <c r="E3423" s="522">
        <v>201604</v>
      </c>
      <c r="F3423" s="431">
        <v>23.93</v>
      </c>
      <c r="G3423" s="521">
        <v>12.5</v>
      </c>
      <c r="H3423" s="486">
        <v>3.1250000000000002E-3</v>
      </c>
      <c r="I3423" s="523">
        <v>0.93</v>
      </c>
      <c r="J3423" s="523">
        <v>0.9</v>
      </c>
    </row>
    <row r="3424" spans="1:10" s="559" customFormat="1">
      <c r="A3424" s="399" t="s">
        <v>346</v>
      </c>
      <c r="B3424" s="522">
        <v>900558</v>
      </c>
      <c r="C3424" s="522"/>
      <c r="D3424" s="399" t="s">
        <v>595</v>
      </c>
      <c r="E3424" s="522">
        <v>201604</v>
      </c>
      <c r="F3424" s="431">
        <v>3.58</v>
      </c>
      <c r="G3424" s="521">
        <v>12.5</v>
      </c>
      <c r="H3424" s="486">
        <v>3.1250000000000002E-3</v>
      </c>
      <c r="I3424" s="523">
        <v>0.14000000000000001</v>
      </c>
      <c r="J3424" s="523">
        <v>0.13</v>
      </c>
    </row>
    <row r="3425" spans="1:10" s="559" customFormat="1">
      <c r="A3425" s="399" t="s">
        <v>346</v>
      </c>
      <c r="B3425" s="522">
        <v>900559</v>
      </c>
      <c r="C3425" s="522"/>
      <c r="D3425" s="399" t="s">
        <v>597</v>
      </c>
      <c r="E3425" s="522">
        <v>201604</v>
      </c>
      <c r="F3425" s="431">
        <v>3.11</v>
      </c>
      <c r="G3425" s="521">
        <v>12.5</v>
      </c>
      <c r="H3425" s="486">
        <v>3.1250000000000002E-3</v>
      </c>
      <c r="I3425" s="523">
        <v>0.12</v>
      </c>
      <c r="J3425" s="523">
        <v>0.12</v>
      </c>
    </row>
    <row r="3426" spans="1:10" s="559" customFormat="1">
      <c r="A3426" s="399" t="s">
        <v>346</v>
      </c>
      <c r="B3426" s="522">
        <v>900560</v>
      </c>
      <c r="C3426" s="522"/>
      <c r="D3426" s="399" t="s">
        <v>658</v>
      </c>
      <c r="E3426" s="522">
        <v>201604</v>
      </c>
      <c r="F3426" s="431">
        <v>-129240.29</v>
      </c>
      <c r="G3426" s="521">
        <v>12.5</v>
      </c>
      <c r="H3426" s="486">
        <v>3.1250000000000002E-3</v>
      </c>
      <c r="I3426" s="523">
        <v>-5048.45</v>
      </c>
      <c r="J3426" s="523">
        <v>-4846.51</v>
      </c>
    </row>
    <row r="3427" spans="1:10" s="559" customFormat="1">
      <c r="A3427" s="399" t="s">
        <v>346</v>
      </c>
      <c r="B3427" s="522">
        <v>900603</v>
      </c>
      <c r="C3427" s="522"/>
      <c r="D3427" s="399" t="s">
        <v>662</v>
      </c>
      <c r="E3427" s="522">
        <v>201604</v>
      </c>
      <c r="F3427" s="431">
        <v>55526.63</v>
      </c>
      <c r="G3427" s="521">
        <v>12.5</v>
      </c>
      <c r="H3427" s="486">
        <v>3.1250000000000002E-3</v>
      </c>
      <c r="I3427" s="523">
        <v>2169.0100000000002</v>
      </c>
      <c r="J3427" s="523">
        <v>2082.25</v>
      </c>
    </row>
    <row r="3428" spans="1:10" s="559" customFormat="1">
      <c r="A3428" s="399" t="s">
        <v>346</v>
      </c>
      <c r="B3428" s="522">
        <v>900605</v>
      </c>
      <c r="C3428" s="522"/>
      <c r="D3428" s="399" t="s">
        <v>664</v>
      </c>
      <c r="E3428" s="522">
        <v>201604</v>
      </c>
      <c r="F3428" s="431">
        <v>12522.06</v>
      </c>
      <c r="G3428" s="521">
        <v>12.5</v>
      </c>
      <c r="H3428" s="486">
        <v>3.1250000000000002E-3</v>
      </c>
      <c r="I3428" s="523">
        <v>489.14</v>
      </c>
      <c r="J3428" s="523">
        <v>469.58</v>
      </c>
    </row>
    <row r="3429" spans="1:10" s="559" customFormat="1">
      <c r="A3429" s="399" t="s">
        <v>346</v>
      </c>
      <c r="B3429" s="522">
        <v>900607</v>
      </c>
      <c r="C3429" s="522"/>
      <c r="D3429" s="399" t="s">
        <v>666</v>
      </c>
      <c r="E3429" s="522">
        <v>201604</v>
      </c>
      <c r="F3429" s="431">
        <v>372.37</v>
      </c>
      <c r="G3429" s="521">
        <v>12.5</v>
      </c>
      <c r="H3429" s="486">
        <v>3.1250000000000002E-3</v>
      </c>
      <c r="I3429" s="523">
        <v>14.55</v>
      </c>
      <c r="J3429" s="523">
        <v>13.96</v>
      </c>
    </row>
    <row r="3430" spans="1:10" s="559" customFormat="1">
      <c r="A3430" s="399" t="s">
        <v>346</v>
      </c>
      <c r="B3430" s="522">
        <v>900609</v>
      </c>
      <c r="C3430" s="522"/>
      <c r="D3430" s="399" t="s">
        <v>802</v>
      </c>
      <c r="E3430" s="522">
        <v>201604</v>
      </c>
      <c r="F3430" s="431">
        <v>44565.4</v>
      </c>
      <c r="G3430" s="521">
        <v>12.5</v>
      </c>
      <c r="H3430" s="486">
        <v>3.1250000000000002E-3</v>
      </c>
      <c r="I3430" s="523">
        <v>1740.84</v>
      </c>
      <c r="J3430" s="523">
        <v>1671.2</v>
      </c>
    </row>
    <row r="3431" spans="1:10" s="559" customFormat="1">
      <c r="A3431" s="399" t="s">
        <v>346</v>
      </c>
      <c r="B3431" s="522">
        <v>900611</v>
      </c>
      <c r="C3431" s="522"/>
      <c r="D3431" s="399" t="s">
        <v>804</v>
      </c>
      <c r="E3431" s="522">
        <v>201604</v>
      </c>
      <c r="F3431" s="431">
        <v>22731.34</v>
      </c>
      <c r="G3431" s="521">
        <v>12.5</v>
      </c>
      <c r="H3431" s="486">
        <v>3.1250000000000002E-3</v>
      </c>
      <c r="I3431" s="523">
        <v>887.94</v>
      </c>
      <c r="J3431" s="523">
        <v>852.43</v>
      </c>
    </row>
    <row r="3432" spans="1:10" s="559" customFormat="1">
      <c r="A3432" s="399" t="s">
        <v>346</v>
      </c>
      <c r="B3432" s="522">
        <v>900618</v>
      </c>
      <c r="C3432" s="522"/>
      <c r="D3432" s="399" t="s">
        <v>806</v>
      </c>
      <c r="E3432" s="522">
        <v>201604</v>
      </c>
      <c r="F3432" s="431">
        <v>26561.35</v>
      </c>
      <c r="G3432" s="521">
        <v>12.5</v>
      </c>
      <c r="H3432" s="486">
        <v>3.1250000000000002E-3</v>
      </c>
      <c r="I3432" s="523">
        <v>1037.55</v>
      </c>
      <c r="J3432" s="523">
        <v>996.05</v>
      </c>
    </row>
    <row r="3433" spans="1:10" s="559" customFormat="1">
      <c r="A3433" s="399" t="s">
        <v>346</v>
      </c>
      <c r="B3433" s="522">
        <v>900650</v>
      </c>
      <c r="C3433" s="522"/>
      <c r="D3433" s="399" t="s">
        <v>599</v>
      </c>
      <c r="E3433" s="522">
        <v>201604</v>
      </c>
      <c r="F3433" s="431">
        <v>-0.65</v>
      </c>
      <c r="G3433" s="521">
        <v>12.5</v>
      </c>
      <c r="H3433" s="486">
        <v>3.1250000000000002E-3</v>
      </c>
      <c r="I3433" s="523">
        <v>-0.03</v>
      </c>
      <c r="J3433" s="523">
        <v>-0.02</v>
      </c>
    </row>
    <row r="3434" spans="1:10" s="559" customFormat="1">
      <c r="A3434" s="399" t="s">
        <v>346</v>
      </c>
      <c r="B3434" s="522">
        <v>900653</v>
      </c>
      <c r="C3434" s="522"/>
      <c r="D3434" s="399" t="s">
        <v>601</v>
      </c>
      <c r="E3434" s="522">
        <v>201604</v>
      </c>
      <c r="F3434" s="431">
        <v>3.46</v>
      </c>
      <c r="G3434" s="521">
        <v>12.5</v>
      </c>
      <c r="H3434" s="486">
        <v>3.1250000000000002E-3</v>
      </c>
      <c r="I3434" s="523">
        <v>0.14000000000000001</v>
      </c>
      <c r="J3434" s="523">
        <v>0.13</v>
      </c>
    </row>
    <row r="3435" spans="1:10" s="559" customFormat="1">
      <c r="A3435" s="399" t="s">
        <v>346</v>
      </c>
      <c r="B3435" s="522">
        <v>900683</v>
      </c>
      <c r="C3435" s="522"/>
      <c r="D3435" s="399" t="s">
        <v>555</v>
      </c>
      <c r="E3435" s="522">
        <v>201604</v>
      </c>
      <c r="F3435" s="431">
        <v>0.43</v>
      </c>
      <c r="G3435" s="521">
        <v>12.5</v>
      </c>
      <c r="H3435" s="486">
        <v>3.1250000000000002E-3</v>
      </c>
      <c r="I3435" s="523">
        <v>0.02</v>
      </c>
      <c r="J3435" s="523">
        <v>0.02</v>
      </c>
    </row>
    <row r="3436" spans="1:10" s="559" customFormat="1">
      <c r="A3436" s="399" t="s">
        <v>346</v>
      </c>
      <c r="B3436" s="522">
        <v>900685</v>
      </c>
      <c r="C3436" s="522"/>
      <c r="D3436" s="399" t="s">
        <v>557</v>
      </c>
      <c r="E3436" s="522">
        <v>201604</v>
      </c>
      <c r="F3436" s="431">
        <v>0.97</v>
      </c>
      <c r="G3436" s="521">
        <v>12.5</v>
      </c>
      <c r="H3436" s="486">
        <v>3.1250000000000002E-3</v>
      </c>
      <c r="I3436" s="523">
        <v>0.04</v>
      </c>
      <c r="J3436" s="523">
        <v>0.04</v>
      </c>
    </row>
    <row r="3437" spans="1:10" s="559" customFormat="1">
      <c r="A3437" s="399" t="s">
        <v>346</v>
      </c>
      <c r="B3437" s="522">
        <v>900689</v>
      </c>
      <c r="C3437" s="522"/>
      <c r="D3437" s="399" t="s">
        <v>561</v>
      </c>
      <c r="E3437" s="522">
        <v>201604</v>
      </c>
      <c r="F3437" s="431">
        <v>-1.5</v>
      </c>
      <c r="G3437" s="521">
        <v>12.5</v>
      </c>
      <c r="H3437" s="486">
        <v>3.1250000000000002E-3</v>
      </c>
      <c r="I3437" s="523">
        <v>-0.06</v>
      </c>
      <c r="J3437" s="523">
        <v>-0.06</v>
      </c>
    </row>
    <row r="3438" spans="1:10" s="559" customFormat="1">
      <c r="A3438" s="399" t="s">
        <v>346</v>
      </c>
      <c r="B3438" s="522">
        <v>900691</v>
      </c>
      <c r="C3438" s="522"/>
      <c r="D3438" s="399" t="s">
        <v>563</v>
      </c>
      <c r="E3438" s="522">
        <v>201604</v>
      </c>
      <c r="F3438" s="431">
        <v>52.76</v>
      </c>
      <c r="G3438" s="521">
        <v>12.5</v>
      </c>
      <c r="H3438" s="486">
        <v>3.1250000000000002E-3</v>
      </c>
      <c r="I3438" s="523">
        <v>2.06</v>
      </c>
      <c r="J3438" s="523">
        <v>1.98</v>
      </c>
    </row>
    <row r="3439" spans="1:10" s="559" customFormat="1">
      <c r="A3439" s="399" t="s">
        <v>346</v>
      </c>
      <c r="B3439" s="522">
        <v>900734</v>
      </c>
      <c r="C3439" s="522"/>
      <c r="D3439" s="399" t="s">
        <v>603</v>
      </c>
      <c r="E3439" s="522">
        <v>201604</v>
      </c>
      <c r="F3439" s="431">
        <v>3.23</v>
      </c>
      <c r="G3439" s="521">
        <v>12.5</v>
      </c>
      <c r="H3439" s="486">
        <v>3.1250000000000002E-3</v>
      </c>
      <c r="I3439" s="523">
        <v>0.13</v>
      </c>
      <c r="J3439" s="523">
        <v>0.12</v>
      </c>
    </row>
    <row r="3440" spans="1:10" s="559" customFormat="1">
      <c r="A3440" s="399" t="s">
        <v>346</v>
      </c>
      <c r="B3440" s="522">
        <v>900747</v>
      </c>
      <c r="C3440" s="522"/>
      <c r="D3440" s="399" t="s">
        <v>811</v>
      </c>
      <c r="E3440" s="522">
        <v>201604</v>
      </c>
      <c r="F3440" s="431">
        <v>123333.49</v>
      </c>
      <c r="G3440" s="521">
        <v>12.5</v>
      </c>
      <c r="H3440" s="486">
        <v>3.1250000000000002E-3</v>
      </c>
      <c r="I3440" s="523">
        <v>4817.71</v>
      </c>
      <c r="J3440" s="523">
        <v>4625.01</v>
      </c>
    </row>
    <row r="3441" spans="1:10" s="559" customFormat="1">
      <c r="A3441" s="399" t="s">
        <v>346</v>
      </c>
      <c r="B3441" s="522">
        <v>900836</v>
      </c>
      <c r="C3441" s="522"/>
      <c r="D3441" s="399" t="s">
        <v>789</v>
      </c>
      <c r="E3441" s="522">
        <v>201604</v>
      </c>
      <c r="F3441" s="431">
        <v>10234.76</v>
      </c>
      <c r="G3441" s="521">
        <v>12.5</v>
      </c>
      <c r="H3441" s="486">
        <v>3.1250000000000002E-3</v>
      </c>
      <c r="I3441" s="523">
        <v>399.8</v>
      </c>
      <c r="J3441" s="523">
        <v>383.8</v>
      </c>
    </row>
    <row r="3442" spans="1:10" s="559" customFormat="1">
      <c r="A3442" s="399" t="s">
        <v>346</v>
      </c>
      <c r="B3442" s="522">
        <v>900862</v>
      </c>
      <c r="C3442" s="522"/>
      <c r="D3442" s="399" t="s">
        <v>669</v>
      </c>
      <c r="E3442" s="522">
        <v>201604</v>
      </c>
      <c r="F3442" s="431">
        <v>-0.92</v>
      </c>
      <c r="G3442" s="521">
        <v>12.5</v>
      </c>
      <c r="H3442" s="486">
        <v>3.1250000000000002E-3</v>
      </c>
      <c r="I3442" s="523">
        <v>-0.04</v>
      </c>
      <c r="J3442" s="523">
        <v>-0.03</v>
      </c>
    </row>
    <row r="3443" spans="1:10" s="559" customFormat="1">
      <c r="A3443" s="399" t="s">
        <v>346</v>
      </c>
      <c r="B3443" s="522">
        <v>900869</v>
      </c>
      <c r="C3443" s="522"/>
      <c r="D3443" s="399" t="s">
        <v>831</v>
      </c>
      <c r="E3443" s="522">
        <v>201604</v>
      </c>
      <c r="F3443" s="431">
        <v>5426.69</v>
      </c>
      <c r="G3443" s="521">
        <v>12.5</v>
      </c>
      <c r="H3443" s="486">
        <v>3.1250000000000002E-3</v>
      </c>
      <c r="I3443" s="523">
        <v>211.98</v>
      </c>
      <c r="J3443" s="523">
        <v>203.5</v>
      </c>
    </row>
    <row r="3444" spans="1:10" s="559" customFormat="1">
      <c r="A3444" s="399" t="s">
        <v>346</v>
      </c>
      <c r="B3444" s="522">
        <v>900871</v>
      </c>
      <c r="C3444" s="522"/>
      <c r="D3444" s="399" t="s">
        <v>671</v>
      </c>
      <c r="E3444" s="522">
        <v>201604</v>
      </c>
      <c r="F3444" s="431">
        <v>167661.53</v>
      </c>
      <c r="G3444" s="521">
        <v>12.5</v>
      </c>
      <c r="H3444" s="486">
        <v>3.1250000000000002E-3</v>
      </c>
      <c r="I3444" s="523">
        <v>6549.28</v>
      </c>
      <c r="J3444" s="523">
        <v>6287.31</v>
      </c>
    </row>
    <row r="3445" spans="1:10" s="559" customFormat="1">
      <c r="A3445" s="399" t="s">
        <v>346</v>
      </c>
      <c r="B3445" s="522">
        <v>900876</v>
      </c>
      <c r="C3445" s="522"/>
      <c r="D3445" s="399" t="s">
        <v>607</v>
      </c>
      <c r="E3445" s="522">
        <v>201604</v>
      </c>
      <c r="F3445" s="431">
        <v>11.66</v>
      </c>
      <c r="G3445" s="521">
        <v>12.5</v>
      </c>
      <c r="H3445" s="486">
        <v>3.1250000000000002E-3</v>
      </c>
      <c r="I3445" s="523">
        <v>0.46</v>
      </c>
      <c r="J3445" s="523">
        <v>0.44</v>
      </c>
    </row>
    <row r="3446" spans="1:10" s="559" customFormat="1">
      <c r="A3446" s="399" t="s">
        <v>346</v>
      </c>
      <c r="B3446" s="522">
        <v>900893</v>
      </c>
      <c r="C3446" s="522"/>
      <c r="D3446" s="399" t="s">
        <v>609</v>
      </c>
      <c r="E3446" s="522">
        <v>201604</v>
      </c>
      <c r="F3446" s="431">
        <v>0.39</v>
      </c>
      <c r="G3446" s="521">
        <v>12.5</v>
      </c>
      <c r="H3446" s="486">
        <v>3.1250000000000002E-3</v>
      </c>
      <c r="I3446" s="523">
        <v>0.02</v>
      </c>
      <c r="J3446" s="523">
        <v>0.01</v>
      </c>
    </row>
    <row r="3447" spans="1:10" s="559" customFormat="1">
      <c r="A3447" s="399" t="s">
        <v>346</v>
      </c>
      <c r="B3447" s="522">
        <v>900895</v>
      </c>
      <c r="C3447" s="522"/>
      <c r="D3447" s="399" t="s">
        <v>566</v>
      </c>
      <c r="E3447" s="522">
        <v>201604</v>
      </c>
      <c r="F3447" s="431">
        <v>0.12</v>
      </c>
      <c r="G3447" s="521">
        <v>12.5</v>
      </c>
      <c r="H3447" s="486">
        <v>3.1250000000000002E-3</v>
      </c>
      <c r="I3447" s="523">
        <v>0</v>
      </c>
      <c r="J3447" s="523">
        <v>0</v>
      </c>
    </row>
    <row r="3448" spans="1:10" s="559" customFormat="1">
      <c r="A3448" s="399" t="s">
        <v>346</v>
      </c>
      <c r="B3448" s="522">
        <v>900896</v>
      </c>
      <c r="C3448" s="522"/>
      <c r="D3448" s="399" t="s">
        <v>611</v>
      </c>
      <c r="E3448" s="522">
        <v>201604</v>
      </c>
      <c r="F3448" s="431">
        <v>4.7</v>
      </c>
      <c r="G3448" s="521">
        <v>12.5</v>
      </c>
      <c r="H3448" s="486">
        <v>3.1250000000000002E-3</v>
      </c>
      <c r="I3448" s="523">
        <v>0.18</v>
      </c>
      <c r="J3448" s="523">
        <v>0.18</v>
      </c>
    </row>
    <row r="3449" spans="1:10" s="559" customFormat="1">
      <c r="A3449" s="399" t="s">
        <v>346</v>
      </c>
      <c r="B3449" s="522">
        <v>900907</v>
      </c>
      <c r="C3449" s="522"/>
      <c r="D3449" s="399" t="s">
        <v>569</v>
      </c>
      <c r="E3449" s="522">
        <v>201604</v>
      </c>
      <c r="F3449" s="431">
        <v>-366.2</v>
      </c>
      <c r="G3449" s="521">
        <v>12.5</v>
      </c>
      <c r="H3449" s="486">
        <v>3.1250000000000002E-3</v>
      </c>
      <c r="I3449" s="523">
        <v>-14.3</v>
      </c>
      <c r="J3449" s="523">
        <v>-13.73</v>
      </c>
    </row>
    <row r="3450" spans="1:10" s="559" customFormat="1">
      <c r="A3450" s="399" t="s">
        <v>346</v>
      </c>
      <c r="B3450" s="522">
        <v>900951</v>
      </c>
      <c r="C3450" s="522"/>
      <c r="D3450" s="399" t="s">
        <v>815</v>
      </c>
      <c r="E3450" s="522">
        <v>201604</v>
      </c>
      <c r="F3450" s="431">
        <v>10378.59</v>
      </c>
      <c r="G3450" s="521">
        <v>12.5</v>
      </c>
      <c r="H3450" s="486">
        <v>3.1250000000000002E-3</v>
      </c>
      <c r="I3450" s="523">
        <v>405.41</v>
      </c>
      <c r="J3450" s="523">
        <v>389.2</v>
      </c>
    </row>
    <row r="3451" spans="1:10" s="559" customFormat="1">
      <c r="A3451" s="399" t="s">
        <v>346</v>
      </c>
      <c r="B3451" s="522">
        <v>900952</v>
      </c>
      <c r="C3451" s="522"/>
      <c r="D3451" s="399" t="s">
        <v>675</v>
      </c>
      <c r="E3451" s="522">
        <v>201604</v>
      </c>
      <c r="F3451" s="431">
        <v>616.16</v>
      </c>
      <c r="G3451" s="521">
        <v>12.5</v>
      </c>
      <c r="H3451" s="486">
        <v>3.1250000000000002E-3</v>
      </c>
      <c r="I3451" s="523">
        <v>24.07</v>
      </c>
      <c r="J3451" s="523">
        <v>23.11</v>
      </c>
    </row>
    <row r="3452" spans="1:10" s="559" customFormat="1">
      <c r="A3452" s="399" t="s">
        <v>346</v>
      </c>
      <c r="B3452" s="522">
        <v>900953</v>
      </c>
      <c r="C3452" s="522"/>
      <c r="D3452" s="399" t="s">
        <v>791</v>
      </c>
      <c r="E3452" s="522">
        <v>201604</v>
      </c>
      <c r="F3452" s="431">
        <v>1414.6</v>
      </c>
      <c r="G3452" s="521">
        <v>12.5</v>
      </c>
      <c r="H3452" s="486">
        <v>3.1250000000000002E-3</v>
      </c>
      <c r="I3452" s="523">
        <v>55.26</v>
      </c>
      <c r="J3452" s="523">
        <v>53.05</v>
      </c>
    </row>
    <row r="3453" spans="1:10" s="559" customFormat="1">
      <c r="A3453" s="399" t="s">
        <v>346</v>
      </c>
      <c r="B3453" s="522">
        <v>900973</v>
      </c>
      <c r="C3453" s="522"/>
      <c r="D3453" s="399" t="s">
        <v>724</v>
      </c>
      <c r="E3453" s="522">
        <v>201604</v>
      </c>
      <c r="F3453" s="431">
        <v>1.56</v>
      </c>
      <c r="G3453" s="521">
        <v>12.5</v>
      </c>
      <c r="H3453" s="486">
        <v>3.1250000000000002E-3</v>
      </c>
      <c r="I3453" s="523">
        <v>0.06</v>
      </c>
      <c r="J3453" s="523">
        <v>0.06</v>
      </c>
    </row>
    <row r="3454" spans="1:10" s="559" customFormat="1">
      <c r="A3454" s="399" t="s">
        <v>346</v>
      </c>
      <c r="B3454" s="522">
        <v>900983</v>
      </c>
      <c r="C3454" s="522"/>
      <c r="D3454" s="399" t="s">
        <v>679</v>
      </c>
      <c r="E3454" s="522">
        <v>201604</v>
      </c>
      <c r="F3454" s="431">
        <v>8247.73</v>
      </c>
      <c r="G3454" s="521">
        <v>12.5</v>
      </c>
      <c r="H3454" s="486">
        <v>3.1250000000000002E-3</v>
      </c>
      <c r="I3454" s="523">
        <v>322.18</v>
      </c>
      <c r="J3454" s="523">
        <v>309.29000000000002</v>
      </c>
    </row>
    <row r="3455" spans="1:10" s="559" customFormat="1">
      <c r="A3455" s="399" t="s">
        <v>346</v>
      </c>
      <c r="B3455" s="522">
        <v>900988</v>
      </c>
      <c r="C3455" s="522"/>
      <c r="D3455" s="399" t="s">
        <v>681</v>
      </c>
      <c r="E3455" s="522">
        <v>201604</v>
      </c>
      <c r="F3455" s="431">
        <v>-61.31</v>
      </c>
      <c r="G3455" s="521">
        <v>12.5</v>
      </c>
      <c r="H3455" s="486">
        <v>3.1250000000000002E-3</v>
      </c>
      <c r="I3455" s="523">
        <v>-2.39</v>
      </c>
      <c r="J3455" s="523">
        <v>-2.2999999999999998</v>
      </c>
    </row>
    <row r="3456" spans="1:10" s="559" customFormat="1">
      <c r="A3456" s="399" t="s">
        <v>346</v>
      </c>
      <c r="B3456" s="522">
        <v>901040</v>
      </c>
      <c r="C3456" s="522"/>
      <c r="D3456" s="399" t="s">
        <v>613</v>
      </c>
      <c r="E3456" s="522">
        <v>201604</v>
      </c>
      <c r="F3456" s="431">
        <v>34.5</v>
      </c>
      <c r="G3456" s="521">
        <v>12.5</v>
      </c>
      <c r="H3456" s="486">
        <v>3.1250000000000002E-3</v>
      </c>
      <c r="I3456" s="523">
        <v>1.35</v>
      </c>
      <c r="J3456" s="523">
        <v>1.29</v>
      </c>
    </row>
    <row r="3457" spans="1:10" s="559" customFormat="1">
      <c r="A3457" s="399" t="s">
        <v>346</v>
      </c>
      <c r="B3457" s="522">
        <v>901059</v>
      </c>
      <c r="C3457" s="522"/>
      <c r="D3457" s="399" t="s">
        <v>685</v>
      </c>
      <c r="E3457" s="522">
        <v>201604</v>
      </c>
      <c r="F3457" s="431">
        <v>-646.14</v>
      </c>
      <c r="G3457" s="521">
        <v>12.5</v>
      </c>
      <c r="H3457" s="486">
        <v>3.1250000000000002E-3</v>
      </c>
      <c r="I3457" s="523">
        <v>-25.24</v>
      </c>
      <c r="J3457" s="523">
        <v>-24.23</v>
      </c>
    </row>
    <row r="3458" spans="1:10" s="559" customFormat="1">
      <c r="A3458" s="399" t="s">
        <v>346</v>
      </c>
      <c r="B3458" s="522">
        <v>901063</v>
      </c>
      <c r="C3458" s="522"/>
      <c r="D3458" s="399" t="s">
        <v>711</v>
      </c>
      <c r="E3458" s="522">
        <v>201604</v>
      </c>
      <c r="F3458" s="431">
        <v>5.26</v>
      </c>
      <c r="G3458" s="521">
        <v>12.5</v>
      </c>
      <c r="H3458" s="486">
        <v>3.1250000000000002E-3</v>
      </c>
      <c r="I3458" s="523">
        <v>0.21</v>
      </c>
      <c r="J3458" s="523">
        <v>0.2</v>
      </c>
    </row>
    <row r="3459" spans="1:10" s="559" customFormat="1">
      <c r="A3459" s="399" t="s">
        <v>346</v>
      </c>
      <c r="B3459" s="522">
        <v>901081</v>
      </c>
      <c r="C3459" s="522"/>
      <c r="D3459" s="399" t="s">
        <v>713</v>
      </c>
      <c r="E3459" s="522">
        <v>201604</v>
      </c>
      <c r="F3459" s="431">
        <v>496.39</v>
      </c>
      <c r="G3459" s="521">
        <v>12.5</v>
      </c>
      <c r="H3459" s="486">
        <v>3.1250000000000002E-3</v>
      </c>
      <c r="I3459" s="523">
        <v>19.39</v>
      </c>
      <c r="J3459" s="523">
        <v>18.61</v>
      </c>
    </row>
    <row r="3460" spans="1:10" s="559" customFormat="1">
      <c r="A3460" s="399" t="s">
        <v>346</v>
      </c>
      <c r="B3460" s="522">
        <v>901087</v>
      </c>
      <c r="C3460" s="522"/>
      <c r="D3460" s="399" t="s">
        <v>823</v>
      </c>
      <c r="E3460" s="522">
        <v>201604</v>
      </c>
      <c r="F3460" s="431">
        <v>16182.45</v>
      </c>
      <c r="G3460" s="521">
        <v>12.5</v>
      </c>
      <c r="H3460" s="486">
        <v>3.1250000000000002E-3</v>
      </c>
      <c r="I3460" s="523">
        <v>632.13</v>
      </c>
      <c r="J3460" s="523">
        <v>606.84</v>
      </c>
    </row>
    <row r="3461" spans="1:10" s="559" customFormat="1">
      <c r="A3461" s="399" t="s">
        <v>346</v>
      </c>
      <c r="B3461" s="522">
        <v>901088</v>
      </c>
      <c r="C3461" s="522"/>
      <c r="D3461" s="399" t="s">
        <v>691</v>
      </c>
      <c r="E3461" s="522">
        <v>201604</v>
      </c>
      <c r="F3461" s="431">
        <v>9601.7900000000009</v>
      </c>
      <c r="G3461" s="521">
        <v>12.5</v>
      </c>
      <c r="H3461" s="486">
        <v>3.1250000000000002E-3</v>
      </c>
      <c r="I3461" s="523">
        <v>375.07</v>
      </c>
      <c r="J3461" s="523">
        <v>360.07</v>
      </c>
    </row>
    <row r="3462" spans="1:10" s="559" customFormat="1">
      <c r="A3462" s="399" t="s">
        <v>346</v>
      </c>
      <c r="B3462" s="522">
        <v>901111</v>
      </c>
      <c r="C3462" s="522"/>
      <c r="D3462" s="399" t="s">
        <v>693</v>
      </c>
      <c r="E3462" s="522">
        <v>201604</v>
      </c>
      <c r="F3462" s="431">
        <v>12969.17</v>
      </c>
      <c r="G3462" s="521">
        <v>12.5</v>
      </c>
      <c r="H3462" s="486">
        <v>3.1250000000000002E-3</v>
      </c>
      <c r="I3462" s="523">
        <v>506.61</v>
      </c>
      <c r="J3462" s="523">
        <v>486.34</v>
      </c>
    </row>
    <row r="3463" spans="1:10" s="559" customFormat="1">
      <c r="A3463" s="399" t="s">
        <v>346</v>
      </c>
      <c r="B3463" s="522">
        <v>901114</v>
      </c>
      <c r="C3463" s="522"/>
      <c r="D3463" s="399" t="s">
        <v>695</v>
      </c>
      <c r="E3463" s="522">
        <v>201604</v>
      </c>
      <c r="F3463" s="431">
        <v>6.56</v>
      </c>
      <c r="G3463" s="521">
        <v>12.5</v>
      </c>
      <c r="H3463" s="486">
        <v>3.1250000000000002E-3</v>
      </c>
      <c r="I3463" s="523">
        <v>0.26</v>
      </c>
      <c r="J3463" s="523">
        <v>0.25</v>
      </c>
    </row>
    <row r="3464" spans="1:10" s="559" customFormat="1">
      <c r="A3464" s="399" t="s">
        <v>346</v>
      </c>
      <c r="B3464" s="522">
        <v>901139</v>
      </c>
      <c r="C3464" s="522"/>
      <c r="D3464" s="399" t="s">
        <v>697</v>
      </c>
      <c r="E3464" s="522">
        <v>201604</v>
      </c>
      <c r="F3464" s="431">
        <v>-0.63</v>
      </c>
      <c r="G3464" s="521">
        <v>12.5</v>
      </c>
      <c r="H3464" s="486">
        <v>3.1250000000000002E-3</v>
      </c>
      <c r="I3464" s="523">
        <v>-0.02</v>
      </c>
      <c r="J3464" s="523">
        <v>-0.02</v>
      </c>
    </row>
    <row r="3465" spans="1:10" s="559" customFormat="1">
      <c r="A3465" s="399" t="s">
        <v>346</v>
      </c>
      <c r="B3465" s="522">
        <v>901162</v>
      </c>
      <c r="C3465" s="522"/>
      <c r="D3465" s="399" t="s">
        <v>701</v>
      </c>
      <c r="E3465" s="522">
        <v>201604</v>
      </c>
      <c r="F3465" s="431">
        <v>2090.7199999999998</v>
      </c>
      <c r="G3465" s="521">
        <v>12.5</v>
      </c>
      <c r="H3465" s="486">
        <v>3.1250000000000002E-3</v>
      </c>
      <c r="I3465" s="523">
        <v>81.67</v>
      </c>
      <c r="J3465" s="523">
        <v>78.400000000000006</v>
      </c>
    </row>
    <row r="3466" spans="1:10" s="559" customFormat="1">
      <c r="A3466" s="399" t="s">
        <v>346</v>
      </c>
      <c r="B3466" s="522">
        <v>901163</v>
      </c>
      <c r="C3466" s="522"/>
      <c r="D3466" s="399" t="s">
        <v>795</v>
      </c>
      <c r="E3466" s="522">
        <v>201604</v>
      </c>
      <c r="F3466" s="431">
        <v>1939.83</v>
      </c>
      <c r="G3466" s="521">
        <v>12.5</v>
      </c>
      <c r="H3466" s="486">
        <v>3.1250000000000002E-3</v>
      </c>
      <c r="I3466" s="523">
        <v>75.77</v>
      </c>
      <c r="J3466" s="523">
        <v>72.739999999999995</v>
      </c>
    </row>
    <row r="3467" spans="1:10" s="559" customFormat="1">
      <c r="A3467" s="399" t="s">
        <v>346</v>
      </c>
      <c r="B3467" s="522">
        <v>901173</v>
      </c>
      <c r="C3467" s="522"/>
      <c r="D3467" s="399" t="s">
        <v>714</v>
      </c>
      <c r="E3467" s="522">
        <v>201604</v>
      </c>
      <c r="F3467" s="431">
        <v>0.02</v>
      </c>
      <c r="G3467" s="521">
        <v>12.5</v>
      </c>
      <c r="H3467" s="486">
        <v>3.1250000000000002E-3</v>
      </c>
      <c r="I3467" s="523">
        <v>0</v>
      </c>
      <c r="J3467" s="523">
        <v>0</v>
      </c>
    </row>
    <row r="3468" spans="1:10" s="559" customFormat="1">
      <c r="A3468" s="399" t="s">
        <v>346</v>
      </c>
      <c r="B3468" s="522">
        <v>901178</v>
      </c>
      <c r="C3468" s="522"/>
      <c r="D3468" s="399" t="s">
        <v>703</v>
      </c>
      <c r="E3468" s="522">
        <v>201604</v>
      </c>
      <c r="F3468" s="431">
        <v>10.25</v>
      </c>
      <c r="G3468" s="521">
        <v>12.5</v>
      </c>
      <c r="H3468" s="486">
        <v>3.1250000000000002E-3</v>
      </c>
      <c r="I3468" s="523">
        <v>0.4</v>
      </c>
      <c r="J3468" s="523">
        <v>0.38</v>
      </c>
    </row>
    <row r="3469" spans="1:10" s="559" customFormat="1">
      <c r="A3469" s="399" t="s">
        <v>346</v>
      </c>
      <c r="B3469" s="522">
        <v>901187</v>
      </c>
      <c r="C3469" s="522"/>
      <c r="D3469" s="399" t="s">
        <v>827</v>
      </c>
      <c r="E3469" s="522">
        <v>201604</v>
      </c>
      <c r="F3469" s="431">
        <v>10402.07</v>
      </c>
      <c r="G3469" s="521">
        <v>12.5</v>
      </c>
      <c r="H3469" s="486">
        <v>3.1250000000000002E-3</v>
      </c>
      <c r="I3469" s="523">
        <v>406.33</v>
      </c>
      <c r="J3469" s="523">
        <v>390.08</v>
      </c>
    </row>
    <row r="3470" spans="1:10" s="559" customFormat="1">
      <c r="A3470" s="399" t="s">
        <v>346</v>
      </c>
      <c r="B3470" s="522">
        <v>901308</v>
      </c>
      <c r="C3470" s="522"/>
      <c r="D3470" s="399" t="s">
        <v>730</v>
      </c>
      <c r="E3470" s="522">
        <v>201604</v>
      </c>
      <c r="F3470" s="431">
        <v>139.55000000000001</v>
      </c>
      <c r="G3470" s="521">
        <v>12.5</v>
      </c>
      <c r="H3470" s="486">
        <v>3.1250000000000002E-3</v>
      </c>
      <c r="I3470" s="523">
        <v>5.45</v>
      </c>
      <c r="J3470" s="523">
        <v>5.23</v>
      </c>
    </row>
    <row r="3471" spans="1:10" s="559" customFormat="1">
      <c r="A3471" s="399" t="s">
        <v>346</v>
      </c>
      <c r="B3471" s="522">
        <v>694250</v>
      </c>
      <c r="C3471" s="522"/>
      <c r="D3471" s="399" t="s">
        <v>732</v>
      </c>
      <c r="E3471" s="522">
        <v>201605</v>
      </c>
      <c r="F3471" s="431">
        <v>282.41000000000003</v>
      </c>
      <c r="G3471" s="521">
        <v>11.5</v>
      </c>
      <c r="H3471" s="486">
        <v>3.1250000000000002E-3</v>
      </c>
      <c r="I3471" s="523">
        <v>10.15</v>
      </c>
      <c r="J3471" s="523">
        <v>10.59</v>
      </c>
    </row>
    <row r="3472" spans="1:10" s="559" customFormat="1">
      <c r="A3472" s="399" t="s">
        <v>346</v>
      </c>
      <c r="B3472" s="522">
        <v>695300</v>
      </c>
      <c r="C3472" s="522"/>
      <c r="D3472" s="399" t="s">
        <v>348</v>
      </c>
      <c r="E3472" s="522">
        <v>201605</v>
      </c>
      <c r="F3472" s="431">
        <v>1024176.84</v>
      </c>
      <c r="G3472" s="521">
        <v>11.5</v>
      </c>
      <c r="H3472" s="486">
        <v>3.1250000000000002E-3</v>
      </c>
      <c r="I3472" s="523">
        <v>36806.36</v>
      </c>
      <c r="J3472" s="523">
        <v>38406.629999999997</v>
      </c>
    </row>
    <row r="3473" spans="1:10" s="559" customFormat="1">
      <c r="A3473" s="399" t="s">
        <v>346</v>
      </c>
      <c r="B3473" s="522">
        <v>695310</v>
      </c>
      <c r="C3473" s="522"/>
      <c r="D3473" s="399" t="s">
        <v>350</v>
      </c>
      <c r="E3473" s="522">
        <v>201605</v>
      </c>
      <c r="F3473" s="431">
        <v>16024.49</v>
      </c>
      <c r="G3473" s="521">
        <v>11.5</v>
      </c>
      <c r="H3473" s="486">
        <v>3.1250000000000002E-3</v>
      </c>
      <c r="I3473" s="523">
        <v>575.88</v>
      </c>
      <c r="J3473" s="523">
        <v>600.91999999999996</v>
      </c>
    </row>
    <row r="3474" spans="1:10" s="559" customFormat="1">
      <c r="A3474" s="399" t="s">
        <v>346</v>
      </c>
      <c r="B3474" s="522">
        <v>695320</v>
      </c>
      <c r="C3474" s="522"/>
      <c r="D3474" s="399" t="s">
        <v>352</v>
      </c>
      <c r="E3474" s="522">
        <v>201605</v>
      </c>
      <c r="F3474" s="431">
        <v>-4375.84</v>
      </c>
      <c r="G3474" s="521">
        <v>11.5</v>
      </c>
      <c r="H3474" s="486">
        <v>3.1250000000000002E-3</v>
      </c>
      <c r="I3474" s="523">
        <v>-157.26</v>
      </c>
      <c r="J3474" s="523">
        <v>-164.09</v>
      </c>
    </row>
    <row r="3475" spans="1:10" s="559" customFormat="1">
      <c r="A3475" s="399" t="s">
        <v>346</v>
      </c>
      <c r="B3475" s="522">
        <v>695330</v>
      </c>
      <c r="C3475" s="522"/>
      <c r="D3475" s="399" t="s">
        <v>354</v>
      </c>
      <c r="E3475" s="522">
        <v>201605</v>
      </c>
      <c r="F3475" s="431">
        <v>-5326.19</v>
      </c>
      <c r="G3475" s="521">
        <v>11.5</v>
      </c>
      <c r="H3475" s="486">
        <v>3.1250000000000002E-3</v>
      </c>
      <c r="I3475" s="523">
        <v>-191.41</v>
      </c>
      <c r="J3475" s="523">
        <v>-199.73</v>
      </c>
    </row>
    <row r="3476" spans="1:10" s="559" customFormat="1">
      <c r="A3476" s="399" t="s">
        <v>346</v>
      </c>
      <c r="B3476" s="522">
        <v>695800</v>
      </c>
      <c r="C3476" s="522"/>
      <c r="D3476" s="399" t="s">
        <v>356</v>
      </c>
      <c r="E3476" s="522">
        <v>201605</v>
      </c>
      <c r="F3476" s="431">
        <v>55837.31</v>
      </c>
      <c r="G3476" s="521">
        <v>11.5</v>
      </c>
      <c r="H3476" s="486">
        <v>3.1250000000000002E-3</v>
      </c>
      <c r="I3476" s="523">
        <v>2006.65</v>
      </c>
      <c r="J3476" s="523">
        <v>2093.9</v>
      </c>
    </row>
    <row r="3477" spans="1:10" s="559" customFormat="1">
      <c r="A3477" s="399" t="s">
        <v>346</v>
      </c>
      <c r="B3477" s="522">
        <v>695810</v>
      </c>
      <c r="C3477" s="522"/>
      <c r="D3477" s="399" t="s">
        <v>358</v>
      </c>
      <c r="E3477" s="522">
        <v>201605</v>
      </c>
      <c r="F3477" s="431">
        <v>17207.740000000002</v>
      </c>
      <c r="G3477" s="521">
        <v>11.5</v>
      </c>
      <c r="H3477" s="486">
        <v>3.1250000000000002E-3</v>
      </c>
      <c r="I3477" s="523">
        <v>618.4</v>
      </c>
      <c r="J3477" s="523">
        <v>645.29</v>
      </c>
    </row>
    <row r="3478" spans="1:10" s="559" customFormat="1">
      <c r="A3478" s="399" t="s">
        <v>346</v>
      </c>
      <c r="B3478" s="522">
        <v>695820</v>
      </c>
      <c r="C3478" s="522"/>
      <c r="D3478" s="399" t="s">
        <v>360</v>
      </c>
      <c r="E3478" s="522">
        <v>201605</v>
      </c>
      <c r="F3478" s="431">
        <v>2166.16</v>
      </c>
      <c r="G3478" s="521">
        <v>11.5</v>
      </c>
      <c r="H3478" s="486">
        <v>3.1250000000000002E-3</v>
      </c>
      <c r="I3478" s="523">
        <v>77.849999999999994</v>
      </c>
      <c r="J3478" s="523">
        <v>81.23</v>
      </c>
    </row>
    <row r="3479" spans="1:10" s="559" customFormat="1">
      <c r="A3479" s="399" t="s">
        <v>346</v>
      </c>
      <c r="B3479" s="522">
        <v>695830</v>
      </c>
      <c r="C3479" s="522"/>
      <c r="D3479" s="399" t="s">
        <v>362</v>
      </c>
      <c r="E3479" s="522">
        <v>201605</v>
      </c>
      <c r="F3479" s="431">
        <v>765.31</v>
      </c>
      <c r="G3479" s="521">
        <v>11.5</v>
      </c>
      <c r="H3479" s="486">
        <v>3.1250000000000002E-3</v>
      </c>
      <c r="I3479" s="523">
        <v>27.5</v>
      </c>
      <c r="J3479" s="523">
        <v>28.7</v>
      </c>
    </row>
    <row r="3480" spans="1:10" s="559" customFormat="1">
      <c r="A3480" s="399" t="s">
        <v>346</v>
      </c>
      <c r="B3480" s="522">
        <v>696400</v>
      </c>
      <c r="C3480" s="522"/>
      <c r="D3480" s="399" t="s">
        <v>366</v>
      </c>
      <c r="E3480" s="522">
        <v>201605</v>
      </c>
      <c r="F3480" s="431">
        <v>-26.88</v>
      </c>
      <c r="G3480" s="521">
        <v>11.5</v>
      </c>
      <c r="H3480" s="486">
        <v>3.1250000000000002E-3</v>
      </c>
      <c r="I3480" s="523">
        <v>-0.97</v>
      </c>
      <c r="J3480" s="523">
        <v>-1.01</v>
      </c>
    </row>
    <row r="3481" spans="1:10" s="559" customFormat="1">
      <c r="A3481" s="399" t="s">
        <v>346</v>
      </c>
      <c r="B3481" s="522">
        <v>696450</v>
      </c>
      <c r="C3481" s="522"/>
      <c r="D3481" s="399" t="s">
        <v>368</v>
      </c>
      <c r="E3481" s="522">
        <v>201605</v>
      </c>
      <c r="F3481" s="431">
        <v>7594.04</v>
      </c>
      <c r="G3481" s="521">
        <v>11.5</v>
      </c>
      <c r="H3481" s="486">
        <v>3.1250000000000002E-3</v>
      </c>
      <c r="I3481" s="523">
        <v>272.91000000000003</v>
      </c>
      <c r="J3481" s="523">
        <v>284.77999999999997</v>
      </c>
    </row>
    <row r="3482" spans="1:10" s="559" customFormat="1">
      <c r="A3482" s="399" t="s">
        <v>346</v>
      </c>
      <c r="B3482" s="522">
        <v>696480</v>
      </c>
      <c r="C3482" s="522"/>
      <c r="D3482" s="399" t="s">
        <v>586</v>
      </c>
      <c r="E3482" s="522">
        <v>201605</v>
      </c>
      <c r="F3482" s="431">
        <v>416.67</v>
      </c>
      <c r="G3482" s="521">
        <v>11.5</v>
      </c>
      <c r="H3482" s="486">
        <v>3.1250000000000002E-3</v>
      </c>
      <c r="I3482" s="523">
        <v>14.97</v>
      </c>
      <c r="J3482" s="523">
        <v>15.63</v>
      </c>
    </row>
    <row r="3483" spans="1:10" s="559" customFormat="1">
      <c r="A3483" s="399" t="s">
        <v>346</v>
      </c>
      <c r="B3483" s="522">
        <v>697450</v>
      </c>
      <c r="C3483" s="522"/>
      <c r="D3483" s="399" t="s">
        <v>370</v>
      </c>
      <c r="E3483" s="522">
        <v>201605</v>
      </c>
      <c r="F3483" s="431">
        <v>11955.2</v>
      </c>
      <c r="G3483" s="521">
        <v>11.5</v>
      </c>
      <c r="H3483" s="486">
        <v>3.1250000000000002E-3</v>
      </c>
      <c r="I3483" s="523">
        <v>429.64</v>
      </c>
      <c r="J3483" s="523">
        <v>448.32</v>
      </c>
    </row>
    <row r="3484" spans="1:10" s="559" customFormat="1">
      <c r="A3484" s="399" t="s">
        <v>346</v>
      </c>
      <c r="B3484" s="522">
        <v>697460</v>
      </c>
      <c r="C3484" s="522"/>
      <c r="D3484" s="399" t="s">
        <v>372</v>
      </c>
      <c r="E3484" s="522">
        <v>201605</v>
      </c>
      <c r="F3484" s="431">
        <v>1.06</v>
      </c>
      <c r="G3484" s="521">
        <v>11.5</v>
      </c>
      <c r="H3484" s="486">
        <v>3.1250000000000002E-3</v>
      </c>
      <c r="I3484" s="523">
        <v>0.04</v>
      </c>
      <c r="J3484" s="523">
        <v>0.04</v>
      </c>
    </row>
    <row r="3485" spans="1:10" s="559" customFormat="1">
      <c r="A3485" s="399" t="s">
        <v>346</v>
      </c>
      <c r="B3485" s="522">
        <v>698400</v>
      </c>
      <c r="C3485" s="522"/>
      <c r="D3485" s="399" t="s">
        <v>376</v>
      </c>
      <c r="E3485" s="522">
        <v>201605</v>
      </c>
      <c r="F3485" s="431">
        <v>-3642.18</v>
      </c>
      <c r="G3485" s="521">
        <v>11.5</v>
      </c>
      <c r="H3485" s="486">
        <v>3.1250000000000002E-3</v>
      </c>
      <c r="I3485" s="523">
        <v>-130.88999999999999</v>
      </c>
      <c r="J3485" s="523">
        <v>-136.58000000000001</v>
      </c>
    </row>
    <row r="3486" spans="1:10" s="559" customFormat="1">
      <c r="A3486" s="399" t="s">
        <v>346</v>
      </c>
      <c r="B3486" s="522">
        <v>698450</v>
      </c>
      <c r="C3486" s="522"/>
      <c r="D3486" s="399" t="s">
        <v>378</v>
      </c>
      <c r="E3486" s="522">
        <v>201605</v>
      </c>
      <c r="F3486" s="431">
        <v>59497.05</v>
      </c>
      <c r="G3486" s="521">
        <v>11.5</v>
      </c>
      <c r="H3486" s="486">
        <v>3.1250000000000002E-3</v>
      </c>
      <c r="I3486" s="523">
        <v>2138.1799999999998</v>
      </c>
      <c r="J3486" s="523">
        <v>2231.14</v>
      </c>
    </row>
    <row r="3487" spans="1:10" s="559" customFormat="1">
      <c r="A3487" s="399" t="s">
        <v>346</v>
      </c>
      <c r="B3487" s="522">
        <v>698460</v>
      </c>
      <c r="C3487" s="522"/>
      <c r="D3487" s="399" t="s">
        <v>380</v>
      </c>
      <c r="E3487" s="522">
        <v>201605</v>
      </c>
      <c r="F3487" s="431">
        <v>1265.33</v>
      </c>
      <c r="G3487" s="521">
        <v>11.5</v>
      </c>
      <c r="H3487" s="486">
        <v>3.1250000000000002E-3</v>
      </c>
      <c r="I3487" s="523">
        <v>45.47</v>
      </c>
      <c r="J3487" s="523">
        <v>47.45</v>
      </c>
    </row>
    <row r="3488" spans="1:10" s="559" customFormat="1">
      <c r="A3488" s="399" t="s">
        <v>346</v>
      </c>
      <c r="B3488" s="522">
        <v>698480</v>
      </c>
      <c r="C3488" s="522"/>
      <c r="D3488" s="399" t="s">
        <v>384</v>
      </c>
      <c r="E3488" s="522">
        <v>201605</v>
      </c>
      <c r="F3488" s="431">
        <v>706.5</v>
      </c>
      <c r="G3488" s="521">
        <v>11.5</v>
      </c>
      <c r="H3488" s="486">
        <v>3.1250000000000002E-3</v>
      </c>
      <c r="I3488" s="523">
        <v>25.39</v>
      </c>
      <c r="J3488" s="523">
        <v>26.49</v>
      </c>
    </row>
    <row r="3489" spans="1:10" s="559" customFormat="1">
      <c r="A3489" s="399" t="s">
        <v>346</v>
      </c>
      <c r="B3489" s="522">
        <v>699300</v>
      </c>
      <c r="C3489" s="522"/>
      <c r="D3489" s="399" t="s">
        <v>386</v>
      </c>
      <c r="E3489" s="522">
        <v>201605</v>
      </c>
      <c r="F3489" s="431">
        <v>373280.88</v>
      </c>
      <c r="G3489" s="521">
        <v>11.5</v>
      </c>
      <c r="H3489" s="486">
        <v>3.1250000000000002E-3</v>
      </c>
      <c r="I3489" s="523">
        <v>13414.78</v>
      </c>
      <c r="J3489" s="523">
        <v>13998.03</v>
      </c>
    </row>
    <row r="3490" spans="1:10" s="559" customFormat="1">
      <c r="A3490" s="399" t="s">
        <v>346</v>
      </c>
      <c r="B3490" s="522">
        <v>699310</v>
      </c>
      <c r="C3490" s="522"/>
      <c r="D3490" s="399" t="s">
        <v>388</v>
      </c>
      <c r="E3490" s="522">
        <v>201605</v>
      </c>
      <c r="F3490" s="431">
        <v>202436.58</v>
      </c>
      <c r="G3490" s="521">
        <v>11.5</v>
      </c>
      <c r="H3490" s="486">
        <v>3.1250000000000002E-3</v>
      </c>
      <c r="I3490" s="523">
        <v>7275.06</v>
      </c>
      <c r="J3490" s="523">
        <v>7591.37</v>
      </c>
    </row>
    <row r="3491" spans="1:10" s="559" customFormat="1">
      <c r="A3491" s="399" t="s">
        <v>346</v>
      </c>
      <c r="B3491" s="522">
        <v>699320</v>
      </c>
      <c r="C3491" s="522"/>
      <c r="D3491" s="399" t="s">
        <v>390</v>
      </c>
      <c r="E3491" s="522">
        <v>201605</v>
      </c>
      <c r="F3491" s="431">
        <v>4380.22</v>
      </c>
      <c r="G3491" s="521">
        <v>11.5</v>
      </c>
      <c r="H3491" s="486">
        <v>3.1250000000000002E-3</v>
      </c>
      <c r="I3491" s="523">
        <v>157.41</v>
      </c>
      <c r="J3491" s="523">
        <v>164.26</v>
      </c>
    </row>
    <row r="3492" spans="1:10" s="559" customFormat="1">
      <c r="A3492" s="399" t="s">
        <v>346</v>
      </c>
      <c r="B3492" s="522">
        <v>699330</v>
      </c>
      <c r="C3492" s="522"/>
      <c r="D3492" s="399" t="s">
        <v>392</v>
      </c>
      <c r="E3492" s="522">
        <v>201605</v>
      </c>
      <c r="F3492" s="431">
        <v>-4756.42</v>
      </c>
      <c r="G3492" s="521">
        <v>11.5</v>
      </c>
      <c r="H3492" s="486">
        <v>3.1250000000000002E-3</v>
      </c>
      <c r="I3492" s="523">
        <v>-170.93</v>
      </c>
      <c r="J3492" s="523">
        <v>-178.37</v>
      </c>
    </row>
    <row r="3493" spans="1:10" s="559" customFormat="1">
      <c r="A3493" s="399" t="s">
        <v>346</v>
      </c>
      <c r="B3493" s="522">
        <v>699400</v>
      </c>
      <c r="C3493" s="522"/>
      <c r="D3493" s="399" t="s">
        <v>394</v>
      </c>
      <c r="E3493" s="522">
        <v>201605</v>
      </c>
      <c r="F3493" s="431">
        <v>-8734.52</v>
      </c>
      <c r="G3493" s="521">
        <v>11.5</v>
      </c>
      <c r="H3493" s="486">
        <v>3.1250000000000002E-3</v>
      </c>
      <c r="I3493" s="523">
        <v>-313.89999999999998</v>
      </c>
      <c r="J3493" s="523">
        <v>-327.54000000000002</v>
      </c>
    </row>
    <row r="3494" spans="1:10" s="559" customFormat="1">
      <c r="A3494" s="399" t="s">
        <v>346</v>
      </c>
      <c r="B3494" s="522">
        <v>699410</v>
      </c>
      <c r="C3494" s="522"/>
      <c r="D3494" s="399" t="s">
        <v>396</v>
      </c>
      <c r="E3494" s="522">
        <v>201605</v>
      </c>
      <c r="F3494" s="431">
        <v>-14182.26</v>
      </c>
      <c r="G3494" s="521">
        <v>11.5</v>
      </c>
      <c r="H3494" s="486">
        <v>3.1250000000000002E-3</v>
      </c>
      <c r="I3494" s="523">
        <v>-509.67</v>
      </c>
      <c r="J3494" s="523">
        <v>-531.83000000000004</v>
      </c>
    </row>
    <row r="3495" spans="1:10" s="559" customFormat="1">
      <c r="A3495" s="399" t="s">
        <v>346</v>
      </c>
      <c r="B3495" s="522">
        <v>900068</v>
      </c>
      <c r="C3495" s="522"/>
      <c r="D3495" s="399" t="s">
        <v>547</v>
      </c>
      <c r="E3495" s="522">
        <v>201605</v>
      </c>
      <c r="F3495" s="431">
        <v>-0.03</v>
      </c>
      <c r="G3495" s="521">
        <v>11.5</v>
      </c>
      <c r="H3495" s="486">
        <v>3.1250000000000002E-3</v>
      </c>
      <c r="I3495" s="523">
        <v>0</v>
      </c>
      <c r="J3495" s="523">
        <v>0</v>
      </c>
    </row>
    <row r="3496" spans="1:10" s="559" customFormat="1">
      <c r="A3496" s="399" t="s">
        <v>346</v>
      </c>
      <c r="B3496" s="522">
        <v>900069</v>
      </c>
      <c r="C3496" s="522"/>
      <c r="D3496" s="399" t="s">
        <v>590</v>
      </c>
      <c r="E3496" s="522">
        <v>201605</v>
      </c>
      <c r="F3496" s="431">
        <v>-328533.24</v>
      </c>
      <c r="G3496" s="521">
        <v>11.5</v>
      </c>
      <c r="H3496" s="486">
        <v>3.1250000000000002E-3</v>
      </c>
      <c r="I3496" s="523">
        <v>-11806.66</v>
      </c>
      <c r="J3496" s="523">
        <v>-12320</v>
      </c>
    </row>
    <row r="3497" spans="1:10" s="559" customFormat="1">
      <c r="A3497" s="399" t="s">
        <v>346</v>
      </c>
      <c r="B3497" s="522">
        <v>900071</v>
      </c>
      <c r="C3497" s="522"/>
      <c r="D3497" s="399" t="s">
        <v>644</v>
      </c>
      <c r="E3497" s="522">
        <v>201605</v>
      </c>
      <c r="F3497" s="431">
        <v>3338.73</v>
      </c>
      <c r="G3497" s="521">
        <v>11.5</v>
      </c>
      <c r="H3497" s="486">
        <v>3.1250000000000002E-3</v>
      </c>
      <c r="I3497" s="523">
        <v>119.99</v>
      </c>
      <c r="J3497" s="523">
        <v>125.2</v>
      </c>
    </row>
    <row r="3498" spans="1:10" s="559" customFormat="1">
      <c r="A3498" s="399" t="s">
        <v>346</v>
      </c>
      <c r="B3498" s="522">
        <v>900076</v>
      </c>
      <c r="C3498" s="522"/>
      <c r="D3498" s="399" t="s">
        <v>830</v>
      </c>
      <c r="E3498" s="522">
        <v>201605</v>
      </c>
      <c r="F3498" s="431">
        <v>342.57</v>
      </c>
      <c r="G3498" s="521">
        <v>11.5</v>
      </c>
      <c r="H3498" s="486">
        <v>3.1250000000000002E-3</v>
      </c>
      <c r="I3498" s="523">
        <v>12.31</v>
      </c>
      <c r="J3498" s="523">
        <v>12.85</v>
      </c>
    </row>
    <row r="3499" spans="1:10" s="559" customFormat="1">
      <c r="A3499" s="399" t="s">
        <v>346</v>
      </c>
      <c r="B3499" s="522">
        <v>900266</v>
      </c>
      <c r="C3499" s="522"/>
      <c r="D3499" s="399" t="s">
        <v>452</v>
      </c>
      <c r="E3499" s="522">
        <v>201605</v>
      </c>
      <c r="F3499" s="431">
        <v>8.99</v>
      </c>
      <c r="G3499" s="521">
        <v>11.5</v>
      </c>
      <c r="H3499" s="486">
        <v>3.1250000000000002E-3</v>
      </c>
      <c r="I3499" s="523">
        <v>0.32</v>
      </c>
      <c r="J3499" s="523">
        <v>0.34</v>
      </c>
    </row>
    <row r="3500" spans="1:10" s="559" customFormat="1">
      <c r="A3500" s="399" t="s">
        <v>346</v>
      </c>
      <c r="B3500" s="522">
        <v>900272</v>
      </c>
      <c r="C3500" s="522"/>
      <c r="D3500" s="399" t="s">
        <v>646</v>
      </c>
      <c r="E3500" s="522">
        <v>201605</v>
      </c>
      <c r="F3500" s="431">
        <v>-9.48</v>
      </c>
      <c r="G3500" s="521">
        <v>11.5</v>
      </c>
      <c r="H3500" s="486">
        <v>3.1250000000000002E-3</v>
      </c>
      <c r="I3500" s="523">
        <v>-0.34</v>
      </c>
      <c r="J3500" s="523">
        <v>-0.36</v>
      </c>
    </row>
    <row r="3501" spans="1:10" s="559" customFormat="1">
      <c r="A3501" s="399" t="s">
        <v>346</v>
      </c>
      <c r="B3501" s="522">
        <v>900273</v>
      </c>
      <c r="C3501" s="522"/>
      <c r="D3501" s="399" t="s">
        <v>648</v>
      </c>
      <c r="E3501" s="522">
        <v>201605</v>
      </c>
      <c r="F3501" s="431">
        <v>2.12</v>
      </c>
      <c r="G3501" s="521">
        <v>11.5</v>
      </c>
      <c r="H3501" s="486">
        <v>3.1250000000000002E-3</v>
      </c>
      <c r="I3501" s="523">
        <v>0.08</v>
      </c>
      <c r="J3501" s="523">
        <v>0.08</v>
      </c>
    </row>
    <row r="3502" spans="1:10" s="559" customFormat="1">
      <c r="A3502" s="399" t="s">
        <v>346</v>
      </c>
      <c r="B3502" s="522">
        <v>900446</v>
      </c>
      <c r="C3502" s="522"/>
      <c r="D3502" s="399" t="s">
        <v>785</v>
      </c>
      <c r="E3502" s="522">
        <v>201605</v>
      </c>
      <c r="F3502" s="431">
        <v>10852.39</v>
      </c>
      <c r="G3502" s="521">
        <v>11.5</v>
      </c>
      <c r="H3502" s="486">
        <v>3.1250000000000002E-3</v>
      </c>
      <c r="I3502" s="523">
        <v>390.01</v>
      </c>
      <c r="J3502" s="523">
        <v>406.96</v>
      </c>
    </row>
    <row r="3503" spans="1:10" s="559" customFormat="1">
      <c r="A3503" s="399" t="s">
        <v>346</v>
      </c>
      <c r="B3503" s="522">
        <v>900458</v>
      </c>
      <c r="C3503" s="522"/>
      <c r="D3503" s="399" t="s">
        <v>630</v>
      </c>
      <c r="E3503" s="522">
        <v>201605</v>
      </c>
      <c r="F3503" s="431">
        <v>7.51</v>
      </c>
      <c r="G3503" s="521">
        <v>11.5</v>
      </c>
      <c r="H3503" s="486">
        <v>3.1250000000000002E-3</v>
      </c>
      <c r="I3503" s="523">
        <v>0.27</v>
      </c>
      <c r="J3503" s="523">
        <v>0.28000000000000003</v>
      </c>
    </row>
    <row r="3504" spans="1:10" s="559" customFormat="1">
      <c r="A3504" s="399" t="s">
        <v>346</v>
      </c>
      <c r="B3504" s="522">
        <v>900476</v>
      </c>
      <c r="C3504" s="522"/>
      <c r="D3504" s="399" t="s">
        <v>593</v>
      </c>
      <c r="E3504" s="522">
        <v>201605</v>
      </c>
      <c r="F3504" s="431">
        <v>-0.03</v>
      </c>
      <c r="G3504" s="521">
        <v>11.5</v>
      </c>
      <c r="H3504" s="486">
        <v>3.1250000000000002E-3</v>
      </c>
      <c r="I3504" s="523">
        <v>0</v>
      </c>
      <c r="J3504" s="523">
        <v>0</v>
      </c>
    </row>
    <row r="3505" spans="1:10" s="559" customFormat="1">
      <c r="A3505" s="399" t="s">
        <v>346</v>
      </c>
      <c r="B3505" s="522">
        <v>900498</v>
      </c>
      <c r="C3505" s="522"/>
      <c r="D3505" s="399" t="s">
        <v>718</v>
      </c>
      <c r="E3505" s="522">
        <v>201605</v>
      </c>
      <c r="F3505" s="431">
        <v>16135.66</v>
      </c>
      <c r="G3505" s="521">
        <v>11.5</v>
      </c>
      <c r="H3505" s="486">
        <v>3.1250000000000002E-3</v>
      </c>
      <c r="I3505" s="523">
        <v>579.88</v>
      </c>
      <c r="J3505" s="523">
        <v>605.09</v>
      </c>
    </row>
    <row r="3506" spans="1:10" s="559" customFormat="1">
      <c r="A3506" s="399" t="s">
        <v>346</v>
      </c>
      <c r="B3506" s="522">
        <v>900523</v>
      </c>
      <c r="C3506" s="522"/>
      <c r="D3506" s="399" t="s">
        <v>650</v>
      </c>
      <c r="E3506" s="522">
        <v>201605</v>
      </c>
      <c r="F3506" s="431">
        <v>-348150.09</v>
      </c>
      <c r="G3506" s="521">
        <v>11.5</v>
      </c>
      <c r="H3506" s="486">
        <v>3.1250000000000002E-3</v>
      </c>
      <c r="I3506" s="523">
        <v>-12511.64</v>
      </c>
      <c r="J3506" s="523">
        <v>-13055.63</v>
      </c>
    </row>
    <row r="3507" spans="1:10" s="559" customFormat="1">
      <c r="A3507" s="399" t="s">
        <v>346</v>
      </c>
      <c r="B3507" s="522">
        <v>900527</v>
      </c>
      <c r="C3507" s="522"/>
      <c r="D3507" s="399" t="s">
        <v>839</v>
      </c>
      <c r="E3507" s="522">
        <v>201605</v>
      </c>
      <c r="F3507" s="431">
        <v>203575.83</v>
      </c>
      <c r="G3507" s="521">
        <v>11.5</v>
      </c>
      <c r="H3507" s="486">
        <v>3.1250000000000002E-3</v>
      </c>
      <c r="I3507" s="523">
        <v>7316.01</v>
      </c>
      <c r="J3507" s="523">
        <v>7634.09</v>
      </c>
    </row>
    <row r="3508" spans="1:10" s="559" customFormat="1">
      <c r="A3508" s="399" t="s">
        <v>346</v>
      </c>
      <c r="B3508" s="522">
        <v>900530</v>
      </c>
      <c r="C3508" s="522"/>
      <c r="D3508" s="399" t="s">
        <v>903</v>
      </c>
      <c r="E3508" s="522">
        <v>201605</v>
      </c>
      <c r="F3508" s="431">
        <v>9.24</v>
      </c>
      <c r="G3508" s="521">
        <v>11.5</v>
      </c>
      <c r="H3508" s="486">
        <v>3.1250000000000002E-3</v>
      </c>
      <c r="I3508" s="523">
        <v>0.33</v>
      </c>
      <c r="J3508" s="523">
        <v>0.35</v>
      </c>
    </row>
    <row r="3509" spans="1:10" s="559" customFormat="1">
      <c r="A3509" s="399" t="s">
        <v>346</v>
      </c>
      <c r="B3509" s="522">
        <v>900546</v>
      </c>
      <c r="C3509" s="522"/>
      <c r="D3509" s="399" t="s">
        <v>652</v>
      </c>
      <c r="E3509" s="522">
        <v>201605</v>
      </c>
      <c r="F3509" s="431">
        <v>6507.48</v>
      </c>
      <c r="G3509" s="521">
        <v>11.5</v>
      </c>
      <c r="H3509" s="486">
        <v>3.1250000000000002E-3</v>
      </c>
      <c r="I3509" s="523">
        <v>233.86</v>
      </c>
      <c r="J3509" s="523">
        <v>244.03</v>
      </c>
    </row>
    <row r="3510" spans="1:10" s="559" customFormat="1">
      <c r="A3510" s="399" t="s">
        <v>346</v>
      </c>
      <c r="B3510" s="522">
        <v>900547</v>
      </c>
      <c r="C3510" s="522"/>
      <c r="D3510" s="399" t="s">
        <v>787</v>
      </c>
      <c r="E3510" s="522">
        <v>201605</v>
      </c>
      <c r="F3510" s="431">
        <v>-89718.61</v>
      </c>
      <c r="G3510" s="521">
        <v>11.5</v>
      </c>
      <c r="H3510" s="486">
        <v>3.1250000000000002E-3</v>
      </c>
      <c r="I3510" s="523">
        <v>-3224.26</v>
      </c>
      <c r="J3510" s="523">
        <v>-3364.45</v>
      </c>
    </row>
    <row r="3511" spans="1:10" s="559" customFormat="1">
      <c r="A3511" s="399" t="s">
        <v>346</v>
      </c>
      <c r="B3511" s="522">
        <v>900548</v>
      </c>
      <c r="C3511" s="522"/>
      <c r="D3511" s="399" t="s">
        <v>654</v>
      </c>
      <c r="E3511" s="522">
        <v>201605</v>
      </c>
      <c r="F3511" s="431">
        <v>-103618.74</v>
      </c>
      <c r="G3511" s="521">
        <v>11.5</v>
      </c>
      <c r="H3511" s="486">
        <v>3.1250000000000002E-3</v>
      </c>
      <c r="I3511" s="523">
        <v>-3723.8</v>
      </c>
      <c r="J3511" s="523">
        <v>-3885.7</v>
      </c>
    </row>
    <row r="3512" spans="1:10" s="559" customFormat="1">
      <c r="A3512" s="399" t="s">
        <v>346</v>
      </c>
      <c r="B3512" s="522">
        <v>900549</v>
      </c>
      <c r="C3512" s="522"/>
      <c r="D3512" s="399" t="s">
        <v>904</v>
      </c>
      <c r="E3512" s="522">
        <v>201605</v>
      </c>
      <c r="F3512" s="431">
        <v>208.79</v>
      </c>
      <c r="G3512" s="521">
        <v>11.5</v>
      </c>
      <c r="H3512" s="486">
        <v>3.1250000000000002E-3</v>
      </c>
      <c r="I3512" s="523">
        <v>7.5</v>
      </c>
      <c r="J3512" s="523">
        <v>7.83</v>
      </c>
    </row>
    <row r="3513" spans="1:10" s="559" customFormat="1">
      <c r="A3513" s="399" t="s">
        <v>346</v>
      </c>
      <c r="B3513" s="522">
        <v>900550</v>
      </c>
      <c r="C3513" s="522"/>
      <c r="D3513" s="399" t="s">
        <v>910</v>
      </c>
      <c r="E3513" s="522">
        <v>201605</v>
      </c>
      <c r="F3513" s="431">
        <v>161.81</v>
      </c>
      <c r="G3513" s="521">
        <v>11.5</v>
      </c>
      <c r="H3513" s="486">
        <v>3.1250000000000002E-3</v>
      </c>
      <c r="I3513" s="523">
        <v>5.82</v>
      </c>
      <c r="J3513" s="523">
        <v>6.07</v>
      </c>
    </row>
    <row r="3514" spans="1:10" s="559" customFormat="1">
      <c r="A3514" s="399" t="s">
        <v>346</v>
      </c>
      <c r="B3514" s="522">
        <v>900556</v>
      </c>
      <c r="C3514" s="522"/>
      <c r="D3514" s="399" t="s">
        <v>656</v>
      </c>
      <c r="E3514" s="522">
        <v>201605</v>
      </c>
      <c r="F3514" s="431">
        <v>23.58</v>
      </c>
      <c r="G3514" s="521">
        <v>11.5</v>
      </c>
      <c r="H3514" s="486">
        <v>3.1250000000000002E-3</v>
      </c>
      <c r="I3514" s="523">
        <v>0.85</v>
      </c>
      <c r="J3514" s="523">
        <v>0.88</v>
      </c>
    </row>
    <row r="3515" spans="1:10" s="559" customFormat="1">
      <c r="A3515" s="399" t="s">
        <v>346</v>
      </c>
      <c r="B3515" s="522">
        <v>900558</v>
      </c>
      <c r="C3515" s="522"/>
      <c r="D3515" s="399" t="s">
        <v>595</v>
      </c>
      <c r="E3515" s="522">
        <v>201605</v>
      </c>
      <c r="F3515" s="431">
        <v>3.62</v>
      </c>
      <c r="G3515" s="521">
        <v>11.5</v>
      </c>
      <c r="H3515" s="486">
        <v>3.1250000000000002E-3</v>
      </c>
      <c r="I3515" s="523">
        <v>0.13</v>
      </c>
      <c r="J3515" s="523">
        <v>0.14000000000000001</v>
      </c>
    </row>
    <row r="3516" spans="1:10" s="559" customFormat="1">
      <c r="A3516" s="399" t="s">
        <v>346</v>
      </c>
      <c r="B3516" s="522">
        <v>900559</v>
      </c>
      <c r="C3516" s="522"/>
      <c r="D3516" s="399" t="s">
        <v>597</v>
      </c>
      <c r="E3516" s="522">
        <v>201605</v>
      </c>
      <c r="F3516" s="431">
        <v>3.15</v>
      </c>
      <c r="G3516" s="521">
        <v>11.5</v>
      </c>
      <c r="H3516" s="486">
        <v>3.1250000000000002E-3</v>
      </c>
      <c r="I3516" s="523">
        <v>0.11</v>
      </c>
      <c r="J3516" s="523">
        <v>0.12</v>
      </c>
    </row>
    <row r="3517" spans="1:10" s="559" customFormat="1">
      <c r="A3517" s="399" t="s">
        <v>346</v>
      </c>
      <c r="B3517" s="522">
        <v>900560</v>
      </c>
      <c r="C3517" s="522"/>
      <c r="D3517" s="399" t="s">
        <v>658</v>
      </c>
      <c r="E3517" s="522">
        <v>201605</v>
      </c>
      <c r="F3517" s="431">
        <v>-34.200000000000003</v>
      </c>
      <c r="G3517" s="521">
        <v>11.5</v>
      </c>
      <c r="H3517" s="486">
        <v>3.1250000000000002E-3</v>
      </c>
      <c r="I3517" s="523">
        <v>-1.23</v>
      </c>
      <c r="J3517" s="523">
        <v>-1.28</v>
      </c>
    </row>
    <row r="3518" spans="1:10" s="559" customFormat="1">
      <c r="A3518" s="399" t="s">
        <v>346</v>
      </c>
      <c r="B3518" s="522">
        <v>900561</v>
      </c>
      <c r="C3518" s="522"/>
      <c r="D3518" s="399" t="s">
        <v>660</v>
      </c>
      <c r="E3518" s="522">
        <v>201605</v>
      </c>
      <c r="F3518" s="431">
        <v>303663</v>
      </c>
      <c r="G3518" s="521">
        <v>11.5</v>
      </c>
      <c r="H3518" s="486">
        <v>3.1250000000000002E-3</v>
      </c>
      <c r="I3518" s="523">
        <v>10912.89</v>
      </c>
      <c r="J3518" s="523">
        <v>11387.36</v>
      </c>
    </row>
    <row r="3519" spans="1:10" s="559" customFormat="1">
      <c r="A3519" s="399" t="s">
        <v>346</v>
      </c>
      <c r="B3519" s="522">
        <v>900603</v>
      </c>
      <c r="C3519" s="522"/>
      <c r="D3519" s="399" t="s">
        <v>662</v>
      </c>
      <c r="E3519" s="522">
        <v>201605</v>
      </c>
      <c r="F3519" s="431">
        <v>42734.8</v>
      </c>
      <c r="G3519" s="521">
        <v>11.5</v>
      </c>
      <c r="H3519" s="486">
        <v>3.1250000000000002E-3</v>
      </c>
      <c r="I3519" s="523">
        <v>1535.78</v>
      </c>
      <c r="J3519" s="523">
        <v>1602.56</v>
      </c>
    </row>
    <row r="3520" spans="1:10" s="559" customFormat="1">
      <c r="A3520" s="399" t="s">
        <v>346</v>
      </c>
      <c r="B3520" s="522">
        <v>900605</v>
      </c>
      <c r="C3520" s="522"/>
      <c r="D3520" s="399" t="s">
        <v>664</v>
      </c>
      <c r="E3520" s="522">
        <v>201605</v>
      </c>
      <c r="F3520" s="431">
        <v>-87577.64</v>
      </c>
      <c r="G3520" s="521">
        <v>11.5</v>
      </c>
      <c r="H3520" s="486">
        <v>3.1250000000000002E-3</v>
      </c>
      <c r="I3520" s="523">
        <v>-3147.32</v>
      </c>
      <c r="J3520" s="523">
        <v>-3284.16</v>
      </c>
    </row>
    <row r="3521" spans="1:10" s="559" customFormat="1">
      <c r="A3521" s="399" t="s">
        <v>346</v>
      </c>
      <c r="B3521" s="522">
        <v>900607</v>
      </c>
      <c r="C3521" s="522"/>
      <c r="D3521" s="399" t="s">
        <v>666</v>
      </c>
      <c r="E3521" s="522">
        <v>201605</v>
      </c>
      <c r="F3521" s="431">
        <v>344.05</v>
      </c>
      <c r="G3521" s="521">
        <v>11.5</v>
      </c>
      <c r="H3521" s="486">
        <v>3.1250000000000002E-3</v>
      </c>
      <c r="I3521" s="523">
        <v>12.36</v>
      </c>
      <c r="J3521" s="523">
        <v>12.9</v>
      </c>
    </row>
    <row r="3522" spans="1:10" s="559" customFormat="1">
      <c r="A3522" s="399" t="s">
        <v>346</v>
      </c>
      <c r="B3522" s="522">
        <v>900609</v>
      </c>
      <c r="C3522" s="522"/>
      <c r="D3522" s="399" t="s">
        <v>802</v>
      </c>
      <c r="E3522" s="522">
        <v>201605</v>
      </c>
      <c r="F3522" s="431">
        <v>19890.55</v>
      </c>
      <c r="G3522" s="521">
        <v>11.5</v>
      </c>
      <c r="H3522" s="486">
        <v>3.1250000000000002E-3</v>
      </c>
      <c r="I3522" s="523">
        <v>714.82</v>
      </c>
      <c r="J3522" s="523">
        <v>745.9</v>
      </c>
    </row>
    <row r="3523" spans="1:10" s="559" customFormat="1">
      <c r="A3523" s="399" t="s">
        <v>346</v>
      </c>
      <c r="B3523" s="522">
        <v>900611</v>
      </c>
      <c r="C3523" s="522"/>
      <c r="D3523" s="399" t="s">
        <v>804</v>
      </c>
      <c r="E3523" s="522">
        <v>201605</v>
      </c>
      <c r="F3523" s="431">
        <v>20397.650000000001</v>
      </c>
      <c r="G3523" s="521">
        <v>11.5</v>
      </c>
      <c r="H3523" s="486">
        <v>3.1250000000000002E-3</v>
      </c>
      <c r="I3523" s="523">
        <v>733.04</v>
      </c>
      <c r="J3523" s="523">
        <v>764.91</v>
      </c>
    </row>
    <row r="3524" spans="1:10" s="559" customFormat="1">
      <c r="A3524" s="399" t="s">
        <v>346</v>
      </c>
      <c r="B3524" s="522">
        <v>900618</v>
      </c>
      <c r="C3524" s="522"/>
      <c r="D3524" s="399" t="s">
        <v>806</v>
      </c>
      <c r="E3524" s="522">
        <v>201605</v>
      </c>
      <c r="F3524" s="431">
        <v>23161.49</v>
      </c>
      <c r="G3524" s="521">
        <v>11.5</v>
      </c>
      <c r="H3524" s="486">
        <v>3.1250000000000002E-3</v>
      </c>
      <c r="I3524" s="523">
        <v>832.37</v>
      </c>
      <c r="J3524" s="523">
        <v>868.56</v>
      </c>
    </row>
    <row r="3525" spans="1:10" s="559" customFormat="1">
      <c r="A3525" s="399" t="s">
        <v>346</v>
      </c>
      <c r="B3525" s="522">
        <v>900650</v>
      </c>
      <c r="C3525" s="522"/>
      <c r="D3525" s="399" t="s">
        <v>599</v>
      </c>
      <c r="E3525" s="522">
        <v>201605</v>
      </c>
      <c r="F3525" s="431">
        <v>-0.67</v>
      </c>
      <c r="G3525" s="521">
        <v>11.5</v>
      </c>
      <c r="H3525" s="486">
        <v>3.1250000000000002E-3</v>
      </c>
      <c r="I3525" s="523">
        <v>-0.02</v>
      </c>
      <c r="J3525" s="523">
        <v>-0.03</v>
      </c>
    </row>
    <row r="3526" spans="1:10" s="559" customFormat="1">
      <c r="A3526" s="399" t="s">
        <v>346</v>
      </c>
      <c r="B3526" s="522">
        <v>900653</v>
      </c>
      <c r="C3526" s="522"/>
      <c r="D3526" s="399" t="s">
        <v>601</v>
      </c>
      <c r="E3526" s="522">
        <v>201605</v>
      </c>
      <c r="F3526" s="431">
        <v>3.49</v>
      </c>
      <c r="G3526" s="521">
        <v>11.5</v>
      </c>
      <c r="H3526" s="486">
        <v>3.1250000000000002E-3</v>
      </c>
      <c r="I3526" s="523">
        <v>0.13</v>
      </c>
      <c r="J3526" s="523">
        <v>0.13</v>
      </c>
    </row>
    <row r="3527" spans="1:10" s="559" customFormat="1">
      <c r="A3527" s="399" t="s">
        <v>346</v>
      </c>
      <c r="B3527" s="522">
        <v>900683</v>
      </c>
      <c r="C3527" s="522"/>
      <c r="D3527" s="399" t="s">
        <v>555</v>
      </c>
      <c r="E3527" s="522">
        <v>201605</v>
      </c>
      <c r="F3527" s="431">
        <v>0.43</v>
      </c>
      <c r="G3527" s="521">
        <v>11.5</v>
      </c>
      <c r="H3527" s="486">
        <v>3.1250000000000002E-3</v>
      </c>
      <c r="I3527" s="523">
        <v>0.02</v>
      </c>
      <c r="J3527" s="523">
        <v>0.02</v>
      </c>
    </row>
    <row r="3528" spans="1:10" s="559" customFormat="1">
      <c r="A3528" s="399" t="s">
        <v>346</v>
      </c>
      <c r="B3528" s="522">
        <v>900685</v>
      </c>
      <c r="C3528" s="522"/>
      <c r="D3528" s="399" t="s">
        <v>557</v>
      </c>
      <c r="E3528" s="522">
        <v>201605</v>
      </c>
      <c r="F3528" s="431">
        <v>0.96</v>
      </c>
      <c r="G3528" s="521">
        <v>11.5</v>
      </c>
      <c r="H3528" s="486">
        <v>3.1250000000000002E-3</v>
      </c>
      <c r="I3528" s="523">
        <v>0.03</v>
      </c>
      <c r="J3528" s="523">
        <v>0.04</v>
      </c>
    </row>
    <row r="3529" spans="1:10" s="559" customFormat="1">
      <c r="A3529" s="399" t="s">
        <v>346</v>
      </c>
      <c r="B3529" s="522">
        <v>900689</v>
      </c>
      <c r="C3529" s="522"/>
      <c r="D3529" s="399" t="s">
        <v>561</v>
      </c>
      <c r="E3529" s="522">
        <v>201605</v>
      </c>
      <c r="F3529" s="431">
        <v>-1.49</v>
      </c>
      <c r="G3529" s="521">
        <v>11.5</v>
      </c>
      <c r="H3529" s="486">
        <v>3.1250000000000002E-3</v>
      </c>
      <c r="I3529" s="523">
        <v>-0.05</v>
      </c>
      <c r="J3529" s="523">
        <v>-0.06</v>
      </c>
    </row>
    <row r="3530" spans="1:10" s="559" customFormat="1">
      <c r="A3530" s="399" t="s">
        <v>346</v>
      </c>
      <c r="B3530" s="522">
        <v>900691</v>
      </c>
      <c r="C3530" s="522"/>
      <c r="D3530" s="399" t="s">
        <v>563</v>
      </c>
      <c r="E3530" s="522">
        <v>201605</v>
      </c>
      <c r="F3530" s="431">
        <v>53.11</v>
      </c>
      <c r="G3530" s="521">
        <v>11.5</v>
      </c>
      <c r="H3530" s="486">
        <v>3.1250000000000002E-3</v>
      </c>
      <c r="I3530" s="523">
        <v>1.91</v>
      </c>
      <c r="J3530" s="523">
        <v>1.99</v>
      </c>
    </row>
    <row r="3531" spans="1:10" s="559" customFormat="1">
      <c r="A3531" s="399" t="s">
        <v>346</v>
      </c>
      <c r="B3531" s="522">
        <v>900734</v>
      </c>
      <c r="C3531" s="522"/>
      <c r="D3531" s="399" t="s">
        <v>603</v>
      </c>
      <c r="E3531" s="522">
        <v>201605</v>
      </c>
      <c r="F3531" s="431">
        <v>3.25</v>
      </c>
      <c r="G3531" s="521">
        <v>11.5</v>
      </c>
      <c r="H3531" s="486">
        <v>3.1250000000000002E-3</v>
      </c>
      <c r="I3531" s="523">
        <v>0.12</v>
      </c>
      <c r="J3531" s="523">
        <v>0.12</v>
      </c>
    </row>
    <row r="3532" spans="1:10" s="559" customFormat="1">
      <c r="A3532" s="399" t="s">
        <v>346</v>
      </c>
      <c r="B3532" s="522">
        <v>900747</v>
      </c>
      <c r="C3532" s="522"/>
      <c r="D3532" s="399" t="s">
        <v>811</v>
      </c>
      <c r="E3532" s="522">
        <v>201605</v>
      </c>
      <c r="F3532" s="431">
        <v>13056.45</v>
      </c>
      <c r="G3532" s="521">
        <v>11.5</v>
      </c>
      <c r="H3532" s="486">
        <v>3.1250000000000002E-3</v>
      </c>
      <c r="I3532" s="523">
        <v>469.22</v>
      </c>
      <c r="J3532" s="523">
        <v>489.62</v>
      </c>
    </row>
    <row r="3533" spans="1:10" s="559" customFormat="1">
      <c r="A3533" s="399" t="s">
        <v>346</v>
      </c>
      <c r="B3533" s="522">
        <v>900836</v>
      </c>
      <c r="C3533" s="522"/>
      <c r="D3533" s="399" t="s">
        <v>789</v>
      </c>
      <c r="E3533" s="522">
        <v>201605</v>
      </c>
      <c r="F3533" s="431">
        <v>8261.1200000000008</v>
      </c>
      <c r="G3533" s="521">
        <v>11.5</v>
      </c>
      <c r="H3533" s="486">
        <v>3.1250000000000002E-3</v>
      </c>
      <c r="I3533" s="523">
        <v>296.88</v>
      </c>
      <c r="J3533" s="523">
        <v>309.79000000000002</v>
      </c>
    </row>
    <row r="3534" spans="1:10" s="559" customFormat="1">
      <c r="A3534" s="399" t="s">
        <v>346</v>
      </c>
      <c r="B3534" s="522">
        <v>900862</v>
      </c>
      <c r="C3534" s="522"/>
      <c r="D3534" s="399" t="s">
        <v>669</v>
      </c>
      <c r="E3534" s="522">
        <v>201605</v>
      </c>
      <c r="F3534" s="431">
        <v>-0.91</v>
      </c>
      <c r="G3534" s="521">
        <v>11.5</v>
      </c>
      <c r="H3534" s="486">
        <v>3.1250000000000002E-3</v>
      </c>
      <c r="I3534" s="523">
        <v>-0.03</v>
      </c>
      <c r="J3534" s="523">
        <v>-0.03</v>
      </c>
    </row>
    <row r="3535" spans="1:10" s="559" customFormat="1">
      <c r="A3535" s="399" t="s">
        <v>346</v>
      </c>
      <c r="B3535" s="522">
        <v>900869</v>
      </c>
      <c r="C3535" s="522"/>
      <c r="D3535" s="399" t="s">
        <v>831</v>
      </c>
      <c r="E3535" s="522">
        <v>201605</v>
      </c>
      <c r="F3535" s="431">
        <v>6419.79</v>
      </c>
      <c r="G3535" s="521">
        <v>11.5</v>
      </c>
      <c r="H3535" s="486">
        <v>3.1250000000000002E-3</v>
      </c>
      <c r="I3535" s="523">
        <v>230.71</v>
      </c>
      <c r="J3535" s="523">
        <v>240.74</v>
      </c>
    </row>
    <row r="3536" spans="1:10" s="559" customFormat="1">
      <c r="A3536" s="399" t="s">
        <v>346</v>
      </c>
      <c r="B3536" s="522">
        <v>900871</v>
      </c>
      <c r="C3536" s="522"/>
      <c r="D3536" s="399" t="s">
        <v>671</v>
      </c>
      <c r="E3536" s="522">
        <v>201605</v>
      </c>
      <c r="F3536" s="431">
        <v>7783.53</v>
      </c>
      <c r="G3536" s="521">
        <v>11.5</v>
      </c>
      <c r="H3536" s="486">
        <v>3.1250000000000002E-3</v>
      </c>
      <c r="I3536" s="523">
        <v>279.72000000000003</v>
      </c>
      <c r="J3536" s="523">
        <v>291.88</v>
      </c>
    </row>
    <row r="3537" spans="1:10" s="559" customFormat="1">
      <c r="A3537" s="399" t="s">
        <v>346</v>
      </c>
      <c r="B3537" s="522">
        <v>900876</v>
      </c>
      <c r="C3537" s="522"/>
      <c r="D3537" s="399" t="s">
        <v>607</v>
      </c>
      <c r="E3537" s="522">
        <v>201605</v>
      </c>
      <c r="F3537" s="431">
        <v>11.7</v>
      </c>
      <c r="G3537" s="521">
        <v>11.5</v>
      </c>
      <c r="H3537" s="486">
        <v>3.1250000000000002E-3</v>
      </c>
      <c r="I3537" s="523">
        <v>0.42</v>
      </c>
      <c r="J3537" s="523">
        <v>0.44</v>
      </c>
    </row>
    <row r="3538" spans="1:10" s="559" customFormat="1">
      <c r="A3538" s="399" t="s">
        <v>346</v>
      </c>
      <c r="B3538" s="522">
        <v>900893</v>
      </c>
      <c r="C3538" s="522"/>
      <c r="D3538" s="399" t="s">
        <v>609</v>
      </c>
      <c r="E3538" s="522">
        <v>201605</v>
      </c>
      <c r="F3538" s="431">
        <v>0.38</v>
      </c>
      <c r="G3538" s="521">
        <v>11.5</v>
      </c>
      <c r="H3538" s="486">
        <v>3.1250000000000002E-3</v>
      </c>
      <c r="I3538" s="523">
        <v>0.01</v>
      </c>
      <c r="J3538" s="523">
        <v>0.01</v>
      </c>
    </row>
    <row r="3539" spans="1:10" s="559" customFormat="1">
      <c r="A3539" s="399" t="s">
        <v>346</v>
      </c>
      <c r="B3539" s="522">
        <v>900895</v>
      </c>
      <c r="C3539" s="522"/>
      <c r="D3539" s="399" t="s">
        <v>566</v>
      </c>
      <c r="E3539" s="522">
        <v>201605</v>
      </c>
      <c r="F3539" s="431">
        <v>0.11</v>
      </c>
      <c r="G3539" s="521">
        <v>11.5</v>
      </c>
      <c r="H3539" s="486">
        <v>3.1250000000000002E-3</v>
      </c>
      <c r="I3539" s="523">
        <v>0</v>
      </c>
      <c r="J3539" s="523">
        <v>0</v>
      </c>
    </row>
    <row r="3540" spans="1:10" s="559" customFormat="1">
      <c r="A3540" s="399" t="s">
        <v>346</v>
      </c>
      <c r="B3540" s="522">
        <v>900896</v>
      </c>
      <c r="C3540" s="522"/>
      <c r="D3540" s="399" t="s">
        <v>611</v>
      </c>
      <c r="E3540" s="522">
        <v>201605</v>
      </c>
      <c r="F3540" s="431">
        <v>4.71</v>
      </c>
      <c r="G3540" s="521">
        <v>11.5</v>
      </c>
      <c r="H3540" s="486">
        <v>3.1250000000000002E-3</v>
      </c>
      <c r="I3540" s="523">
        <v>0.17</v>
      </c>
      <c r="J3540" s="523">
        <v>0.18</v>
      </c>
    </row>
    <row r="3541" spans="1:10" s="559" customFormat="1">
      <c r="A3541" s="399" t="s">
        <v>346</v>
      </c>
      <c r="B3541" s="522">
        <v>900951</v>
      </c>
      <c r="C3541" s="522"/>
      <c r="D3541" s="399" t="s">
        <v>815</v>
      </c>
      <c r="E3541" s="522">
        <v>201605</v>
      </c>
      <c r="F3541" s="431">
        <v>9221.14</v>
      </c>
      <c r="G3541" s="521">
        <v>11.5</v>
      </c>
      <c r="H3541" s="486">
        <v>3.1250000000000002E-3</v>
      </c>
      <c r="I3541" s="523">
        <v>331.38</v>
      </c>
      <c r="J3541" s="523">
        <v>345.79</v>
      </c>
    </row>
    <row r="3542" spans="1:10" s="559" customFormat="1">
      <c r="A3542" s="399" t="s">
        <v>346</v>
      </c>
      <c r="B3542" s="522">
        <v>900952</v>
      </c>
      <c r="C3542" s="522"/>
      <c r="D3542" s="399" t="s">
        <v>675</v>
      </c>
      <c r="E3542" s="522">
        <v>201605</v>
      </c>
      <c r="F3542" s="431">
        <v>-9382.14</v>
      </c>
      <c r="G3542" s="521">
        <v>11.5</v>
      </c>
      <c r="H3542" s="486">
        <v>3.1250000000000002E-3</v>
      </c>
      <c r="I3542" s="523">
        <v>-337.17</v>
      </c>
      <c r="J3542" s="523">
        <v>-351.83</v>
      </c>
    </row>
    <row r="3543" spans="1:10" s="559" customFormat="1">
      <c r="A3543" s="399" t="s">
        <v>346</v>
      </c>
      <c r="B3543" s="522">
        <v>900953</v>
      </c>
      <c r="C3543" s="522"/>
      <c r="D3543" s="399" t="s">
        <v>791</v>
      </c>
      <c r="E3543" s="522">
        <v>201605</v>
      </c>
      <c r="F3543" s="431">
        <v>4902.25</v>
      </c>
      <c r="G3543" s="521">
        <v>11.5</v>
      </c>
      <c r="H3543" s="486">
        <v>3.1250000000000002E-3</v>
      </c>
      <c r="I3543" s="523">
        <v>176.17</v>
      </c>
      <c r="J3543" s="523">
        <v>183.83</v>
      </c>
    </row>
    <row r="3544" spans="1:10" s="559" customFormat="1">
      <c r="A3544" s="399" t="s">
        <v>346</v>
      </c>
      <c r="B3544" s="522">
        <v>900954</v>
      </c>
      <c r="C3544" s="522"/>
      <c r="D3544" s="399" t="s">
        <v>841</v>
      </c>
      <c r="E3544" s="522">
        <v>201605</v>
      </c>
      <c r="F3544" s="431">
        <v>287021.21000000002</v>
      </c>
      <c r="G3544" s="521">
        <v>11.5</v>
      </c>
      <c r="H3544" s="486">
        <v>3.1250000000000002E-3</v>
      </c>
      <c r="I3544" s="523">
        <v>10314.82</v>
      </c>
      <c r="J3544" s="523">
        <v>10763.3</v>
      </c>
    </row>
    <row r="3545" spans="1:10" s="559" customFormat="1">
      <c r="A3545" s="399" t="s">
        <v>346</v>
      </c>
      <c r="B3545" s="522">
        <v>900971</v>
      </c>
      <c r="C3545" s="522"/>
      <c r="D3545" s="399" t="s">
        <v>843</v>
      </c>
      <c r="E3545" s="522">
        <v>201605</v>
      </c>
      <c r="F3545" s="431">
        <v>174.25</v>
      </c>
      <c r="G3545" s="521">
        <v>11.5</v>
      </c>
      <c r="H3545" s="486">
        <v>3.1250000000000002E-3</v>
      </c>
      <c r="I3545" s="523">
        <v>6.26</v>
      </c>
      <c r="J3545" s="523">
        <v>6.53</v>
      </c>
    </row>
    <row r="3546" spans="1:10" s="559" customFormat="1">
      <c r="A3546" s="399" t="s">
        <v>346</v>
      </c>
      <c r="B3546" s="522">
        <v>900973</v>
      </c>
      <c r="C3546" s="522"/>
      <c r="D3546" s="399" t="s">
        <v>724</v>
      </c>
      <c r="E3546" s="522">
        <v>201605</v>
      </c>
      <c r="F3546" s="431">
        <v>1.35</v>
      </c>
      <c r="G3546" s="521">
        <v>11.5</v>
      </c>
      <c r="H3546" s="486">
        <v>3.1250000000000002E-3</v>
      </c>
      <c r="I3546" s="523">
        <v>0.05</v>
      </c>
      <c r="J3546" s="523">
        <v>0.05</v>
      </c>
    </row>
    <row r="3547" spans="1:10" s="559" customFormat="1">
      <c r="A3547" s="399" t="s">
        <v>346</v>
      </c>
      <c r="B3547" s="522">
        <v>900983</v>
      </c>
      <c r="C3547" s="522"/>
      <c r="D3547" s="399" t="s">
        <v>679</v>
      </c>
      <c r="E3547" s="522">
        <v>201605</v>
      </c>
      <c r="F3547" s="431">
        <v>-161796.53</v>
      </c>
      <c r="G3547" s="521">
        <v>11.5</v>
      </c>
      <c r="H3547" s="486">
        <v>3.1250000000000002E-3</v>
      </c>
      <c r="I3547" s="523">
        <v>-5814.56</v>
      </c>
      <c r="J3547" s="523">
        <v>-6067.37</v>
      </c>
    </row>
    <row r="3548" spans="1:10" s="559" customFormat="1">
      <c r="A3548" s="399" t="s">
        <v>346</v>
      </c>
      <c r="B3548" s="522">
        <v>900988</v>
      </c>
      <c r="C3548" s="522"/>
      <c r="D3548" s="399" t="s">
        <v>681</v>
      </c>
      <c r="E3548" s="522">
        <v>201605</v>
      </c>
      <c r="F3548" s="431">
        <v>-66.27</v>
      </c>
      <c r="G3548" s="521">
        <v>11.5</v>
      </c>
      <c r="H3548" s="486">
        <v>3.1250000000000002E-3</v>
      </c>
      <c r="I3548" s="523">
        <v>-2.38</v>
      </c>
      <c r="J3548" s="523">
        <v>-2.4900000000000002</v>
      </c>
    </row>
    <row r="3549" spans="1:10" s="559" customFormat="1">
      <c r="A3549" s="399" t="s">
        <v>346</v>
      </c>
      <c r="B3549" s="522">
        <v>900993</v>
      </c>
      <c r="C3549" s="522"/>
      <c r="D3549" s="399" t="s">
        <v>683</v>
      </c>
      <c r="E3549" s="522">
        <v>201605</v>
      </c>
      <c r="F3549" s="431">
        <v>12528.46</v>
      </c>
      <c r="G3549" s="521">
        <v>11.5</v>
      </c>
      <c r="H3549" s="486">
        <v>3.1250000000000002E-3</v>
      </c>
      <c r="I3549" s="523">
        <v>450.24</v>
      </c>
      <c r="J3549" s="523">
        <v>469.82</v>
      </c>
    </row>
    <row r="3550" spans="1:10" s="559" customFormat="1">
      <c r="A3550" s="399" t="s">
        <v>346</v>
      </c>
      <c r="B3550" s="522">
        <v>901041</v>
      </c>
      <c r="C3550" s="522"/>
      <c r="D3550" s="399" t="s">
        <v>847</v>
      </c>
      <c r="E3550" s="522">
        <v>201605</v>
      </c>
      <c r="F3550" s="431">
        <v>164217.76999999999</v>
      </c>
      <c r="G3550" s="521">
        <v>11.5</v>
      </c>
      <c r="H3550" s="486">
        <v>3.1250000000000002E-3</v>
      </c>
      <c r="I3550" s="523">
        <v>5901.58</v>
      </c>
      <c r="J3550" s="523">
        <v>6158.17</v>
      </c>
    </row>
    <row r="3551" spans="1:10" s="559" customFormat="1">
      <c r="A3551" s="399" t="s">
        <v>346</v>
      </c>
      <c r="B3551" s="522">
        <v>901059</v>
      </c>
      <c r="C3551" s="522"/>
      <c r="D3551" s="399" t="s">
        <v>685</v>
      </c>
      <c r="E3551" s="522">
        <v>201605</v>
      </c>
      <c r="F3551" s="431">
        <v>-3.16</v>
      </c>
      <c r="G3551" s="521">
        <v>11.5</v>
      </c>
      <c r="H3551" s="486">
        <v>3.1250000000000002E-3</v>
      </c>
      <c r="I3551" s="523">
        <v>-0.11</v>
      </c>
      <c r="J3551" s="523">
        <v>-0.12</v>
      </c>
    </row>
    <row r="3552" spans="1:10" s="559" customFormat="1">
      <c r="A3552" s="399" t="s">
        <v>346</v>
      </c>
      <c r="B3552" s="522">
        <v>901063</v>
      </c>
      <c r="C3552" s="522"/>
      <c r="D3552" s="399" t="s">
        <v>711</v>
      </c>
      <c r="E3552" s="522">
        <v>201605</v>
      </c>
      <c r="F3552" s="431">
        <v>10.42</v>
      </c>
      <c r="G3552" s="521">
        <v>11.5</v>
      </c>
      <c r="H3552" s="486">
        <v>3.1250000000000002E-3</v>
      </c>
      <c r="I3552" s="523">
        <v>0.37</v>
      </c>
      <c r="J3552" s="523">
        <v>0.39</v>
      </c>
    </row>
    <row r="3553" spans="1:10" s="559" customFormat="1">
      <c r="A3553" s="399" t="s">
        <v>346</v>
      </c>
      <c r="B3553" s="522">
        <v>901081</v>
      </c>
      <c r="C3553" s="522"/>
      <c r="D3553" s="399" t="s">
        <v>713</v>
      </c>
      <c r="E3553" s="522">
        <v>201605</v>
      </c>
      <c r="F3553" s="431">
        <v>382.13</v>
      </c>
      <c r="G3553" s="521">
        <v>11.5</v>
      </c>
      <c r="H3553" s="486">
        <v>3.1250000000000002E-3</v>
      </c>
      <c r="I3553" s="523">
        <v>13.73</v>
      </c>
      <c r="J3553" s="523">
        <v>14.33</v>
      </c>
    </row>
    <row r="3554" spans="1:10" s="559" customFormat="1">
      <c r="A3554" s="399" t="s">
        <v>346</v>
      </c>
      <c r="B3554" s="522">
        <v>901087</v>
      </c>
      <c r="C3554" s="522"/>
      <c r="D3554" s="399" t="s">
        <v>823</v>
      </c>
      <c r="E3554" s="522">
        <v>201605</v>
      </c>
      <c r="F3554" s="431">
        <v>14465.86</v>
      </c>
      <c r="G3554" s="521">
        <v>11.5</v>
      </c>
      <c r="H3554" s="486">
        <v>3.1250000000000002E-3</v>
      </c>
      <c r="I3554" s="523">
        <v>519.87</v>
      </c>
      <c r="J3554" s="523">
        <v>542.47</v>
      </c>
    </row>
    <row r="3555" spans="1:10" s="559" customFormat="1">
      <c r="A3555" s="399" t="s">
        <v>346</v>
      </c>
      <c r="B3555" s="522">
        <v>901088</v>
      </c>
      <c r="C3555" s="522"/>
      <c r="D3555" s="399" t="s">
        <v>691</v>
      </c>
      <c r="E3555" s="522">
        <v>201605</v>
      </c>
      <c r="F3555" s="431">
        <v>-14441.35</v>
      </c>
      <c r="G3555" s="521">
        <v>11.5</v>
      </c>
      <c r="H3555" s="486">
        <v>3.1250000000000002E-3</v>
      </c>
      <c r="I3555" s="523">
        <v>-518.99</v>
      </c>
      <c r="J3555" s="523">
        <v>-541.54999999999995</v>
      </c>
    </row>
    <row r="3556" spans="1:10" s="559" customFormat="1">
      <c r="A3556" s="399" t="s">
        <v>346</v>
      </c>
      <c r="B3556" s="522">
        <v>901111</v>
      </c>
      <c r="C3556" s="522"/>
      <c r="D3556" s="399" t="s">
        <v>693</v>
      </c>
      <c r="E3556" s="522">
        <v>201605</v>
      </c>
      <c r="F3556" s="431">
        <v>77.52</v>
      </c>
      <c r="G3556" s="521">
        <v>11.5</v>
      </c>
      <c r="H3556" s="486">
        <v>3.1250000000000002E-3</v>
      </c>
      <c r="I3556" s="523">
        <v>2.79</v>
      </c>
      <c r="J3556" s="523">
        <v>2.91</v>
      </c>
    </row>
    <row r="3557" spans="1:10" s="559" customFormat="1">
      <c r="A3557" s="399" t="s">
        <v>346</v>
      </c>
      <c r="B3557" s="522">
        <v>901114</v>
      </c>
      <c r="C3557" s="522"/>
      <c r="D3557" s="399" t="s">
        <v>695</v>
      </c>
      <c r="E3557" s="522">
        <v>201605</v>
      </c>
      <c r="F3557" s="431">
        <v>6.17</v>
      </c>
      <c r="G3557" s="521">
        <v>11.5</v>
      </c>
      <c r="H3557" s="486">
        <v>3.1250000000000002E-3</v>
      </c>
      <c r="I3557" s="523">
        <v>0.22</v>
      </c>
      <c r="J3557" s="523">
        <v>0.23</v>
      </c>
    </row>
    <row r="3558" spans="1:10" s="559" customFormat="1">
      <c r="A3558" s="399" t="s">
        <v>346</v>
      </c>
      <c r="B3558" s="522">
        <v>901139</v>
      </c>
      <c r="C3558" s="522"/>
      <c r="D3558" s="399" t="s">
        <v>697</v>
      </c>
      <c r="E3558" s="522">
        <v>201605</v>
      </c>
      <c r="F3558" s="431">
        <v>-0.64</v>
      </c>
      <c r="G3558" s="521">
        <v>11.5</v>
      </c>
      <c r="H3558" s="486">
        <v>3.1250000000000002E-3</v>
      </c>
      <c r="I3558" s="523">
        <v>-0.02</v>
      </c>
      <c r="J3558" s="523">
        <v>-0.02</v>
      </c>
    </row>
    <row r="3559" spans="1:10" s="559" customFormat="1">
      <c r="A3559" s="399" t="s">
        <v>346</v>
      </c>
      <c r="B3559" s="522">
        <v>901162</v>
      </c>
      <c r="C3559" s="522"/>
      <c r="D3559" s="399" t="s">
        <v>701</v>
      </c>
      <c r="E3559" s="522">
        <v>201605</v>
      </c>
      <c r="F3559" s="431">
        <v>-6898.04</v>
      </c>
      <c r="G3559" s="521">
        <v>11.5</v>
      </c>
      <c r="H3559" s="486">
        <v>3.1250000000000002E-3</v>
      </c>
      <c r="I3559" s="523">
        <v>-247.9</v>
      </c>
      <c r="J3559" s="523">
        <v>-258.68</v>
      </c>
    </row>
    <row r="3560" spans="1:10" s="559" customFormat="1">
      <c r="A3560" s="399" t="s">
        <v>346</v>
      </c>
      <c r="B3560" s="522">
        <v>901163</v>
      </c>
      <c r="C3560" s="522"/>
      <c r="D3560" s="399" t="s">
        <v>795</v>
      </c>
      <c r="E3560" s="522">
        <v>201605</v>
      </c>
      <c r="F3560" s="431">
        <v>1736.25</v>
      </c>
      <c r="G3560" s="521">
        <v>11.5</v>
      </c>
      <c r="H3560" s="486">
        <v>3.1250000000000002E-3</v>
      </c>
      <c r="I3560" s="523">
        <v>62.4</v>
      </c>
      <c r="J3560" s="523">
        <v>65.11</v>
      </c>
    </row>
    <row r="3561" spans="1:10" s="559" customFormat="1">
      <c r="A3561" s="399" t="s">
        <v>346</v>
      </c>
      <c r="B3561" s="522">
        <v>901173</v>
      </c>
      <c r="C3561" s="522"/>
      <c r="D3561" s="399" t="s">
        <v>714</v>
      </c>
      <c r="E3561" s="522">
        <v>201605</v>
      </c>
      <c r="F3561" s="431">
        <v>-0.01</v>
      </c>
      <c r="G3561" s="521">
        <v>11.5</v>
      </c>
      <c r="H3561" s="486">
        <v>3.1250000000000002E-3</v>
      </c>
      <c r="I3561" s="523">
        <v>0</v>
      </c>
      <c r="J3561" s="523">
        <v>0</v>
      </c>
    </row>
    <row r="3562" spans="1:10" s="559" customFormat="1">
      <c r="A3562" s="399" t="s">
        <v>346</v>
      </c>
      <c r="B3562" s="522">
        <v>901178</v>
      </c>
      <c r="C3562" s="522"/>
      <c r="D3562" s="399" t="s">
        <v>703</v>
      </c>
      <c r="E3562" s="522">
        <v>201605</v>
      </c>
      <c r="F3562" s="431">
        <v>10.18</v>
      </c>
      <c r="G3562" s="521">
        <v>11.5</v>
      </c>
      <c r="H3562" s="486">
        <v>3.1250000000000002E-3</v>
      </c>
      <c r="I3562" s="523">
        <v>0.37</v>
      </c>
      <c r="J3562" s="523">
        <v>0.38</v>
      </c>
    </row>
    <row r="3563" spans="1:10" s="559" customFormat="1">
      <c r="A3563" s="399" t="s">
        <v>346</v>
      </c>
      <c r="B3563" s="522">
        <v>901180</v>
      </c>
      <c r="C3563" s="522"/>
      <c r="D3563" s="399" t="s">
        <v>853</v>
      </c>
      <c r="E3563" s="522">
        <v>201605</v>
      </c>
      <c r="F3563" s="431">
        <v>43900.17</v>
      </c>
      <c r="G3563" s="521">
        <v>11.5</v>
      </c>
      <c r="H3563" s="486">
        <v>3.1250000000000002E-3</v>
      </c>
      <c r="I3563" s="523">
        <v>1577.66</v>
      </c>
      <c r="J3563" s="523">
        <v>1646.26</v>
      </c>
    </row>
    <row r="3564" spans="1:10" s="559" customFormat="1">
      <c r="A3564" s="399" t="s">
        <v>346</v>
      </c>
      <c r="B3564" s="522">
        <v>901187</v>
      </c>
      <c r="C3564" s="522"/>
      <c r="D3564" s="399" t="s">
        <v>827</v>
      </c>
      <c r="E3564" s="522">
        <v>201605</v>
      </c>
      <c r="F3564" s="431">
        <v>9231.33</v>
      </c>
      <c r="G3564" s="521">
        <v>11.5</v>
      </c>
      <c r="H3564" s="486">
        <v>3.1250000000000002E-3</v>
      </c>
      <c r="I3564" s="523">
        <v>331.75</v>
      </c>
      <c r="J3564" s="523">
        <v>346.17</v>
      </c>
    </row>
    <row r="3565" spans="1:10" s="559" customFormat="1">
      <c r="A3565" s="399" t="s">
        <v>346</v>
      </c>
      <c r="B3565" s="522">
        <v>901230</v>
      </c>
      <c r="C3565" s="522"/>
      <c r="D3565" s="399" t="s">
        <v>855</v>
      </c>
      <c r="E3565" s="522">
        <v>201605</v>
      </c>
      <c r="F3565" s="431">
        <v>182219.48</v>
      </c>
      <c r="G3565" s="521">
        <v>11.5</v>
      </c>
      <c r="H3565" s="486">
        <v>3.1250000000000002E-3</v>
      </c>
      <c r="I3565" s="523">
        <v>6548.51</v>
      </c>
      <c r="J3565" s="523">
        <v>6833.23</v>
      </c>
    </row>
    <row r="3566" spans="1:10" s="559" customFormat="1">
      <c r="A3566" s="399" t="s">
        <v>346</v>
      </c>
      <c r="B3566" s="522">
        <v>901308</v>
      </c>
      <c r="C3566" s="522"/>
      <c r="D3566" s="399" t="s">
        <v>730</v>
      </c>
      <c r="E3566" s="522">
        <v>201605</v>
      </c>
      <c r="F3566" s="431">
        <v>203.12</v>
      </c>
      <c r="G3566" s="521">
        <v>11.5</v>
      </c>
      <c r="H3566" s="486">
        <v>3.1250000000000002E-3</v>
      </c>
      <c r="I3566" s="523">
        <v>7.3</v>
      </c>
      <c r="J3566" s="523">
        <v>7.62</v>
      </c>
    </row>
    <row r="3567" spans="1:10" s="559" customFormat="1">
      <c r="A3567" s="399" t="s">
        <v>346</v>
      </c>
      <c r="B3567" s="522">
        <v>694250</v>
      </c>
      <c r="C3567" s="522"/>
      <c r="D3567" s="399" t="s">
        <v>732</v>
      </c>
      <c r="E3567" s="522">
        <v>201606</v>
      </c>
      <c r="F3567" s="431">
        <v>30.98</v>
      </c>
      <c r="G3567" s="521">
        <v>10.5</v>
      </c>
      <c r="H3567" s="486">
        <v>3.1250000000000002E-3</v>
      </c>
      <c r="I3567" s="523">
        <v>1.02</v>
      </c>
      <c r="J3567" s="523">
        <v>1.1599999999999999</v>
      </c>
    </row>
    <row r="3568" spans="1:10" s="559" customFormat="1">
      <c r="A3568" s="399" t="s">
        <v>346</v>
      </c>
      <c r="B3568" s="522">
        <v>695300</v>
      </c>
      <c r="C3568" s="522"/>
      <c r="D3568" s="399" t="s">
        <v>348</v>
      </c>
      <c r="E3568" s="522">
        <v>201606</v>
      </c>
      <c r="F3568" s="431">
        <v>920023.79</v>
      </c>
      <c r="G3568" s="521">
        <v>10.5</v>
      </c>
      <c r="H3568" s="486">
        <v>3.1250000000000002E-3</v>
      </c>
      <c r="I3568" s="523">
        <v>30188.28</v>
      </c>
      <c r="J3568" s="523">
        <v>34500.89</v>
      </c>
    </row>
    <row r="3569" spans="1:10" s="559" customFormat="1">
      <c r="A3569" s="399" t="s">
        <v>346</v>
      </c>
      <c r="B3569" s="522">
        <v>695310</v>
      </c>
      <c r="C3569" s="522"/>
      <c r="D3569" s="399" t="s">
        <v>350</v>
      </c>
      <c r="E3569" s="522">
        <v>201606</v>
      </c>
      <c r="F3569" s="431">
        <v>17085.03</v>
      </c>
      <c r="G3569" s="521">
        <v>10.5</v>
      </c>
      <c r="H3569" s="486">
        <v>3.1250000000000002E-3</v>
      </c>
      <c r="I3569" s="523">
        <v>560.6</v>
      </c>
      <c r="J3569" s="523">
        <v>640.69000000000005</v>
      </c>
    </row>
    <row r="3570" spans="1:10" s="559" customFormat="1">
      <c r="A3570" s="399" t="s">
        <v>346</v>
      </c>
      <c r="B3570" s="522">
        <v>695320</v>
      </c>
      <c r="C3570" s="522"/>
      <c r="D3570" s="399" t="s">
        <v>352</v>
      </c>
      <c r="E3570" s="522">
        <v>201606</v>
      </c>
      <c r="F3570" s="431">
        <v>1006.54</v>
      </c>
      <c r="G3570" s="521">
        <v>10.5</v>
      </c>
      <c r="H3570" s="486">
        <v>3.1250000000000002E-3</v>
      </c>
      <c r="I3570" s="523">
        <v>33.03</v>
      </c>
      <c r="J3570" s="523">
        <v>37.75</v>
      </c>
    </row>
    <row r="3571" spans="1:10" s="559" customFormat="1">
      <c r="A3571" s="399" t="s">
        <v>346</v>
      </c>
      <c r="B3571" s="522">
        <v>695330</v>
      </c>
      <c r="C3571" s="522"/>
      <c r="D3571" s="399" t="s">
        <v>354</v>
      </c>
      <c r="E3571" s="522">
        <v>201606</v>
      </c>
      <c r="F3571" s="431">
        <v>267.95</v>
      </c>
      <c r="G3571" s="521">
        <v>10.5</v>
      </c>
      <c r="H3571" s="486">
        <v>3.1250000000000002E-3</v>
      </c>
      <c r="I3571" s="523">
        <v>8.7899999999999991</v>
      </c>
      <c r="J3571" s="523">
        <v>10.050000000000001</v>
      </c>
    </row>
    <row r="3572" spans="1:10" s="559" customFormat="1">
      <c r="A3572" s="399" t="s">
        <v>346</v>
      </c>
      <c r="B3572" s="522">
        <v>695800</v>
      </c>
      <c r="C3572" s="522"/>
      <c r="D3572" s="399" t="s">
        <v>356</v>
      </c>
      <c r="E3572" s="522">
        <v>201606</v>
      </c>
      <c r="F3572" s="431">
        <v>59690.1</v>
      </c>
      <c r="G3572" s="521">
        <v>10.5</v>
      </c>
      <c r="H3572" s="486">
        <v>3.1250000000000002E-3</v>
      </c>
      <c r="I3572" s="523">
        <v>1958.58</v>
      </c>
      <c r="J3572" s="523">
        <v>2238.38</v>
      </c>
    </row>
    <row r="3573" spans="1:10" s="559" customFormat="1">
      <c r="A3573" s="399" t="s">
        <v>346</v>
      </c>
      <c r="B3573" s="522">
        <v>695810</v>
      </c>
      <c r="C3573" s="522"/>
      <c r="D3573" s="399" t="s">
        <v>358</v>
      </c>
      <c r="E3573" s="522">
        <v>201606</v>
      </c>
      <c r="F3573" s="431">
        <v>6891.45</v>
      </c>
      <c r="G3573" s="521">
        <v>10.5</v>
      </c>
      <c r="H3573" s="486">
        <v>3.1250000000000002E-3</v>
      </c>
      <c r="I3573" s="523">
        <v>226.13</v>
      </c>
      <c r="J3573" s="523">
        <v>258.43</v>
      </c>
    </row>
    <row r="3574" spans="1:10" s="559" customFormat="1">
      <c r="A3574" s="399" t="s">
        <v>346</v>
      </c>
      <c r="B3574" s="522">
        <v>695820</v>
      </c>
      <c r="C3574" s="522"/>
      <c r="D3574" s="399" t="s">
        <v>360</v>
      </c>
      <c r="E3574" s="522">
        <v>201606</v>
      </c>
      <c r="F3574" s="431">
        <v>1559.92</v>
      </c>
      <c r="G3574" s="521">
        <v>10.5</v>
      </c>
      <c r="H3574" s="486">
        <v>3.1250000000000002E-3</v>
      </c>
      <c r="I3574" s="523">
        <v>51.18</v>
      </c>
      <c r="J3574" s="523">
        <v>58.5</v>
      </c>
    </row>
    <row r="3575" spans="1:10" s="559" customFormat="1">
      <c r="A3575" s="399" t="s">
        <v>346</v>
      </c>
      <c r="B3575" s="522">
        <v>695830</v>
      </c>
      <c r="C3575" s="522"/>
      <c r="D3575" s="399" t="s">
        <v>362</v>
      </c>
      <c r="E3575" s="522">
        <v>201606</v>
      </c>
      <c r="F3575" s="431">
        <v>4373.8100000000004</v>
      </c>
      <c r="G3575" s="521">
        <v>10.5</v>
      </c>
      <c r="H3575" s="486">
        <v>3.1250000000000002E-3</v>
      </c>
      <c r="I3575" s="523">
        <v>143.52000000000001</v>
      </c>
      <c r="J3575" s="523">
        <v>164.02</v>
      </c>
    </row>
    <row r="3576" spans="1:10" s="559" customFormat="1">
      <c r="A3576" s="399" t="s">
        <v>346</v>
      </c>
      <c r="B3576" s="522">
        <v>696400</v>
      </c>
      <c r="C3576" s="522"/>
      <c r="D3576" s="399" t="s">
        <v>366</v>
      </c>
      <c r="E3576" s="522">
        <v>201606</v>
      </c>
      <c r="F3576" s="431">
        <v>-1123.03</v>
      </c>
      <c r="G3576" s="521">
        <v>10.5</v>
      </c>
      <c r="H3576" s="486">
        <v>3.1250000000000002E-3</v>
      </c>
      <c r="I3576" s="523">
        <v>-36.85</v>
      </c>
      <c r="J3576" s="523">
        <v>-42.11</v>
      </c>
    </row>
    <row r="3577" spans="1:10" s="559" customFormat="1">
      <c r="A3577" s="399" t="s">
        <v>346</v>
      </c>
      <c r="B3577" s="522">
        <v>696450</v>
      </c>
      <c r="C3577" s="522"/>
      <c r="D3577" s="399" t="s">
        <v>368</v>
      </c>
      <c r="E3577" s="522">
        <v>201606</v>
      </c>
      <c r="F3577" s="431">
        <v>5850</v>
      </c>
      <c r="G3577" s="521">
        <v>10.5</v>
      </c>
      <c r="H3577" s="486">
        <v>3.1250000000000002E-3</v>
      </c>
      <c r="I3577" s="523">
        <v>191.95</v>
      </c>
      <c r="J3577" s="523">
        <v>219.38</v>
      </c>
    </row>
    <row r="3578" spans="1:10" s="559" customFormat="1">
      <c r="A3578" s="399" t="s">
        <v>346</v>
      </c>
      <c r="B3578" s="522">
        <v>696480</v>
      </c>
      <c r="C3578" s="522"/>
      <c r="D3578" s="399" t="s">
        <v>586</v>
      </c>
      <c r="E3578" s="522">
        <v>201606</v>
      </c>
      <c r="F3578" s="431">
        <v>308.89</v>
      </c>
      <c r="G3578" s="521">
        <v>10.5</v>
      </c>
      <c r="H3578" s="486">
        <v>3.1250000000000002E-3</v>
      </c>
      <c r="I3578" s="523">
        <v>10.14</v>
      </c>
      <c r="J3578" s="523">
        <v>11.58</v>
      </c>
    </row>
    <row r="3579" spans="1:10" s="559" customFormat="1">
      <c r="A3579" s="399" t="s">
        <v>346</v>
      </c>
      <c r="B3579" s="522">
        <v>697450</v>
      </c>
      <c r="C3579" s="522"/>
      <c r="D3579" s="399" t="s">
        <v>370</v>
      </c>
      <c r="E3579" s="522">
        <v>201606</v>
      </c>
      <c r="F3579" s="431">
        <v>33498.720000000001</v>
      </c>
      <c r="G3579" s="521">
        <v>10.5</v>
      </c>
      <c r="H3579" s="486">
        <v>3.1250000000000002E-3</v>
      </c>
      <c r="I3579" s="523">
        <v>1099.18</v>
      </c>
      <c r="J3579" s="523">
        <v>1256.2</v>
      </c>
    </row>
    <row r="3580" spans="1:10" s="559" customFormat="1">
      <c r="A3580" s="399" t="s">
        <v>346</v>
      </c>
      <c r="B3580" s="522">
        <v>697460</v>
      </c>
      <c r="C3580" s="522"/>
      <c r="D3580" s="399" t="s">
        <v>372</v>
      </c>
      <c r="E3580" s="522">
        <v>201606</v>
      </c>
      <c r="F3580" s="431">
        <v>0.74</v>
      </c>
      <c r="G3580" s="521">
        <v>10.5</v>
      </c>
      <c r="H3580" s="486">
        <v>3.1250000000000002E-3</v>
      </c>
      <c r="I3580" s="523">
        <v>0.02</v>
      </c>
      <c r="J3580" s="523">
        <v>0.03</v>
      </c>
    </row>
    <row r="3581" spans="1:10" s="559" customFormat="1">
      <c r="A3581" s="399" t="s">
        <v>346</v>
      </c>
      <c r="B3581" s="522">
        <v>698400</v>
      </c>
      <c r="C3581" s="522"/>
      <c r="D3581" s="399" t="s">
        <v>376</v>
      </c>
      <c r="E3581" s="522">
        <v>201606</v>
      </c>
      <c r="F3581" s="431">
        <v>-8882.8799999999992</v>
      </c>
      <c r="G3581" s="521">
        <v>10.5</v>
      </c>
      <c r="H3581" s="486">
        <v>3.1250000000000002E-3</v>
      </c>
      <c r="I3581" s="523">
        <v>-291.47000000000003</v>
      </c>
      <c r="J3581" s="523">
        <v>-333.11</v>
      </c>
    </row>
    <row r="3582" spans="1:10" s="559" customFormat="1">
      <c r="A3582" s="399" t="s">
        <v>346</v>
      </c>
      <c r="B3582" s="522">
        <v>698450</v>
      </c>
      <c r="C3582" s="522"/>
      <c r="D3582" s="399" t="s">
        <v>378</v>
      </c>
      <c r="E3582" s="522">
        <v>201606</v>
      </c>
      <c r="F3582" s="431">
        <v>80392.56</v>
      </c>
      <c r="G3582" s="521">
        <v>10.5</v>
      </c>
      <c r="H3582" s="486">
        <v>3.1250000000000002E-3</v>
      </c>
      <c r="I3582" s="523">
        <v>2637.88</v>
      </c>
      <c r="J3582" s="523">
        <v>3014.72</v>
      </c>
    </row>
    <row r="3583" spans="1:10" s="559" customFormat="1">
      <c r="A3583" s="399" t="s">
        <v>346</v>
      </c>
      <c r="B3583" s="522">
        <v>698460</v>
      </c>
      <c r="C3583" s="522"/>
      <c r="D3583" s="399" t="s">
        <v>380</v>
      </c>
      <c r="E3583" s="522">
        <v>201606</v>
      </c>
      <c r="F3583" s="431">
        <v>908.22</v>
      </c>
      <c r="G3583" s="521">
        <v>10.5</v>
      </c>
      <c r="H3583" s="486">
        <v>3.1250000000000002E-3</v>
      </c>
      <c r="I3583" s="523">
        <v>29.8</v>
      </c>
      <c r="J3583" s="523">
        <v>34.06</v>
      </c>
    </row>
    <row r="3584" spans="1:10" s="559" customFormat="1">
      <c r="A3584" s="399" t="s">
        <v>346</v>
      </c>
      <c r="B3584" s="522">
        <v>698480</v>
      </c>
      <c r="C3584" s="522"/>
      <c r="D3584" s="399" t="s">
        <v>384</v>
      </c>
      <c r="E3584" s="522">
        <v>201606</v>
      </c>
      <c r="F3584" s="431">
        <v>510.06</v>
      </c>
      <c r="G3584" s="521">
        <v>10.5</v>
      </c>
      <c r="H3584" s="486">
        <v>3.1250000000000002E-3</v>
      </c>
      <c r="I3584" s="523">
        <v>16.739999999999998</v>
      </c>
      <c r="J3584" s="523">
        <v>19.13</v>
      </c>
    </row>
    <row r="3585" spans="1:10" s="559" customFormat="1">
      <c r="A3585" s="399" t="s">
        <v>346</v>
      </c>
      <c r="B3585" s="522">
        <v>699300</v>
      </c>
      <c r="C3585" s="522"/>
      <c r="D3585" s="399" t="s">
        <v>386</v>
      </c>
      <c r="E3585" s="522">
        <v>201606</v>
      </c>
      <c r="F3585" s="431">
        <v>418762.38</v>
      </c>
      <c r="G3585" s="521">
        <v>10.5</v>
      </c>
      <c r="H3585" s="486">
        <v>3.1250000000000002E-3</v>
      </c>
      <c r="I3585" s="523">
        <v>13740.64</v>
      </c>
      <c r="J3585" s="523">
        <v>15703.59</v>
      </c>
    </row>
    <row r="3586" spans="1:10" s="559" customFormat="1">
      <c r="A3586" s="399" t="s">
        <v>346</v>
      </c>
      <c r="B3586" s="522">
        <v>699310</v>
      </c>
      <c r="C3586" s="522"/>
      <c r="D3586" s="399" t="s">
        <v>388</v>
      </c>
      <c r="E3586" s="522">
        <v>201606</v>
      </c>
      <c r="F3586" s="431">
        <v>250868.17</v>
      </c>
      <c r="G3586" s="521">
        <v>10.5</v>
      </c>
      <c r="H3586" s="486">
        <v>3.1250000000000002E-3</v>
      </c>
      <c r="I3586" s="523">
        <v>8231.61</v>
      </c>
      <c r="J3586" s="523">
        <v>9407.56</v>
      </c>
    </row>
    <row r="3587" spans="1:10" s="559" customFormat="1">
      <c r="A3587" s="399" t="s">
        <v>346</v>
      </c>
      <c r="B3587" s="522">
        <v>699320</v>
      </c>
      <c r="C3587" s="522"/>
      <c r="D3587" s="399" t="s">
        <v>390</v>
      </c>
      <c r="E3587" s="522">
        <v>201606</v>
      </c>
      <c r="F3587" s="431">
        <v>6932.7</v>
      </c>
      <c r="G3587" s="521">
        <v>10.5</v>
      </c>
      <c r="H3587" s="486">
        <v>3.1250000000000002E-3</v>
      </c>
      <c r="I3587" s="523">
        <v>227.48</v>
      </c>
      <c r="J3587" s="523">
        <v>259.98</v>
      </c>
    </row>
    <row r="3588" spans="1:10" s="559" customFormat="1">
      <c r="A3588" s="399" t="s">
        <v>346</v>
      </c>
      <c r="B3588" s="522">
        <v>699330</v>
      </c>
      <c r="C3588" s="522"/>
      <c r="D3588" s="399" t="s">
        <v>392</v>
      </c>
      <c r="E3588" s="522">
        <v>201606</v>
      </c>
      <c r="F3588" s="431">
        <v>4139.66</v>
      </c>
      <c r="G3588" s="521">
        <v>10.5</v>
      </c>
      <c r="H3588" s="486">
        <v>3.1250000000000002E-3</v>
      </c>
      <c r="I3588" s="523">
        <v>135.83000000000001</v>
      </c>
      <c r="J3588" s="523">
        <v>155.24</v>
      </c>
    </row>
    <row r="3589" spans="1:10" s="559" customFormat="1">
      <c r="A3589" s="399" t="s">
        <v>346</v>
      </c>
      <c r="B3589" s="522">
        <v>699400</v>
      </c>
      <c r="C3589" s="522"/>
      <c r="D3589" s="399" t="s">
        <v>394</v>
      </c>
      <c r="E3589" s="522">
        <v>201606</v>
      </c>
      <c r="F3589" s="431">
        <v>-18634.16</v>
      </c>
      <c r="G3589" s="521">
        <v>10.5</v>
      </c>
      <c r="H3589" s="486">
        <v>3.1250000000000002E-3</v>
      </c>
      <c r="I3589" s="523">
        <v>-611.42999999999995</v>
      </c>
      <c r="J3589" s="523">
        <v>-698.78</v>
      </c>
    </row>
    <row r="3590" spans="1:10" s="559" customFormat="1">
      <c r="A3590" s="399" t="s">
        <v>346</v>
      </c>
      <c r="B3590" s="522">
        <v>699410</v>
      </c>
      <c r="C3590" s="522"/>
      <c r="D3590" s="399" t="s">
        <v>396</v>
      </c>
      <c r="E3590" s="522">
        <v>201606</v>
      </c>
      <c r="F3590" s="431">
        <v>-63732.43</v>
      </c>
      <c r="G3590" s="521">
        <v>10.5</v>
      </c>
      <c r="H3590" s="486">
        <v>3.1250000000000002E-3</v>
      </c>
      <c r="I3590" s="523">
        <v>-2091.2199999999998</v>
      </c>
      <c r="J3590" s="523">
        <v>-2389.9699999999998</v>
      </c>
    </row>
    <row r="3591" spans="1:10" s="559" customFormat="1">
      <c r="A3591" s="399" t="s">
        <v>346</v>
      </c>
      <c r="B3591" s="522">
        <v>900068</v>
      </c>
      <c r="C3591" s="522"/>
      <c r="D3591" s="399" t="s">
        <v>547</v>
      </c>
      <c r="E3591" s="522">
        <v>201606</v>
      </c>
      <c r="F3591" s="431">
        <v>-0.02</v>
      </c>
      <c r="G3591" s="521">
        <v>10.5</v>
      </c>
      <c r="H3591" s="486">
        <v>3.1250000000000002E-3</v>
      </c>
      <c r="I3591" s="523">
        <v>0</v>
      </c>
      <c r="J3591" s="523">
        <v>0</v>
      </c>
    </row>
    <row r="3592" spans="1:10" s="559" customFormat="1">
      <c r="A3592" s="399" t="s">
        <v>346</v>
      </c>
      <c r="B3592" s="522">
        <v>900069</v>
      </c>
      <c r="C3592" s="522"/>
      <c r="D3592" s="399" t="s">
        <v>590</v>
      </c>
      <c r="E3592" s="522">
        <v>201606</v>
      </c>
      <c r="F3592" s="431">
        <v>18.62</v>
      </c>
      <c r="G3592" s="521">
        <v>10.5</v>
      </c>
      <c r="H3592" s="486">
        <v>3.1250000000000002E-3</v>
      </c>
      <c r="I3592" s="523">
        <v>0.61</v>
      </c>
      <c r="J3592" s="523">
        <v>0.7</v>
      </c>
    </row>
    <row r="3593" spans="1:10" s="559" customFormat="1">
      <c r="A3593" s="399" t="s">
        <v>346</v>
      </c>
      <c r="B3593" s="522">
        <v>900071</v>
      </c>
      <c r="C3593" s="522"/>
      <c r="D3593" s="399" t="s">
        <v>644</v>
      </c>
      <c r="E3593" s="522">
        <v>201606</v>
      </c>
      <c r="F3593" s="431">
        <v>2052.81</v>
      </c>
      <c r="G3593" s="521">
        <v>10.5</v>
      </c>
      <c r="H3593" s="486">
        <v>3.1250000000000002E-3</v>
      </c>
      <c r="I3593" s="523">
        <v>67.36</v>
      </c>
      <c r="J3593" s="523">
        <v>76.98</v>
      </c>
    </row>
    <row r="3594" spans="1:10" s="559" customFormat="1">
      <c r="A3594" s="399" t="s">
        <v>346</v>
      </c>
      <c r="B3594" s="522">
        <v>900075</v>
      </c>
      <c r="C3594" s="522"/>
      <c r="D3594" s="399" t="s">
        <v>857</v>
      </c>
      <c r="E3594" s="522">
        <v>201606</v>
      </c>
      <c r="F3594" s="431">
        <v>91206.88</v>
      </c>
      <c r="G3594" s="521">
        <v>10.5</v>
      </c>
      <c r="H3594" s="486">
        <v>3.1250000000000002E-3</v>
      </c>
      <c r="I3594" s="523">
        <v>2992.73</v>
      </c>
      <c r="J3594" s="523">
        <v>3420.26</v>
      </c>
    </row>
    <row r="3595" spans="1:10" s="559" customFormat="1">
      <c r="A3595" s="399" t="s">
        <v>346</v>
      </c>
      <c r="B3595" s="522">
        <v>900076</v>
      </c>
      <c r="C3595" s="522"/>
      <c r="D3595" s="399" t="s">
        <v>830</v>
      </c>
      <c r="E3595" s="522">
        <v>201606</v>
      </c>
      <c r="F3595" s="431">
        <v>279</v>
      </c>
      <c r="G3595" s="521">
        <v>10.5</v>
      </c>
      <c r="H3595" s="486">
        <v>3.1250000000000002E-3</v>
      </c>
      <c r="I3595" s="523">
        <v>9.15</v>
      </c>
      <c r="J3595" s="523">
        <v>10.46</v>
      </c>
    </row>
    <row r="3596" spans="1:10" s="559" customFormat="1">
      <c r="A3596" s="399" t="s">
        <v>346</v>
      </c>
      <c r="B3596" s="522">
        <v>900104</v>
      </c>
      <c r="C3596" s="522"/>
      <c r="D3596" s="399" t="s">
        <v>709</v>
      </c>
      <c r="E3596" s="522">
        <v>201606</v>
      </c>
      <c r="F3596" s="431">
        <v>38591.160000000003</v>
      </c>
      <c r="G3596" s="521">
        <v>10.5</v>
      </c>
      <c r="H3596" s="486">
        <v>3.1250000000000002E-3</v>
      </c>
      <c r="I3596" s="523">
        <v>1266.27</v>
      </c>
      <c r="J3596" s="523">
        <v>1447.17</v>
      </c>
    </row>
    <row r="3597" spans="1:10" s="559" customFormat="1">
      <c r="A3597" s="399" t="s">
        <v>346</v>
      </c>
      <c r="B3597" s="522">
        <v>900266</v>
      </c>
      <c r="C3597" s="522"/>
      <c r="D3597" s="399" t="s">
        <v>452</v>
      </c>
      <c r="E3597" s="522">
        <v>201606</v>
      </c>
      <c r="F3597" s="431">
        <v>6.97</v>
      </c>
      <c r="G3597" s="521">
        <v>10.5</v>
      </c>
      <c r="H3597" s="486">
        <v>3.1250000000000002E-3</v>
      </c>
      <c r="I3597" s="523">
        <v>0.23</v>
      </c>
      <c r="J3597" s="523">
        <v>0.26</v>
      </c>
    </row>
    <row r="3598" spans="1:10" s="559" customFormat="1">
      <c r="A3598" s="399" t="s">
        <v>346</v>
      </c>
      <c r="B3598" s="522">
        <v>900272</v>
      </c>
      <c r="C3598" s="522"/>
      <c r="D3598" s="399" t="s">
        <v>646</v>
      </c>
      <c r="E3598" s="522">
        <v>201606</v>
      </c>
      <c r="F3598" s="431">
        <v>-4.29</v>
      </c>
      <c r="G3598" s="521">
        <v>10.5</v>
      </c>
      <c r="H3598" s="486">
        <v>3.1250000000000002E-3</v>
      </c>
      <c r="I3598" s="523">
        <v>-0.14000000000000001</v>
      </c>
      <c r="J3598" s="523">
        <v>-0.16</v>
      </c>
    </row>
    <row r="3599" spans="1:10" s="559" customFormat="1">
      <c r="A3599" s="399" t="s">
        <v>346</v>
      </c>
      <c r="B3599" s="522">
        <v>900446</v>
      </c>
      <c r="C3599" s="522"/>
      <c r="D3599" s="399" t="s">
        <v>785</v>
      </c>
      <c r="E3599" s="522">
        <v>201606</v>
      </c>
      <c r="F3599" s="431">
        <v>2726.98</v>
      </c>
      <c r="G3599" s="521">
        <v>10.5</v>
      </c>
      <c r="H3599" s="486">
        <v>3.1250000000000002E-3</v>
      </c>
      <c r="I3599" s="523">
        <v>89.48</v>
      </c>
      <c r="J3599" s="523">
        <v>102.26</v>
      </c>
    </row>
    <row r="3600" spans="1:10" s="559" customFormat="1">
      <c r="A3600" s="399" t="s">
        <v>346</v>
      </c>
      <c r="B3600" s="522">
        <v>900458</v>
      </c>
      <c r="C3600" s="522"/>
      <c r="D3600" s="399" t="s">
        <v>630</v>
      </c>
      <c r="E3600" s="522">
        <v>201606</v>
      </c>
      <c r="F3600" s="431">
        <v>5.2</v>
      </c>
      <c r="G3600" s="521">
        <v>10.5</v>
      </c>
      <c r="H3600" s="486">
        <v>3.1250000000000002E-3</v>
      </c>
      <c r="I3600" s="523">
        <v>0.17</v>
      </c>
      <c r="J3600" s="523">
        <v>0.2</v>
      </c>
    </row>
    <row r="3601" spans="1:10" s="559" customFormat="1">
      <c r="A3601" s="399" t="s">
        <v>346</v>
      </c>
      <c r="B3601" s="522">
        <v>900476</v>
      </c>
      <c r="C3601" s="522"/>
      <c r="D3601" s="399" t="s">
        <v>593</v>
      </c>
      <c r="E3601" s="522">
        <v>201606</v>
      </c>
      <c r="F3601" s="431">
        <v>-0.02</v>
      </c>
      <c r="G3601" s="521">
        <v>10.5</v>
      </c>
      <c r="H3601" s="486">
        <v>3.1250000000000002E-3</v>
      </c>
      <c r="I3601" s="523">
        <v>0</v>
      </c>
      <c r="J3601" s="523">
        <v>0</v>
      </c>
    </row>
    <row r="3602" spans="1:10" s="559" customFormat="1">
      <c r="A3602" s="399" t="s">
        <v>346</v>
      </c>
      <c r="B3602" s="522">
        <v>900498</v>
      </c>
      <c r="C3602" s="522"/>
      <c r="D3602" s="399" t="s">
        <v>718</v>
      </c>
      <c r="E3602" s="522">
        <v>201606</v>
      </c>
      <c r="F3602" s="431">
        <v>277.81</v>
      </c>
      <c r="G3602" s="521">
        <v>10.5</v>
      </c>
      <c r="H3602" s="486">
        <v>3.1250000000000002E-3</v>
      </c>
      <c r="I3602" s="523">
        <v>9.1199999999999992</v>
      </c>
      <c r="J3602" s="523">
        <v>10.42</v>
      </c>
    </row>
    <row r="3603" spans="1:10" s="559" customFormat="1">
      <c r="A3603" s="399" t="s">
        <v>346</v>
      </c>
      <c r="B3603" s="522">
        <v>900523</v>
      </c>
      <c r="C3603" s="522"/>
      <c r="D3603" s="399" t="s">
        <v>650</v>
      </c>
      <c r="E3603" s="522">
        <v>201606</v>
      </c>
      <c r="F3603" s="431">
        <v>9803.57</v>
      </c>
      <c r="G3603" s="521">
        <v>10.5</v>
      </c>
      <c r="H3603" s="486">
        <v>3.1250000000000002E-3</v>
      </c>
      <c r="I3603" s="523">
        <v>321.68</v>
      </c>
      <c r="J3603" s="523">
        <v>367.63</v>
      </c>
    </row>
    <row r="3604" spans="1:10" s="559" customFormat="1">
      <c r="A3604" s="399" t="s">
        <v>346</v>
      </c>
      <c r="B3604" s="522">
        <v>900527</v>
      </c>
      <c r="C3604" s="522"/>
      <c r="D3604" s="399" t="s">
        <v>839</v>
      </c>
      <c r="E3604" s="522">
        <v>201606</v>
      </c>
      <c r="F3604" s="431">
        <v>8620.24</v>
      </c>
      <c r="G3604" s="521">
        <v>10.5</v>
      </c>
      <c r="H3604" s="486">
        <v>3.1250000000000002E-3</v>
      </c>
      <c r="I3604" s="523">
        <v>282.85000000000002</v>
      </c>
      <c r="J3604" s="523">
        <v>323.26</v>
      </c>
    </row>
    <row r="3605" spans="1:10" s="559" customFormat="1">
      <c r="A3605" s="399" t="s">
        <v>346</v>
      </c>
      <c r="B3605" s="522">
        <v>900530</v>
      </c>
      <c r="C3605" s="522"/>
      <c r="D3605" s="399" t="s">
        <v>903</v>
      </c>
      <c r="E3605" s="522">
        <v>201606</v>
      </c>
      <c r="F3605" s="431">
        <v>5.48</v>
      </c>
      <c r="G3605" s="521">
        <v>10.5</v>
      </c>
      <c r="H3605" s="486">
        <v>3.1250000000000002E-3</v>
      </c>
      <c r="I3605" s="523">
        <v>0.18</v>
      </c>
      <c r="J3605" s="523">
        <v>0.21</v>
      </c>
    </row>
    <row r="3606" spans="1:10">
      <c r="A3606" s="332" t="s">
        <v>346</v>
      </c>
      <c r="B3606" s="333">
        <v>900546</v>
      </c>
      <c r="C3606" s="333"/>
      <c r="D3606" s="399" t="s">
        <v>652</v>
      </c>
      <c r="E3606" s="333">
        <v>201606</v>
      </c>
      <c r="F3606" s="431">
        <v>34318.67</v>
      </c>
      <c r="G3606" s="332">
        <v>10.5</v>
      </c>
      <c r="H3606" s="381">
        <v>3.1250000000000002E-3</v>
      </c>
      <c r="I3606" s="334">
        <v>1126.08</v>
      </c>
      <c r="J3606" s="334">
        <v>1286.95</v>
      </c>
    </row>
    <row r="3607" spans="1:10">
      <c r="A3607" s="332" t="s">
        <v>346</v>
      </c>
      <c r="B3607" s="333">
        <v>900547</v>
      </c>
      <c r="C3607" s="333"/>
      <c r="D3607" s="332" t="s">
        <v>787</v>
      </c>
      <c r="E3607" s="333">
        <v>201606</v>
      </c>
      <c r="F3607" s="334">
        <v>9040.6299999999992</v>
      </c>
      <c r="G3607" s="332">
        <v>10.5</v>
      </c>
      <c r="H3607" s="381">
        <v>3.1250000000000002E-3</v>
      </c>
      <c r="I3607" s="334">
        <v>296.64999999999998</v>
      </c>
      <c r="J3607" s="334">
        <v>339.02</v>
      </c>
    </row>
    <row r="3608" spans="1:10">
      <c r="A3608" s="332" t="s">
        <v>346</v>
      </c>
      <c r="B3608" s="333">
        <v>900548</v>
      </c>
      <c r="C3608" s="333"/>
      <c r="D3608" s="332" t="s">
        <v>654</v>
      </c>
      <c r="E3608" s="333">
        <v>201606</v>
      </c>
      <c r="F3608" s="334">
        <v>3490.14</v>
      </c>
      <c r="G3608" s="332">
        <v>10.5</v>
      </c>
      <c r="H3608" s="381">
        <v>3.1250000000000002E-3</v>
      </c>
      <c r="I3608" s="334">
        <v>114.52</v>
      </c>
      <c r="J3608" s="334">
        <v>130.88</v>
      </c>
    </row>
    <row r="3609" spans="1:10">
      <c r="A3609" s="399" t="s">
        <v>346</v>
      </c>
      <c r="B3609" s="333">
        <v>900549</v>
      </c>
      <c r="C3609" s="333"/>
      <c r="D3609" s="399" t="s">
        <v>904</v>
      </c>
      <c r="E3609" s="333">
        <v>201606</v>
      </c>
      <c r="F3609" s="431">
        <v>168.06</v>
      </c>
      <c r="G3609" s="332">
        <v>10.5</v>
      </c>
      <c r="H3609" s="381">
        <v>3.1250000000000002E-3</v>
      </c>
      <c r="I3609" s="334">
        <v>5.51</v>
      </c>
      <c r="J3609" s="334">
        <v>6.3</v>
      </c>
    </row>
    <row r="3610" spans="1:10">
      <c r="A3610" s="332" t="s">
        <v>346</v>
      </c>
      <c r="B3610" s="333">
        <v>900550</v>
      </c>
      <c r="C3610" s="333"/>
      <c r="D3610" s="399" t="s">
        <v>910</v>
      </c>
      <c r="E3610" s="333">
        <v>201606</v>
      </c>
      <c r="F3610" s="431">
        <v>130.69999999999999</v>
      </c>
      <c r="G3610" s="332">
        <v>10.5</v>
      </c>
      <c r="H3610" s="381">
        <v>3.1250000000000002E-3</v>
      </c>
      <c r="I3610" s="334">
        <v>4.29</v>
      </c>
      <c r="J3610" s="334">
        <v>4.9000000000000004</v>
      </c>
    </row>
    <row r="3611" spans="1:10">
      <c r="A3611" s="332" t="s">
        <v>346</v>
      </c>
      <c r="B3611" s="333">
        <v>900556</v>
      </c>
      <c r="C3611" s="333"/>
      <c r="D3611" s="332" t="s">
        <v>656</v>
      </c>
      <c r="E3611" s="333">
        <v>201606</v>
      </c>
      <c r="F3611" s="334">
        <v>16.46</v>
      </c>
      <c r="G3611" s="332">
        <v>10.5</v>
      </c>
      <c r="H3611" s="381">
        <v>3.1250000000000002E-3</v>
      </c>
      <c r="I3611" s="334">
        <v>0.54</v>
      </c>
      <c r="J3611" s="334">
        <v>0.62</v>
      </c>
    </row>
    <row r="3612" spans="1:10">
      <c r="A3612" s="332" t="s">
        <v>346</v>
      </c>
      <c r="B3612" s="333">
        <v>900558</v>
      </c>
      <c r="C3612" s="333"/>
      <c r="D3612" s="332" t="s">
        <v>595</v>
      </c>
      <c r="E3612" s="333">
        <v>201606</v>
      </c>
      <c r="F3612" s="334">
        <v>2.54</v>
      </c>
      <c r="G3612" s="332">
        <v>10.5</v>
      </c>
      <c r="H3612" s="381">
        <v>3.1250000000000002E-3</v>
      </c>
      <c r="I3612" s="334">
        <v>0.08</v>
      </c>
      <c r="J3612" s="334">
        <v>0.1</v>
      </c>
    </row>
    <row r="3613" spans="1:10">
      <c r="A3613" s="399" t="s">
        <v>346</v>
      </c>
      <c r="B3613" s="333">
        <v>900559</v>
      </c>
      <c r="C3613" s="333"/>
      <c r="D3613" s="399" t="s">
        <v>597</v>
      </c>
      <c r="E3613" s="333">
        <v>201606</v>
      </c>
      <c r="F3613" s="431">
        <v>2.21</v>
      </c>
      <c r="G3613" s="332">
        <v>10.5</v>
      </c>
      <c r="H3613" s="381">
        <v>3.1250000000000002E-3</v>
      </c>
      <c r="I3613" s="334">
        <v>7.0000000000000007E-2</v>
      </c>
      <c r="J3613" s="334">
        <v>0.08</v>
      </c>
    </row>
    <row r="3614" spans="1:10">
      <c r="A3614" s="332" t="s">
        <v>346</v>
      </c>
      <c r="B3614" s="333">
        <v>900560</v>
      </c>
      <c r="C3614" s="333"/>
      <c r="D3614" s="332" t="s">
        <v>658</v>
      </c>
      <c r="E3614" s="333">
        <v>201606</v>
      </c>
      <c r="F3614" s="334">
        <v>-26.53</v>
      </c>
      <c r="G3614" s="332">
        <v>10.5</v>
      </c>
      <c r="H3614" s="381">
        <v>3.1250000000000002E-3</v>
      </c>
      <c r="I3614" s="334">
        <v>-0.87</v>
      </c>
      <c r="J3614" s="334">
        <v>-0.99</v>
      </c>
    </row>
    <row r="3615" spans="1:10">
      <c r="A3615" s="332" t="s">
        <v>346</v>
      </c>
      <c r="B3615" s="333">
        <v>900561</v>
      </c>
      <c r="C3615" s="333"/>
      <c r="D3615" s="332" t="s">
        <v>660</v>
      </c>
      <c r="E3615" s="333">
        <v>201606</v>
      </c>
      <c r="F3615" s="334">
        <v>-128.26</v>
      </c>
      <c r="G3615" s="332">
        <v>10.5</v>
      </c>
      <c r="H3615" s="381">
        <v>3.1250000000000002E-3</v>
      </c>
      <c r="I3615" s="334">
        <v>-4.21</v>
      </c>
      <c r="J3615" s="334">
        <v>-4.8099999999999996</v>
      </c>
    </row>
    <row r="3616" spans="1:10">
      <c r="A3616" s="332" t="s">
        <v>346</v>
      </c>
      <c r="B3616" s="333">
        <v>900603</v>
      </c>
      <c r="C3616" s="333"/>
      <c r="D3616" s="399" t="s">
        <v>662</v>
      </c>
      <c r="E3616" s="333">
        <v>201606</v>
      </c>
      <c r="F3616" s="431">
        <v>28522.6</v>
      </c>
      <c r="G3616" s="332">
        <v>10.5</v>
      </c>
      <c r="H3616" s="381">
        <v>3.1250000000000002E-3</v>
      </c>
      <c r="I3616" s="334">
        <v>935.9</v>
      </c>
      <c r="J3616" s="334">
        <v>1069.5999999999999</v>
      </c>
    </row>
    <row r="3617" spans="1:10">
      <c r="A3617" s="332" t="s">
        <v>346</v>
      </c>
      <c r="B3617" s="333">
        <v>900605</v>
      </c>
      <c r="C3617" s="333"/>
      <c r="D3617" s="332" t="s">
        <v>664</v>
      </c>
      <c r="E3617" s="333">
        <v>201606</v>
      </c>
      <c r="F3617" s="334">
        <v>5281.56</v>
      </c>
      <c r="G3617" s="332">
        <v>10.5</v>
      </c>
      <c r="H3617" s="381">
        <v>3.1250000000000002E-3</v>
      </c>
      <c r="I3617" s="334">
        <v>173.3</v>
      </c>
      <c r="J3617" s="334">
        <v>198.06</v>
      </c>
    </row>
    <row r="3618" spans="1:10">
      <c r="A3618" s="332" t="s">
        <v>346</v>
      </c>
      <c r="B3618" s="333">
        <v>900607</v>
      </c>
      <c r="C3618" s="333"/>
      <c r="D3618" s="332" t="s">
        <v>666</v>
      </c>
      <c r="E3618" s="333">
        <v>201606</v>
      </c>
      <c r="F3618" s="334">
        <v>258.82</v>
      </c>
      <c r="G3618" s="332">
        <v>10.5</v>
      </c>
      <c r="H3618" s="381">
        <v>3.1250000000000002E-3</v>
      </c>
      <c r="I3618" s="334">
        <v>8.49</v>
      </c>
      <c r="J3618" s="334">
        <v>9.7100000000000009</v>
      </c>
    </row>
    <row r="3619" spans="1:10">
      <c r="A3619" s="399" t="s">
        <v>346</v>
      </c>
      <c r="B3619" s="333">
        <v>900609</v>
      </c>
      <c r="C3619" s="333"/>
      <c r="D3619" s="399" t="s">
        <v>802</v>
      </c>
      <c r="E3619" s="333">
        <v>201606</v>
      </c>
      <c r="F3619" s="431">
        <v>14257.67</v>
      </c>
      <c r="G3619" s="332">
        <v>10.5</v>
      </c>
      <c r="H3619" s="381">
        <v>3.1250000000000002E-3</v>
      </c>
      <c r="I3619" s="334">
        <v>467.83</v>
      </c>
      <c r="J3619" s="334">
        <v>534.66</v>
      </c>
    </row>
    <row r="3620" spans="1:10">
      <c r="A3620" s="332" t="s">
        <v>346</v>
      </c>
      <c r="B3620" s="333">
        <v>900611</v>
      </c>
      <c r="C3620" s="333"/>
      <c r="D3620" s="399" t="s">
        <v>804</v>
      </c>
      <c r="E3620" s="333">
        <v>201606</v>
      </c>
      <c r="F3620" s="431">
        <v>-1378.81</v>
      </c>
      <c r="G3620" s="332">
        <v>10.5</v>
      </c>
      <c r="H3620" s="381">
        <v>3.1250000000000002E-3</v>
      </c>
      <c r="I3620" s="334">
        <v>-45.24</v>
      </c>
      <c r="J3620" s="334">
        <v>-51.71</v>
      </c>
    </row>
    <row r="3621" spans="1:10">
      <c r="A3621" s="332" t="s">
        <v>346</v>
      </c>
      <c r="B3621" s="333">
        <v>900618</v>
      </c>
      <c r="C3621" s="333"/>
      <c r="D3621" s="332" t="s">
        <v>806</v>
      </c>
      <c r="E3621" s="333">
        <v>201606</v>
      </c>
      <c r="F3621" s="334">
        <v>8465.9599999999991</v>
      </c>
      <c r="G3621" s="332">
        <v>10.5</v>
      </c>
      <c r="H3621" s="381">
        <v>3.1250000000000002E-3</v>
      </c>
      <c r="I3621" s="334">
        <v>277.79000000000002</v>
      </c>
      <c r="J3621" s="334">
        <v>317.47000000000003</v>
      </c>
    </row>
    <row r="3622" spans="1:10">
      <c r="A3622" s="332" t="s">
        <v>346</v>
      </c>
      <c r="B3622" s="333">
        <v>900650</v>
      </c>
      <c r="C3622" s="333"/>
      <c r="D3622" s="332" t="s">
        <v>599</v>
      </c>
      <c r="E3622" s="333">
        <v>201606</v>
      </c>
      <c r="F3622" s="334">
        <v>-0.48</v>
      </c>
      <c r="G3622" s="332">
        <v>10.5</v>
      </c>
      <c r="H3622" s="381">
        <v>3.1250000000000002E-3</v>
      </c>
      <c r="I3622" s="334">
        <v>-0.02</v>
      </c>
      <c r="J3622" s="334">
        <v>-0.02</v>
      </c>
    </row>
    <row r="3623" spans="1:10">
      <c r="A3623" s="399" t="s">
        <v>346</v>
      </c>
      <c r="B3623" s="333">
        <v>900653</v>
      </c>
      <c r="C3623" s="333"/>
      <c r="D3623" s="399" t="s">
        <v>601</v>
      </c>
      <c r="E3623" s="333">
        <v>201606</v>
      </c>
      <c r="F3623" s="431">
        <v>2.44</v>
      </c>
      <c r="G3623" s="332">
        <v>10.5</v>
      </c>
      <c r="H3623" s="381">
        <v>3.1250000000000002E-3</v>
      </c>
      <c r="I3623" s="334">
        <v>0.08</v>
      </c>
      <c r="J3623" s="334">
        <v>0.09</v>
      </c>
    </row>
    <row r="3624" spans="1:10">
      <c r="A3624" s="332" t="s">
        <v>346</v>
      </c>
      <c r="B3624" s="333">
        <v>900683</v>
      </c>
      <c r="C3624" s="333"/>
      <c r="D3624" s="399" t="s">
        <v>555</v>
      </c>
      <c r="E3624" s="333">
        <v>201606</v>
      </c>
      <c r="F3624" s="431">
        <v>0.28999999999999998</v>
      </c>
      <c r="G3624" s="332">
        <v>10.5</v>
      </c>
      <c r="H3624" s="381">
        <v>3.1250000000000002E-3</v>
      </c>
      <c r="I3624" s="334">
        <v>0.01</v>
      </c>
      <c r="J3624" s="334">
        <v>0.01</v>
      </c>
    </row>
    <row r="3625" spans="1:10">
      <c r="A3625" s="332" t="s">
        <v>346</v>
      </c>
      <c r="B3625" s="333">
        <v>900685</v>
      </c>
      <c r="C3625" s="333"/>
      <c r="D3625" s="332" t="s">
        <v>557</v>
      </c>
      <c r="E3625" s="333">
        <v>201606</v>
      </c>
      <c r="F3625" s="334">
        <v>0.67</v>
      </c>
      <c r="G3625" s="332">
        <v>10.5</v>
      </c>
      <c r="H3625" s="381">
        <v>3.1250000000000002E-3</v>
      </c>
      <c r="I3625" s="334">
        <v>0.02</v>
      </c>
      <c r="J3625" s="334">
        <v>0.03</v>
      </c>
    </row>
    <row r="3626" spans="1:10">
      <c r="A3626" s="332" t="s">
        <v>346</v>
      </c>
      <c r="B3626" s="333">
        <v>900687</v>
      </c>
      <c r="C3626" s="333"/>
      <c r="D3626" s="332" t="s">
        <v>559</v>
      </c>
      <c r="E3626" s="333">
        <v>201606</v>
      </c>
      <c r="F3626" s="334">
        <v>-17</v>
      </c>
      <c r="G3626" s="332">
        <v>10.5</v>
      </c>
      <c r="H3626" s="381">
        <v>3.1250000000000002E-3</v>
      </c>
      <c r="I3626" s="334">
        <v>-0.56000000000000005</v>
      </c>
      <c r="J3626" s="334">
        <v>-0.64</v>
      </c>
    </row>
    <row r="3627" spans="1:10">
      <c r="A3627" s="399" t="s">
        <v>346</v>
      </c>
      <c r="B3627" s="333">
        <v>900689</v>
      </c>
      <c r="C3627" s="333"/>
      <c r="D3627" s="399" t="s">
        <v>561</v>
      </c>
      <c r="E3627" s="333">
        <v>201606</v>
      </c>
      <c r="F3627" s="431">
        <v>-1.04</v>
      </c>
      <c r="G3627" s="332">
        <v>10.5</v>
      </c>
      <c r="H3627" s="381">
        <v>3.1250000000000002E-3</v>
      </c>
      <c r="I3627" s="334">
        <v>-0.03</v>
      </c>
      <c r="J3627" s="334">
        <v>-0.04</v>
      </c>
    </row>
    <row r="3628" spans="1:10">
      <c r="A3628" s="332" t="s">
        <v>346</v>
      </c>
      <c r="B3628" s="333">
        <v>900691</v>
      </c>
      <c r="C3628" s="333"/>
      <c r="D3628" s="399" t="s">
        <v>563</v>
      </c>
      <c r="E3628" s="333">
        <v>201606</v>
      </c>
      <c r="F3628" s="431">
        <v>37.090000000000003</v>
      </c>
      <c r="G3628" s="332">
        <v>10.5</v>
      </c>
      <c r="H3628" s="381">
        <v>3.1250000000000002E-3</v>
      </c>
      <c r="I3628" s="334">
        <v>1.22</v>
      </c>
      <c r="J3628" s="334">
        <v>1.39</v>
      </c>
    </row>
    <row r="3629" spans="1:10">
      <c r="A3629" s="332" t="s">
        <v>346</v>
      </c>
      <c r="B3629" s="333">
        <v>900734</v>
      </c>
      <c r="C3629" s="333"/>
      <c r="D3629" s="332" t="s">
        <v>603</v>
      </c>
      <c r="E3629" s="333">
        <v>201606</v>
      </c>
      <c r="F3629" s="334">
        <v>2.25</v>
      </c>
      <c r="G3629" s="332">
        <v>10.5</v>
      </c>
      <c r="H3629" s="381">
        <v>3.1250000000000002E-3</v>
      </c>
      <c r="I3629" s="334">
        <v>7.0000000000000007E-2</v>
      </c>
      <c r="J3629" s="334">
        <v>0.08</v>
      </c>
    </row>
    <row r="3630" spans="1:10">
      <c r="A3630" s="332" t="s">
        <v>346</v>
      </c>
      <c r="B3630" s="333">
        <v>900747</v>
      </c>
      <c r="C3630" s="333"/>
      <c r="D3630" s="332" t="s">
        <v>811</v>
      </c>
      <c r="E3630" s="333">
        <v>201606</v>
      </c>
      <c r="F3630" s="334">
        <v>-472465.64</v>
      </c>
      <c r="G3630" s="332">
        <v>10.5</v>
      </c>
      <c r="H3630" s="381">
        <v>3.1250000000000002E-3</v>
      </c>
      <c r="I3630" s="334">
        <v>-15502.78</v>
      </c>
      <c r="J3630" s="334">
        <v>-17717.46</v>
      </c>
    </row>
    <row r="3631" spans="1:10">
      <c r="A3631" s="332" t="s">
        <v>346</v>
      </c>
      <c r="B3631" s="333">
        <v>900836</v>
      </c>
      <c r="C3631" s="333"/>
      <c r="D3631" s="399" t="s">
        <v>789</v>
      </c>
      <c r="E3631" s="333">
        <v>201606</v>
      </c>
      <c r="F3631" s="431">
        <v>5703.05</v>
      </c>
      <c r="G3631" s="332">
        <v>10.5</v>
      </c>
      <c r="H3631" s="381">
        <v>3.1250000000000002E-3</v>
      </c>
      <c r="I3631" s="334">
        <v>187.13</v>
      </c>
      <c r="J3631" s="334">
        <v>213.86</v>
      </c>
    </row>
    <row r="3632" spans="1:10">
      <c r="A3632" s="332" t="s">
        <v>346</v>
      </c>
      <c r="B3632" s="333">
        <v>900862</v>
      </c>
      <c r="C3632" s="333"/>
      <c r="D3632" s="332" t="s">
        <v>669</v>
      </c>
      <c r="E3632" s="333">
        <v>201606</v>
      </c>
      <c r="F3632" s="334">
        <v>-0.63</v>
      </c>
      <c r="G3632" s="332">
        <v>10.5</v>
      </c>
      <c r="H3632" s="381">
        <v>3.1250000000000002E-3</v>
      </c>
      <c r="I3632" s="334">
        <v>-0.02</v>
      </c>
      <c r="J3632" s="334">
        <v>-0.02</v>
      </c>
    </row>
    <row r="3633" spans="1:10">
      <c r="A3633" s="332" t="s">
        <v>346</v>
      </c>
      <c r="B3633" s="333">
        <v>900869</v>
      </c>
      <c r="C3633" s="333"/>
      <c r="D3633" s="332" t="s">
        <v>831</v>
      </c>
      <c r="E3633" s="333">
        <v>201606</v>
      </c>
      <c r="F3633" s="334">
        <v>67717.75</v>
      </c>
      <c r="G3633" s="332">
        <v>10.5</v>
      </c>
      <c r="H3633" s="381">
        <v>3.1250000000000002E-3</v>
      </c>
      <c r="I3633" s="334">
        <v>2221.9899999999998</v>
      </c>
      <c r="J3633" s="334">
        <v>2539.42</v>
      </c>
    </row>
    <row r="3634" spans="1:10">
      <c r="A3634" s="332" t="s">
        <v>346</v>
      </c>
      <c r="B3634" s="333">
        <v>900871</v>
      </c>
      <c r="C3634" s="333"/>
      <c r="D3634" s="332" t="s">
        <v>671</v>
      </c>
      <c r="E3634" s="333">
        <v>201606</v>
      </c>
      <c r="F3634" s="334">
        <v>5517.36</v>
      </c>
      <c r="G3634" s="332">
        <v>10.5</v>
      </c>
      <c r="H3634" s="381">
        <v>3.1250000000000002E-3</v>
      </c>
      <c r="I3634" s="334">
        <v>181.04</v>
      </c>
      <c r="J3634" s="334">
        <v>206.9</v>
      </c>
    </row>
    <row r="3635" spans="1:10">
      <c r="A3635" s="399" t="s">
        <v>346</v>
      </c>
      <c r="B3635" s="333">
        <v>900876</v>
      </c>
      <c r="C3635" s="333"/>
      <c r="D3635" s="399" t="s">
        <v>607</v>
      </c>
      <c r="E3635" s="333">
        <v>201606</v>
      </c>
      <c r="F3635" s="431">
        <v>8.18</v>
      </c>
      <c r="G3635" s="332">
        <v>10.5</v>
      </c>
      <c r="H3635" s="381">
        <v>3.1250000000000002E-3</v>
      </c>
      <c r="I3635" s="334">
        <v>0.27</v>
      </c>
      <c r="J3635" s="334">
        <v>0.31</v>
      </c>
    </row>
    <row r="3636" spans="1:10">
      <c r="A3636" s="332" t="s">
        <v>346</v>
      </c>
      <c r="B3636" s="333">
        <v>900893</v>
      </c>
      <c r="C3636" s="333"/>
      <c r="D3636" s="399" t="s">
        <v>609</v>
      </c>
      <c r="E3636" s="333">
        <v>201606</v>
      </c>
      <c r="F3636" s="431">
        <v>0.26</v>
      </c>
      <c r="G3636" s="332">
        <v>10.5</v>
      </c>
      <c r="H3636" s="381">
        <v>3.1250000000000002E-3</v>
      </c>
      <c r="I3636" s="334">
        <v>0.01</v>
      </c>
      <c r="J3636" s="334">
        <v>0.01</v>
      </c>
    </row>
    <row r="3637" spans="1:10">
      <c r="A3637" s="332" t="s">
        <v>346</v>
      </c>
      <c r="B3637" s="333">
        <v>900895</v>
      </c>
      <c r="C3637" s="333"/>
      <c r="D3637" s="332" t="s">
        <v>566</v>
      </c>
      <c r="E3637" s="333">
        <v>201606</v>
      </c>
      <c r="F3637" s="334">
        <v>0.09</v>
      </c>
      <c r="G3637" s="332">
        <v>10.5</v>
      </c>
      <c r="H3637" s="381">
        <v>3.1250000000000002E-3</v>
      </c>
      <c r="I3637" s="334">
        <v>0</v>
      </c>
      <c r="J3637" s="334">
        <v>0</v>
      </c>
    </row>
    <row r="3638" spans="1:10">
      <c r="A3638" s="332" t="s">
        <v>346</v>
      </c>
      <c r="B3638" s="333">
        <v>900896</v>
      </c>
      <c r="C3638" s="333"/>
      <c r="D3638" s="332" t="s">
        <v>611</v>
      </c>
      <c r="E3638" s="333">
        <v>201606</v>
      </c>
      <c r="F3638" s="334">
        <v>3.3</v>
      </c>
      <c r="G3638" s="332">
        <v>10.5</v>
      </c>
      <c r="H3638" s="381">
        <v>3.1250000000000002E-3</v>
      </c>
      <c r="I3638" s="334">
        <v>0.11</v>
      </c>
      <c r="J3638" s="334">
        <v>0.12</v>
      </c>
    </row>
    <row r="3639" spans="1:10">
      <c r="A3639" s="399" t="s">
        <v>346</v>
      </c>
      <c r="B3639" s="333">
        <v>900951</v>
      </c>
      <c r="C3639" s="333"/>
      <c r="D3639" s="399" t="s">
        <v>815</v>
      </c>
      <c r="E3639" s="333">
        <v>201606</v>
      </c>
      <c r="F3639" s="431">
        <v>6773.21</v>
      </c>
      <c r="G3639" s="332">
        <v>10.5</v>
      </c>
      <c r="H3639" s="381">
        <v>3.1250000000000002E-3</v>
      </c>
      <c r="I3639" s="334">
        <v>222.25</v>
      </c>
      <c r="J3639" s="334">
        <v>254</v>
      </c>
    </row>
    <row r="3640" spans="1:10">
      <c r="A3640" s="332" t="s">
        <v>346</v>
      </c>
      <c r="B3640" s="333">
        <v>900952</v>
      </c>
      <c r="C3640" s="333"/>
      <c r="D3640" s="399" t="s">
        <v>675</v>
      </c>
      <c r="E3640" s="333">
        <v>201606</v>
      </c>
      <c r="F3640" s="431">
        <v>383.92</v>
      </c>
      <c r="G3640" s="332">
        <v>10.5</v>
      </c>
      <c r="H3640" s="381">
        <v>3.1250000000000002E-3</v>
      </c>
      <c r="I3640" s="334">
        <v>12.6</v>
      </c>
      <c r="J3640" s="334">
        <v>14.4</v>
      </c>
    </row>
    <row r="3641" spans="1:10">
      <c r="A3641" s="332" t="s">
        <v>346</v>
      </c>
      <c r="B3641" s="333">
        <v>900953</v>
      </c>
      <c r="C3641" s="333"/>
      <c r="D3641" s="332" t="s">
        <v>791</v>
      </c>
      <c r="E3641" s="333">
        <v>201606</v>
      </c>
      <c r="F3641" s="334">
        <v>1040.22</v>
      </c>
      <c r="G3641" s="332">
        <v>10.5</v>
      </c>
      <c r="H3641" s="381">
        <v>3.1250000000000002E-3</v>
      </c>
      <c r="I3641" s="334">
        <v>34.130000000000003</v>
      </c>
      <c r="J3641" s="334">
        <v>39.01</v>
      </c>
    </row>
    <row r="3642" spans="1:10">
      <c r="A3642" s="332" t="s">
        <v>346</v>
      </c>
      <c r="B3642" s="333">
        <v>900954</v>
      </c>
      <c r="C3642" s="333"/>
      <c r="D3642" s="332" t="s">
        <v>841</v>
      </c>
      <c r="E3642" s="333">
        <v>201606</v>
      </c>
      <c r="F3642" s="334">
        <v>14655.96</v>
      </c>
      <c r="G3642" s="332">
        <v>10.5</v>
      </c>
      <c r="H3642" s="381">
        <v>3.1250000000000002E-3</v>
      </c>
      <c r="I3642" s="334">
        <v>480.9</v>
      </c>
      <c r="J3642" s="334">
        <v>549.6</v>
      </c>
    </row>
    <row r="3643" spans="1:10">
      <c r="A3643" s="332" t="s">
        <v>346</v>
      </c>
      <c r="B3643" s="333">
        <v>900971</v>
      </c>
      <c r="C3643" s="333"/>
      <c r="D3643" s="332" t="s">
        <v>843</v>
      </c>
      <c r="E3643" s="333">
        <v>201606</v>
      </c>
      <c r="F3643" s="334">
        <v>8.27</v>
      </c>
      <c r="G3643" s="332">
        <v>10.5</v>
      </c>
      <c r="H3643" s="381">
        <v>3.1250000000000002E-3</v>
      </c>
      <c r="I3643" s="334">
        <v>0.27</v>
      </c>
      <c r="J3643" s="334">
        <v>0.31</v>
      </c>
    </row>
    <row r="3644" spans="1:10">
      <c r="A3644" s="332" t="s">
        <v>346</v>
      </c>
      <c r="B3644" s="333">
        <v>900973</v>
      </c>
      <c r="C3644" s="333"/>
      <c r="D3644" s="332" t="s">
        <v>724</v>
      </c>
      <c r="E3644" s="333">
        <v>201606</v>
      </c>
      <c r="F3644" s="334">
        <v>0.94</v>
      </c>
      <c r="G3644" s="332">
        <v>10.5</v>
      </c>
      <c r="H3644" s="381">
        <v>3.1250000000000002E-3</v>
      </c>
      <c r="I3644" s="334">
        <v>0.03</v>
      </c>
      <c r="J3644" s="334">
        <v>0.04</v>
      </c>
    </row>
    <row r="3645" spans="1:10">
      <c r="A3645" s="399" t="s">
        <v>346</v>
      </c>
      <c r="B3645" s="333">
        <v>900974</v>
      </c>
      <c r="C3645" s="333"/>
      <c r="D3645" s="399" t="s">
        <v>861</v>
      </c>
      <c r="E3645" s="333">
        <v>201606</v>
      </c>
      <c r="F3645" s="431">
        <v>242096.44</v>
      </c>
      <c r="G3645" s="332">
        <v>10.5</v>
      </c>
      <c r="H3645" s="381">
        <v>3.1250000000000002E-3</v>
      </c>
      <c r="I3645" s="334">
        <v>7943.79</v>
      </c>
      <c r="J3645" s="334">
        <v>9078.6200000000008</v>
      </c>
    </row>
    <row r="3646" spans="1:10">
      <c r="A3646" s="332" t="s">
        <v>346</v>
      </c>
      <c r="B3646" s="333">
        <v>900983</v>
      </c>
      <c r="C3646" s="333"/>
      <c r="D3646" s="399" t="s">
        <v>679</v>
      </c>
      <c r="E3646" s="333">
        <v>201606</v>
      </c>
      <c r="F3646" s="431">
        <v>3552.18</v>
      </c>
      <c r="G3646" s="332">
        <v>10.5</v>
      </c>
      <c r="H3646" s="381">
        <v>3.1250000000000002E-3</v>
      </c>
      <c r="I3646" s="334">
        <v>116.56</v>
      </c>
      <c r="J3646" s="334">
        <v>133.21</v>
      </c>
    </row>
    <row r="3647" spans="1:10">
      <c r="A3647" s="332" t="s">
        <v>346</v>
      </c>
      <c r="B3647" s="333">
        <v>900987</v>
      </c>
      <c r="C3647" s="333"/>
      <c r="D3647" s="332" t="s">
        <v>863</v>
      </c>
      <c r="E3647" s="333">
        <v>201606</v>
      </c>
      <c r="F3647" s="334">
        <v>205373.16</v>
      </c>
      <c r="G3647" s="332">
        <v>10.5</v>
      </c>
      <c r="H3647" s="381">
        <v>3.1250000000000002E-3</v>
      </c>
      <c r="I3647" s="334">
        <v>6738.81</v>
      </c>
      <c r="J3647" s="334">
        <v>7701.49</v>
      </c>
    </row>
    <row r="3648" spans="1:10">
      <c r="A3648" s="332" t="s">
        <v>346</v>
      </c>
      <c r="B3648" s="333">
        <v>900988</v>
      </c>
      <c r="C3648" s="333"/>
      <c r="D3648" s="332" t="s">
        <v>681</v>
      </c>
      <c r="E3648" s="333">
        <v>201606</v>
      </c>
      <c r="F3648" s="334">
        <v>-46.21</v>
      </c>
      <c r="G3648" s="332">
        <v>10.5</v>
      </c>
      <c r="H3648" s="381">
        <v>3.1250000000000002E-3</v>
      </c>
      <c r="I3648" s="334">
        <v>-1.52</v>
      </c>
      <c r="J3648" s="334">
        <v>-1.73</v>
      </c>
    </row>
    <row r="3649" spans="1:10">
      <c r="A3649" s="399" t="s">
        <v>346</v>
      </c>
      <c r="B3649" s="333">
        <v>900993</v>
      </c>
      <c r="C3649" s="333"/>
      <c r="D3649" s="399" t="s">
        <v>683</v>
      </c>
      <c r="E3649" s="333">
        <v>201606</v>
      </c>
      <c r="F3649" s="431">
        <v>23162.54</v>
      </c>
      <c r="G3649" s="332">
        <v>10.5</v>
      </c>
      <c r="H3649" s="381">
        <v>3.1250000000000002E-3</v>
      </c>
      <c r="I3649" s="334">
        <v>760.02</v>
      </c>
      <c r="J3649" s="334">
        <v>868.6</v>
      </c>
    </row>
    <row r="3650" spans="1:10">
      <c r="A3650" s="332" t="s">
        <v>346</v>
      </c>
      <c r="B3650" s="333">
        <v>901041</v>
      </c>
      <c r="C3650" s="333"/>
      <c r="D3650" s="399" t="s">
        <v>847</v>
      </c>
      <c r="E3650" s="333">
        <v>201606</v>
      </c>
      <c r="F3650" s="431">
        <v>8330.16</v>
      </c>
      <c r="G3650" s="332">
        <v>10.5</v>
      </c>
      <c r="H3650" s="381">
        <v>3.1250000000000002E-3</v>
      </c>
      <c r="I3650" s="334">
        <v>273.33</v>
      </c>
      <c r="J3650" s="334">
        <v>312.38</v>
      </c>
    </row>
    <row r="3651" spans="1:10">
      <c r="A3651" s="332" t="s">
        <v>346</v>
      </c>
      <c r="B3651" s="333">
        <v>901059</v>
      </c>
      <c r="C3651" s="333"/>
      <c r="D3651" s="332" t="s">
        <v>685</v>
      </c>
      <c r="E3651" s="333">
        <v>201606</v>
      </c>
      <c r="F3651" s="334">
        <v>-8.89</v>
      </c>
      <c r="G3651" s="332">
        <v>10.5</v>
      </c>
      <c r="H3651" s="381">
        <v>3.1250000000000002E-3</v>
      </c>
      <c r="I3651" s="334">
        <v>-0.28999999999999998</v>
      </c>
      <c r="J3651" s="334">
        <v>-0.33</v>
      </c>
    </row>
    <row r="3652" spans="1:10">
      <c r="A3652" s="332" t="s">
        <v>346</v>
      </c>
      <c r="B3652" s="333">
        <v>901063</v>
      </c>
      <c r="C3652" s="333"/>
      <c r="D3652" s="332" t="s">
        <v>711</v>
      </c>
      <c r="E3652" s="333">
        <v>201606</v>
      </c>
      <c r="F3652" s="334">
        <v>7.31</v>
      </c>
      <c r="G3652" s="332">
        <v>10.5</v>
      </c>
      <c r="H3652" s="381">
        <v>3.1250000000000002E-3</v>
      </c>
      <c r="I3652" s="334">
        <v>0.24</v>
      </c>
      <c r="J3652" s="334">
        <v>0.27</v>
      </c>
    </row>
    <row r="3653" spans="1:10">
      <c r="A3653" s="399" t="s">
        <v>346</v>
      </c>
      <c r="B3653" s="333">
        <v>901081</v>
      </c>
      <c r="C3653" s="333"/>
      <c r="D3653" s="399" t="s">
        <v>713</v>
      </c>
      <c r="E3653" s="333">
        <v>201606</v>
      </c>
      <c r="F3653" s="431">
        <v>565.02</v>
      </c>
      <c r="G3653" s="332">
        <v>10.5</v>
      </c>
      <c r="H3653" s="381">
        <v>3.1250000000000002E-3</v>
      </c>
      <c r="I3653" s="334">
        <v>18.54</v>
      </c>
      <c r="J3653" s="334">
        <v>21.19</v>
      </c>
    </row>
    <row r="3654" spans="1:10">
      <c r="A3654" s="332" t="s">
        <v>346</v>
      </c>
      <c r="B3654" s="333">
        <v>901087</v>
      </c>
      <c r="C3654" s="333"/>
      <c r="D3654" s="399" t="s">
        <v>823</v>
      </c>
      <c r="E3654" s="333">
        <v>201606</v>
      </c>
      <c r="F3654" s="431">
        <v>10584.21</v>
      </c>
      <c r="G3654" s="332">
        <v>10.5</v>
      </c>
      <c r="H3654" s="381">
        <v>3.1250000000000002E-3</v>
      </c>
      <c r="I3654" s="334">
        <v>347.29</v>
      </c>
      <c r="J3654" s="334">
        <v>396.91</v>
      </c>
    </row>
    <row r="3655" spans="1:10">
      <c r="A3655" s="332" t="s">
        <v>346</v>
      </c>
      <c r="B3655" s="333">
        <v>901088</v>
      </c>
      <c r="C3655" s="333"/>
      <c r="D3655" s="332" t="s">
        <v>691</v>
      </c>
      <c r="E3655" s="333">
        <v>201606</v>
      </c>
      <c r="F3655" s="334">
        <v>5583.25</v>
      </c>
      <c r="G3655" s="332">
        <v>10.5</v>
      </c>
      <c r="H3655" s="381">
        <v>3.1250000000000002E-3</v>
      </c>
      <c r="I3655" s="334">
        <v>183.2</v>
      </c>
      <c r="J3655" s="334">
        <v>209.37</v>
      </c>
    </row>
    <row r="3656" spans="1:10">
      <c r="A3656" s="332" t="s">
        <v>346</v>
      </c>
      <c r="B3656" s="333">
        <v>901090</v>
      </c>
      <c r="C3656" s="333"/>
      <c r="D3656" s="332" t="s">
        <v>869</v>
      </c>
      <c r="E3656" s="333">
        <v>201606</v>
      </c>
      <c r="F3656" s="334">
        <v>283514.48</v>
      </c>
      <c r="G3656" s="332">
        <v>10.5</v>
      </c>
      <c r="H3656" s="381">
        <v>3.1250000000000002E-3</v>
      </c>
      <c r="I3656" s="334">
        <v>9302.82</v>
      </c>
      <c r="J3656" s="334">
        <v>10631.79</v>
      </c>
    </row>
    <row r="3657" spans="1:10">
      <c r="A3657" s="332" t="s">
        <v>346</v>
      </c>
      <c r="B3657" s="333">
        <v>901111</v>
      </c>
      <c r="C3657" s="333"/>
      <c r="D3657" s="332" t="s">
        <v>693</v>
      </c>
      <c r="E3657" s="333">
        <v>201606</v>
      </c>
      <c r="F3657" s="334">
        <v>44.39</v>
      </c>
      <c r="G3657" s="332">
        <v>10.5</v>
      </c>
      <c r="H3657" s="381">
        <v>3.1250000000000002E-3</v>
      </c>
      <c r="I3657" s="334">
        <v>1.46</v>
      </c>
      <c r="J3657" s="334">
        <v>1.66</v>
      </c>
    </row>
    <row r="3658" spans="1:10">
      <c r="A3658" s="399" t="s">
        <v>346</v>
      </c>
      <c r="B3658" s="333">
        <v>901114</v>
      </c>
      <c r="C3658" s="333"/>
      <c r="D3658" s="399" t="s">
        <v>695</v>
      </c>
      <c r="E3658" s="333">
        <v>201606</v>
      </c>
      <c r="F3658" s="431">
        <v>4.3099999999999996</v>
      </c>
      <c r="G3658" s="332">
        <v>10.5</v>
      </c>
      <c r="H3658" s="381">
        <v>3.1250000000000002E-3</v>
      </c>
      <c r="I3658" s="334">
        <v>0.14000000000000001</v>
      </c>
      <c r="J3658" s="334">
        <v>0.16</v>
      </c>
    </row>
    <row r="3659" spans="1:10">
      <c r="A3659" s="332" t="s">
        <v>346</v>
      </c>
      <c r="B3659" s="333">
        <v>901139</v>
      </c>
      <c r="C3659" s="333"/>
      <c r="D3659" s="399" t="s">
        <v>697</v>
      </c>
      <c r="E3659" s="333">
        <v>201606</v>
      </c>
      <c r="F3659" s="431">
        <v>-0.44</v>
      </c>
      <c r="G3659" s="332">
        <v>10.5</v>
      </c>
      <c r="H3659" s="381">
        <v>3.1250000000000002E-3</v>
      </c>
      <c r="I3659" s="334">
        <v>-0.01</v>
      </c>
      <c r="J3659" s="334">
        <v>-0.02</v>
      </c>
    </row>
    <row r="3660" spans="1:10">
      <c r="A3660" s="332" t="s">
        <v>346</v>
      </c>
      <c r="B3660" s="333">
        <v>901162</v>
      </c>
      <c r="C3660" s="333"/>
      <c r="D3660" s="332" t="s">
        <v>701</v>
      </c>
      <c r="E3660" s="333">
        <v>201606</v>
      </c>
      <c r="F3660" s="334">
        <v>923.6</v>
      </c>
      <c r="G3660" s="332">
        <v>10.5</v>
      </c>
      <c r="H3660" s="381">
        <v>3.1250000000000002E-3</v>
      </c>
      <c r="I3660" s="334">
        <v>30.31</v>
      </c>
      <c r="J3660" s="334">
        <v>34.64</v>
      </c>
    </row>
    <row r="3661" spans="1:10">
      <c r="A3661" s="332" t="s">
        <v>346</v>
      </c>
      <c r="B3661" s="333">
        <v>901163</v>
      </c>
      <c r="C3661" s="333"/>
      <c r="D3661" s="332" t="s">
        <v>795</v>
      </c>
      <c r="E3661" s="333">
        <v>201606</v>
      </c>
      <c r="F3661" s="334">
        <v>1186.1199999999999</v>
      </c>
      <c r="G3661" s="332">
        <v>10.5</v>
      </c>
      <c r="H3661" s="381">
        <v>3.1250000000000002E-3</v>
      </c>
      <c r="I3661" s="334">
        <v>38.92</v>
      </c>
      <c r="J3661" s="334">
        <v>44.48</v>
      </c>
    </row>
    <row r="3662" spans="1:10">
      <c r="A3662" s="399" t="s">
        <v>346</v>
      </c>
      <c r="B3662" s="333">
        <v>901173</v>
      </c>
      <c r="C3662" s="333"/>
      <c r="D3662" s="399" t="s">
        <v>714</v>
      </c>
      <c r="E3662" s="333">
        <v>201606</v>
      </c>
      <c r="F3662" s="431">
        <v>-0.01</v>
      </c>
      <c r="G3662" s="332">
        <v>10.5</v>
      </c>
      <c r="H3662" s="381">
        <v>3.1250000000000002E-3</v>
      </c>
      <c r="I3662" s="334">
        <v>0</v>
      </c>
      <c r="J3662" s="334">
        <v>0</v>
      </c>
    </row>
    <row r="3663" spans="1:10">
      <c r="A3663" s="332" t="s">
        <v>346</v>
      </c>
      <c r="B3663" s="333">
        <v>901178</v>
      </c>
      <c r="C3663" s="333"/>
      <c r="D3663" s="399" t="s">
        <v>703</v>
      </c>
      <c r="E3663" s="333">
        <v>201606</v>
      </c>
      <c r="F3663" s="431">
        <v>7.14</v>
      </c>
      <c r="G3663" s="332">
        <v>10.5</v>
      </c>
      <c r="H3663" s="381">
        <v>3.1250000000000002E-3</v>
      </c>
      <c r="I3663" s="334">
        <v>0.23</v>
      </c>
      <c r="J3663" s="334">
        <v>0.27</v>
      </c>
    </row>
    <row r="3664" spans="1:10">
      <c r="A3664" s="332" t="s">
        <v>346</v>
      </c>
      <c r="B3664" s="333">
        <v>901180</v>
      </c>
      <c r="C3664" s="333"/>
      <c r="D3664" s="332" t="s">
        <v>853</v>
      </c>
      <c r="E3664" s="333">
        <v>201606</v>
      </c>
      <c r="F3664" s="334">
        <v>2164.6999999999998</v>
      </c>
      <c r="G3664" s="332">
        <v>10.5</v>
      </c>
      <c r="H3664" s="381">
        <v>3.1250000000000002E-3</v>
      </c>
      <c r="I3664" s="334">
        <v>71.03</v>
      </c>
      <c r="J3664" s="334">
        <v>81.180000000000007</v>
      </c>
    </row>
    <row r="3665" spans="1:10">
      <c r="A3665" s="332" t="s">
        <v>346</v>
      </c>
      <c r="B3665" s="333">
        <v>901181</v>
      </c>
      <c r="C3665" s="333"/>
      <c r="D3665" s="332" t="s">
        <v>871</v>
      </c>
      <c r="E3665" s="333">
        <v>201606</v>
      </c>
      <c r="F3665" s="334">
        <v>14186.34</v>
      </c>
      <c r="G3665" s="332">
        <v>10.5</v>
      </c>
      <c r="H3665" s="381">
        <v>3.1250000000000002E-3</v>
      </c>
      <c r="I3665" s="334">
        <v>465.49</v>
      </c>
      <c r="J3665" s="334">
        <v>531.99</v>
      </c>
    </row>
    <row r="3666" spans="1:10">
      <c r="A3666" s="399" t="s">
        <v>346</v>
      </c>
      <c r="B3666" s="333">
        <v>901183</v>
      </c>
      <c r="C3666" s="333"/>
      <c r="D3666" s="399" t="s">
        <v>873</v>
      </c>
      <c r="E3666" s="333">
        <v>201606</v>
      </c>
      <c r="F3666" s="431">
        <v>93711.07</v>
      </c>
      <c r="G3666" s="332">
        <v>10.5</v>
      </c>
      <c r="H3666" s="381">
        <v>3.1250000000000002E-3</v>
      </c>
      <c r="I3666" s="334">
        <v>3074.89</v>
      </c>
      <c r="J3666" s="334">
        <v>3514.17</v>
      </c>
    </row>
    <row r="3667" spans="1:10">
      <c r="A3667" s="332" t="s">
        <v>346</v>
      </c>
      <c r="B3667" s="333">
        <v>901187</v>
      </c>
      <c r="C3667" s="333"/>
      <c r="D3667" s="399" t="s">
        <v>827</v>
      </c>
      <c r="E3667" s="333">
        <v>201606</v>
      </c>
      <c r="F3667" s="431">
        <v>6702.64</v>
      </c>
      <c r="G3667" s="332">
        <v>10.5</v>
      </c>
      <c r="H3667" s="381">
        <v>3.1250000000000002E-3</v>
      </c>
      <c r="I3667" s="334">
        <v>219.93</v>
      </c>
      <c r="J3667" s="334">
        <v>251.35</v>
      </c>
    </row>
    <row r="3668" spans="1:10">
      <c r="A3668" s="332" t="s">
        <v>346</v>
      </c>
      <c r="B3668" s="333">
        <v>901191</v>
      </c>
      <c r="C3668" s="333"/>
      <c r="D3668" s="332" t="s">
        <v>875</v>
      </c>
      <c r="E3668" s="333">
        <v>201606</v>
      </c>
      <c r="F3668" s="334">
        <v>98809.18</v>
      </c>
      <c r="G3668" s="332">
        <v>10.5</v>
      </c>
      <c r="H3668" s="381">
        <v>3.1250000000000002E-3</v>
      </c>
      <c r="I3668" s="334">
        <v>3242.18</v>
      </c>
      <c r="J3668" s="334">
        <v>3705.34</v>
      </c>
    </row>
    <row r="3669" spans="1:10">
      <c r="A3669" s="332" t="s">
        <v>346</v>
      </c>
      <c r="B3669" s="333">
        <v>901197</v>
      </c>
      <c r="C3669" s="333"/>
      <c r="D3669" s="332" t="s">
        <v>877</v>
      </c>
      <c r="E3669" s="333">
        <v>201606</v>
      </c>
      <c r="F3669" s="334">
        <v>219718.32</v>
      </c>
      <c r="G3669" s="332">
        <v>10.5</v>
      </c>
      <c r="H3669" s="381">
        <v>3.1250000000000002E-3</v>
      </c>
      <c r="I3669" s="334">
        <v>7209.51</v>
      </c>
      <c r="J3669" s="334">
        <v>8239.44</v>
      </c>
    </row>
    <row r="3670" spans="1:10">
      <c r="A3670" s="399" t="s">
        <v>346</v>
      </c>
      <c r="B3670" s="333">
        <v>901200</v>
      </c>
      <c r="C3670" s="333"/>
      <c r="D3670" s="399" t="s">
        <v>879</v>
      </c>
      <c r="E3670" s="333">
        <v>201606</v>
      </c>
      <c r="F3670" s="431">
        <v>89012.23</v>
      </c>
      <c r="G3670" s="332">
        <v>10.5</v>
      </c>
      <c r="H3670" s="381">
        <v>3.1250000000000002E-3</v>
      </c>
      <c r="I3670" s="334">
        <v>2920.71</v>
      </c>
      <c r="J3670" s="334">
        <v>3337.96</v>
      </c>
    </row>
    <row r="3671" spans="1:10">
      <c r="A3671" s="332" t="s">
        <v>346</v>
      </c>
      <c r="B3671" s="333">
        <v>901204</v>
      </c>
      <c r="C3671" s="333"/>
      <c r="D3671" s="399" t="s">
        <v>881</v>
      </c>
      <c r="E3671" s="333">
        <v>201606</v>
      </c>
      <c r="F3671" s="431">
        <v>83489.429999999993</v>
      </c>
      <c r="G3671" s="332">
        <v>10.5</v>
      </c>
      <c r="H3671" s="381">
        <v>3.1250000000000002E-3</v>
      </c>
      <c r="I3671" s="334">
        <v>2739.5</v>
      </c>
      <c r="J3671" s="334">
        <v>3130.85</v>
      </c>
    </row>
    <row r="3672" spans="1:10">
      <c r="A3672" s="332" t="s">
        <v>346</v>
      </c>
      <c r="B3672" s="333">
        <v>901217</v>
      </c>
      <c r="C3672" s="333"/>
      <c r="D3672" s="332" t="s">
        <v>883</v>
      </c>
      <c r="E3672" s="333">
        <v>201606</v>
      </c>
      <c r="F3672" s="334">
        <v>26296.94</v>
      </c>
      <c r="G3672" s="332">
        <v>10.5</v>
      </c>
      <c r="H3672" s="381">
        <v>3.1250000000000002E-3</v>
      </c>
      <c r="I3672" s="334">
        <v>862.87</v>
      </c>
      <c r="J3672" s="334">
        <v>986.14</v>
      </c>
    </row>
    <row r="3673" spans="1:10">
      <c r="A3673" s="399" t="s">
        <v>346</v>
      </c>
      <c r="B3673" s="333">
        <v>901230</v>
      </c>
      <c r="C3673" s="333"/>
      <c r="D3673" s="399" t="s">
        <v>855</v>
      </c>
      <c r="E3673" s="333">
        <v>201606</v>
      </c>
      <c r="F3673" s="431">
        <v>13289.16</v>
      </c>
      <c r="G3673" s="332">
        <v>10.5</v>
      </c>
      <c r="H3673" s="381">
        <v>3.1250000000000002E-3</v>
      </c>
      <c r="I3673" s="334">
        <v>436.05</v>
      </c>
      <c r="J3673" s="334">
        <v>498.34</v>
      </c>
    </row>
    <row r="3674" spans="1:10">
      <c r="A3674" s="332" t="s">
        <v>346</v>
      </c>
      <c r="B3674" s="333">
        <v>901308</v>
      </c>
      <c r="C3674" s="333"/>
      <c r="D3674" s="332" t="s">
        <v>730</v>
      </c>
      <c r="E3674" s="333">
        <v>201606</v>
      </c>
      <c r="F3674" s="334">
        <v>115.5</v>
      </c>
      <c r="G3674" s="332">
        <v>10.5</v>
      </c>
      <c r="H3674" s="381">
        <v>3.1250000000000002E-3</v>
      </c>
      <c r="I3674" s="334">
        <v>3.79</v>
      </c>
      <c r="J3674" s="334">
        <v>4.33</v>
      </c>
    </row>
    <row r="3675" spans="1:10">
      <c r="A3675" s="399" t="s">
        <v>346</v>
      </c>
      <c r="B3675" s="333">
        <v>901365</v>
      </c>
      <c r="C3675" s="333"/>
      <c r="D3675" s="399" t="s">
        <v>888</v>
      </c>
      <c r="E3675" s="333">
        <v>201606</v>
      </c>
      <c r="F3675" s="431">
        <v>5466.42</v>
      </c>
      <c r="G3675" s="332">
        <v>10.5</v>
      </c>
      <c r="H3675" s="381">
        <v>3.1250000000000002E-3</v>
      </c>
      <c r="I3675" s="334">
        <v>179.37</v>
      </c>
      <c r="J3675" s="334">
        <v>204.99</v>
      </c>
    </row>
    <row r="3676" spans="1:10">
      <c r="A3676" s="332" t="s">
        <v>346</v>
      </c>
      <c r="B3676" s="333">
        <v>901445</v>
      </c>
      <c r="C3676" s="333"/>
      <c r="D3676" s="399" t="s">
        <v>890</v>
      </c>
      <c r="E3676" s="333">
        <v>201606</v>
      </c>
      <c r="F3676" s="431">
        <v>1276.76</v>
      </c>
      <c r="G3676" s="332">
        <v>10.5</v>
      </c>
      <c r="H3676" s="381">
        <v>3.1250000000000002E-3</v>
      </c>
      <c r="I3676" s="334">
        <v>41.89</v>
      </c>
      <c r="J3676" s="334">
        <v>47.88</v>
      </c>
    </row>
    <row r="3677" spans="1:10">
      <c r="A3677" s="332" t="s">
        <v>346</v>
      </c>
      <c r="B3677" s="333" t="s">
        <v>731</v>
      </c>
      <c r="C3677" s="333"/>
      <c r="D3677" s="332" t="s">
        <v>732</v>
      </c>
      <c r="E3677" s="333">
        <v>201607</v>
      </c>
      <c r="F3677" s="334">
        <v>1228.8599999999999</v>
      </c>
      <c r="G3677" s="332">
        <v>9.5</v>
      </c>
      <c r="H3677" s="381">
        <v>3.1250000000000002E-3</v>
      </c>
      <c r="I3677" s="334">
        <v>36.479999999999997</v>
      </c>
      <c r="J3677" s="334">
        <v>46.08</v>
      </c>
    </row>
    <row r="3678" spans="1:10">
      <c r="A3678" s="332" t="s">
        <v>346</v>
      </c>
      <c r="B3678" s="333" t="s">
        <v>347</v>
      </c>
      <c r="C3678" s="333"/>
      <c r="D3678" s="332" t="s">
        <v>348</v>
      </c>
      <c r="E3678" s="333">
        <v>201607</v>
      </c>
      <c r="F3678" s="334">
        <v>965909.65</v>
      </c>
      <c r="G3678" s="332">
        <v>9.5</v>
      </c>
      <c r="H3678" s="381">
        <v>3.1250000000000002E-3</v>
      </c>
      <c r="I3678" s="334">
        <v>28675.439999999999</v>
      </c>
      <c r="J3678" s="334">
        <v>36221.61</v>
      </c>
    </row>
    <row r="3679" spans="1:10">
      <c r="A3679" s="332" t="s">
        <v>346</v>
      </c>
      <c r="B3679" s="333" t="s">
        <v>349</v>
      </c>
      <c r="C3679" s="333"/>
      <c r="D3679" s="332" t="s">
        <v>350</v>
      </c>
      <c r="E3679" s="333">
        <v>201607</v>
      </c>
      <c r="F3679" s="334">
        <v>17323.400000000001</v>
      </c>
      <c r="G3679" s="332">
        <v>9.5</v>
      </c>
      <c r="H3679" s="381">
        <v>3.1250000000000002E-3</v>
      </c>
      <c r="I3679" s="334">
        <v>514.29</v>
      </c>
      <c r="J3679" s="334">
        <v>649.63</v>
      </c>
    </row>
    <row r="3680" spans="1:10">
      <c r="A3680" s="399" t="s">
        <v>346</v>
      </c>
      <c r="B3680" s="333" t="s">
        <v>351</v>
      </c>
      <c r="C3680" s="333"/>
      <c r="D3680" s="399" t="s">
        <v>352</v>
      </c>
      <c r="E3680" s="333">
        <v>201607</v>
      </c>
      <c r="F3680" s="431">
        <v>481.4</v>
      </c>
      <c r="G3680" s="332">
        <v>9.5</v>
      </c>
      <c r="H3680" s="381">
        <v>3.1250000000000002E-3</v>
      </c>
      <c r="I3680" s="334">
        <v>14.29</v>
      </c>
      <c r="J3680" s="334">
        <v>18.05</v>
      </c>
    </row>
    <row r="3681" spans="1:10">
      <c r="A3681" s="332" t="s">
        <v>346</v>
      </c>
      <c r="B3681" s="333" t="s">
        <v>353</v>
      </c>
      <c r="C3681" s="333"/>
      <c r="D3681" s="399" t="s">
        <v>354</v>
      </c>
      <c r="E3681" s="333">
        <v>201607</v>
      </c>
      <c r="F3681" s="431">
        <v>3834.29</v>
      </c>
      <c r="G3681" s="332">
        <v>9.5</v>
      </c>
      <c r="H3681" s="381">
        <v>3.1250000000000002E-3</v>
      </c>
      <c r="I3681" s="334">
        <v>113.83</v>
      </c>
      <c r="J3681" s="334">
        <v>143.79</v>
      </c>
    </row>
    <row r="3682" spans="1:10">
      <c r="A3682" s="332" t="s">
        <v>346</v>
      </c>
      <c r="B3682" s="333" t="s">
        <v>355</v>
      </c>
      <c r="C3682" s="333"/>
      <c r="D3682" s="332" t="s">
        <v>356</v>
      </c>
      <c r="E3682" s="333">
        <v>201607</v>
      </c>
      <c r="F3682" s="334">
        <v>69241.27</v>
      </c>
      <c r="G3682" s="332">
        <v>9.5</v>
      </c>
      <c r="H3682" s="381">
        <v>3.1250000000000002E-3</v>
      </c>
      <c r="I3682" s="334">
        <v>2055.6</v>
      </c>
      <c r="J3682" s="334">
        <v>2596.5500000000002</v>
      </c>
    </row>
    <row r="3683" spans="1:10">
      <c r="A3683" s="332" t="s">
        <v>346</v>
      </c>
      <c r="B3683" s="333" t="s">
        <v>357</v>
      </c>
      <c r="C3683" s="333"/>
      <c r="D3683" s="332" t="s">
        <v>358</v>
      </c>
      <c r="E3683" s="333">
        <v>201607</v>
      </c>
      <c r="F3683" s="334">
        <v>9231.01</v>
      </c>
      <c r="G3683" s="332">
        <v>9.5</v>
      </c>
      <c r="H3683" s="381">
        <v>3.1250000000000002E-3</v>
      </c>
      <c r="I3683" s="334">
        <v>274.05</v>
      </c>
      <c r="J3683" s="334">
        <v>346.16</v>
      </c>
    </row>
    <row r="3684" spans="1:10">
      <c r="A3684" s="399" t="s">
        <v>346</v>
      </c>
      <c r="B3684" s="333" t="s">
        <v>359</v>
      </c>
      <c r="C3684" s="333"/>
      <c r="D3684" s="399" t="s">
        <v>360</v>
      </c>
      <c r="E3684" s="333">
        <v>201607</v>
      </c>
      <c r="F3684" s="431">
        <v>1449.34</v>
      </c>
      <c r="G3684" s="332">
        <v>9.5</v>
      </c>
      <c r="H3684" s="381">
        <v>3.1250000000000002E-3</v>
      </c>
      <c r="I3684" s="334">
        <v>43.03</v>
      </c>
      <c r="J3684" s="334">
        <v>54.35</v>
      </c>
    </row>
    <row r="3685" spans="1:10">
      <c r="A3685" s="332" t="s">
        <v>346</v>
      </c>
      <c r="B3685" s="333" t="s">
        <v>361</v>
      </c>
      <c r="C3685" s="333"/>
      <c r="D3685" s="399" t="s">
        <v>362</v>
      </c>
      <c r="E3685" s="333">
        <v>201607</v>
      </c>
      <c r="F3685" s="431">
        <v>-256.05</v>
      </c>
      <c r="G3685" s="332">
        <v>9.5</v>
      </c>
      <c r="H3685" s="381">
        <v>3.1250000000000002E-3</v>
      </c>
      <c r="I3685" s="334">
        <v>-7.6</v>
      </c>
      <c r="J3685" s="334">
        <v>-9.6</v>
      </c>
    </row>
    <row r="3686" spans="1:10">
      <c r="A3686" s="332" t="s">
        <v>346</v>
      </c>
      <c r="B3686" s="333" t="s">
        <v>365</v>
      </c>
      <c r="C3686" s="333"/>
      <c r="D3686" s="332" t="s">
        <v>366</v>
      </c>
      <c r="E3686" s="333">
        <v>201607</v>
      </c>
      <c r="F3686" s="334">
        <v>-716.26</v>
      </c>
      <c r="G3686" s="332">
        <v>9.5</v>
      </c>
      <c r="H3686" s="381">
        <v>3.1250000000000002E-3</v>
      </c>
      <c r="I3686" s="334">
        <v>-21.26</v>
      </c>
      <c r="J3686" s="334">
        <v>-26.86</v>
      </c>
    </row>
    <row r="3687" spans="1:10">
      <c r="A3687" s="332" t="s">
        <v>346</v>
      </c>
      <c r="B3687" s="333" t="s">
        <v>367</v>
      </c>
      <c r="C3687" s="333"/>
      <c r="D3687" s="332" t="s">
        <v>368</v>
      </c>
      <c r="E3687" s="333">
        <v>201607</v>
      </c>
      <c r="F3687" s="334">
        <v>11083.45</v>
      </c>
      <c r="G3687" s="332">
        <v>9.5</v>
      </c>
      <c r="H3687" s="381">
        <v>3.1250000000000002E-3</v>
      </c>
      <c r="I3687" s="334">
        <v>329.04</v>
      </c>
      <c r="J3687" s="334">
        <v>415.63</v>
      </c>
    </row>
    <row r="3688" spans="1:10">
      <c r="A3688" s="399" t="s">
        <v>346</v>
      </c>
      <c r="B3688" s="333" t="s">
        <v>585</v>
      </c>
      <c r="C3688" s="333"/>
      <c r="D3688" s="399" t="s">
        <v>586</v>
      </c>
      <c r="E3688" s="333">
        <v>201607</v>
      </c>
      <c r="F3688" s="431">
        <v>281.3</v>
      </c>
      <c r="G3688" s="332">
        <v>9.5</v>
      </c>
      <c r="H3688" s="381">
        <v>3.1250000000000002E-3</v>
      </c>
      <c r="I3688" s="334">
        <v>8.35</v>
      </c>
      <c r="J3688" s="334">
        <v>10.55</v>
      </c>
    </row>
    <row r="3689" spans="1:10">
      <c r="A3689" s="332" t="s">
        <v>346</v>
      </c>
      <c r="B3689" s="333" t="s">
        <v>369</v>
      </c>
      <c r="C3689" s="333"/>
      <c r="D3689" s="399" t="s">
        <v>370</v>
      </c>
      <c r="E3689" s="333">
        <v>201607</v>
      </c>
      <c r="F3689" s="431">
        <v>8586.44</v>
      </c>
      <c r="G3689" s="332">
        <v>9.5</v>
      </c>
      <c r="H3689" s="381">
        <v>3.1250000000000002E-3</v>
      </c>
      <c r="I3689" s="334">
        <v>254.91</v>
      </c>
      <c r="J3689" s="334">
        <v>321.99</v>
      </c>
    </row>
    <row r="3690" spans="1:10">
      <c r="A3690" s="332" t="s">
        <v>346</v>
      </c>
      <c r="B3690" s="333" t="s">
        <v>371</v>
      </c>
      <c r="C3690" s="333"/>
      <c r="D3690" s="332" t="s">
        <v>372</v>
      </c>
      <c r="E3690" s="333">
        <v>201607</v>
      </c>
      <c r="F3690" s="334">
        <v>4.9000000000000004</v>
      </c>
      <c r="G3690" s="332">
        <v>9.5</v>
      </c>
      <c r="H3690" s="381">
        <v>3.1250000000000002E-3</v>
      </c>
      <c r="I3690" s="334">
        <v>0.15</v>
      </c>
      <c r="J3690" s="334">
        <v>0.18</v>
      </c>
    </row>
    <row r="3691" spans="1:10">
      <c r="A3691" s="332" t="s">
        <v>346</v>
      </c>
      <c r="B3691" s="333" t="s">
        <v>373</v>
      </c>
      <c r="C3691" s="333"/>
      <c r="D3691" s="332" t="s">
        <v>374</v>
      </c>
      <c r="E3691" s="333">
        <v>201607</v>
      </c>
      <c r="F3691" s="334">
        <v>390.86</v>
      </c>
      <c r="G3691" s="332">
        <v>9.5</v>
      </c>
      <c r="H3691" s="381">
        <v>3.1250000000000002E-3</v>
      </c>
      <c r="I3691" s="334">
        <v>11.6</v>
      </c>
      <c r="J3691" s="334">
        <v>14.66</v>
      </c>
    </row>
    <row r="3692" spans="1:10">
      <c r="A3692" s="399" t="s">
        <v>346</v>
      </c>
      <c r="B3692" s="333" t="s">
        <v>375</v>
      </c>
      <c r="C3692" s="333"/>
      <c r="D3692" s="399" t="s">
        <v>376</v>
      </c>
      <c r="E3692" s="333">
        <v>201607</v>
      </c>
      <c r="F3692" s="431">
        <v>-6878.61</v>
      </c>
      <c r="G3692" s="332">
        <v>9.5</v>
      </c>
      <c r="H3692" s="381">
        <v>3.1250000000000002E-3</v>
      </c>
      <c r="I3692" s="334">
        <v>-204.21</v>
      </c>
      <c r="J3692" s="334">
        <v>-257.95</v>
      </c>
    </row>
    <row r="3693" spans="1:10">
      <c r="A3693" s="332" t="s">
        <v>346</v>
      </c>
      <c r="B3693" s="333" t="s">
        <v>377</v>
      </c>
      <c r="C3693" s="333"/>
      <c r="D3693" s="399" t="s">
        <v>378</v>
      </c>
      <c r="E3693" s="333">
        <v>201607</v>
      </c>
      <c r="F3693" s="431">
        <v>56898.7</v>
      </c>
      <c r="G3693" s="332">
        <v>9.5</v>
      </c>
      <c r="H3693" s="381">
        <v>3.1250000000000002E-3</v>
      </c>
      <c r="I3693" s="334">
        <v>1689.18</v>
      </c>
      <c r="J3693" s="334">
        <v>2133.6999999999998</v>
      </c>
    </row>
    <row r="3694" spans="1:10">
      <c r="A3694" s="332" t="s">
        <v>346</v>
      </c>
      <c r="B3694" s="333" t="s">
        <v>379</v>
      </c>
      <c r="C3694" s="333"/>
      <c r="D3694" s="332" t="s">
        <v>380</v>
      </c>
      <c r="E3694" s="333">
        <v>201607</v>
      </c>
      <c r="F3694" s="334">
        <v>893.14</v>
      </c>
      <c r="G3694" s="332">
        <v>9.5</v>
      </c>
      <c r="H3694" s="381">
        <v>3.1250000000000002E-3</v>
      </c>
      <c r="I3694" s="334">
        <v>26.52</v>
      </c>
      <c r="J3694" s="334">
        <v>33.49</v>
      </c>
    </row>
    <row r="3695" spans="1:10">
      <c r="A3695" s="332" t="s">
        <v>346</v>
      </c>
      <c r="B3695" s="333" t="s">
        <v>381</v>
      </c>
      <c r="C3695" s="333"/>
      <c r="D3695" s="332" t="s">
        <v>382</v>
      </c>
      <c r="E3695" s="333">
        <v>201607</v>
      </c>
      <c r="F3695" s="334">
        <v>69.22</v>
      </c>
      <c r="G3695" s="332">
        <v>9.5</v>
      </c>
      <c r="H3695" s="381">
        <v>3.1250000000000002E-3</v>
      </c>
      <c r="I3695" s="334">
        <v>2.0499999999999998</v>
      </c>
      <c r="J3695" s="334">
        <v>2.6</v>
      </c>
    </row>
    <row r="3696" spans="1:10">
      <c r="A3696" s="399" t="s">
        <v>346</v>
      </c>
      <c r="B3696" s="333" t="s">
        <v>383</v>
      </c>
      <c r="C3696" s="333"/>
      <c r="D3696" s="399" t="s">
        <v>384</v>
      </c>
      <c r="E3696" s="333">
        <v>201607</v>
      </c>
      <c r="F3696" s="431">
        <v>470.35</v>
      </c>
      <c r="G3696" s="332">
        <v>9.5</v>
      </c>
      <c r="H3696" s="381">
        <v>3.1250000000000002E-3</v>
      </c>
      <c r="I3696" s="334">
        <v>13.96</v>
      </c>
      <c r="J3696" s="334">
        <v>17.64</v>
      </c>
    </row>
    <row r="3697" spans="1:10">
      <c r="A3697" s="332" t="s">
        <v>346</v>
      </c>
      <c r="B3697" s="333" t="s">
        <v>385</v>
      </c>
      <c r="C3697" s="333"/>
      <c r="D3697" s="399" t="s">
        <v>386</v>
      </c>
      <c r="E3697" s="333">
        <v>201607</v>
      </c>
      <c r="F3697" s="431">
        <v>342073.84</v>
      </c>
      <c r="G3697" s="332">
        <v>9.5</v>
      </c>
      <c r="H3697" s="381">
        <v>3.1250000000000002E-3</v>
      </c>
      <c r="I3697" s="334">
        <v>10155.32</v>
      </c>
      <c r="J3697" s="334">
        <v>12827.77</v>
      </c>
    </row>
    <row r="3698" spans="1:10">
      <c r="A3698" s="332" t="s">
        <v>346</v>
      </c>
      <c r="B3698" s="333" t="s">
        <v>387</v>
      </c>
      <c r="C3698" s="333"/>
      <c r="D3698" s="332" t="s">
        <v>388</v>
      </c>
      <c r="E3698" s="333">
        <v>201607</v>
      </c>
      <c r="F3698" s="334">
        <v>59045.79</v>
      </c>
      <c r="G3698" s="332">
        <v>9.5</v>
      </c>
      <c r="H3698" s="381">
        <v>3.1250000000000002E-3</v>
      </c>
      <c r="I3698" s="334">
        <v>1752.92</v>
      </c>
      <c r="J3698" s="334">
        <v>2214.2199999999998</v>
      </c>
    </row>
    <row r="3699" spans="1:10">
      <c r="A3699" s="332" t="s">
        <v>346</v>
      </c>
      <c r="B3699" s="333" t="s">
        <v>389</v>
      </c>
      <c r="C3699" s="333"/>
      <c r="D3699" s="332" t="s">
        <v>390</v>
      </c>
      <c r="E3699" s="333">
        <v>201607</v>
      </c>
      <c r="F3699" s="334">
        <v>5324.34</v>
      </c>
      <c r="G3699" s="332">
        <v>9.5</v>
      </c>
      <c r="H3699" s="381">
        <v>3.1250000000000002E-3</v>
      </c>
      <c r="I3699" s="334">
        <v>158.07</v>
      </c>
      <c r="J3699" s="334">
        <v>199.66</v>
      </c>
    </row>
    <row r="3700" spans="1:10">
      <c r="A3700" s="399" t="s">
        <v>346</v>
      </c>
      <c r="B3700" s="333" t="s">
        <v>391</v>
      </c>
      <c r="C3700" s="333"/>
      <c r="D3700" s="399" t="s">
        <v>392</v>
      </c>
      <c r="E3700" s="333">
        <v>201607</v>
      </c>
      <c r="F3700" s="431">
        <v>-1631.97</v>
      </c>
      <c r="G3700" s="332">
        <v>9.5</v>
      </c>
      <c r="H3700" s="381">
        <v>3.1250000000000002E-3</v>
      </c>
      <c r="I3700" s="334">
        <v>-48.45</v>
      </c>
      <c r="J3700" s="334">
        <v>-61.2</v>
      </c>
    </row>
    <row r="3701" spans="1:10">
      <c r="A3701" s="332" t="s">
        <v>346</v>
      </c>
      <c r="B3701" s="333" t="s">
        <v>393</v>
      </c>
      <c r="C3701" s="333"/>
      <c r="D3701" s="399" t="s">
        <v>394</v>
      </c>
      <c r="E3701" s="333">
        <v>201607</v>
      </c>
      <c r="F3701" s="431">
        <v>-13689.46</v>
      </c>
      <c r="G3701" s="332">
        <v>9.5</v>
      </c>
      <c r="H3701" s="381">
        <v>3.1250000000000002E-3</v>
      </c>
      <c r="I3701" s="334">
        <v>-406.41</v>
      </c>
      <c r="J3701" s="334">
        <v>-513.35</v>
      </c>
    </row>
    <row r="3702" spans="1:10">
      <c r="A3702" s="332" t="s">
        <v>346</v>
      </c>
      <c r="B3702" s="333" t="s">
        <v>395</v>
      </c>
      <c r="C3702" s="333"/>
      <c r="D3702" s="332" t="s">
        <v>396</v>
      </c>
      <c r="E3702" s="333">
        <v>201607</v>
      </c>
      <c r="F3702" s="334">
        <v>-42381.94</v>
      </c>
      <c r="G3702" s="332">
        <v>9.5</v>
      </c>
      <c r="H3702" s="381">
        <v>3.1250000000000002E-3</v>
      </c>
      <c r="I3702" s="334">
        <v>-1258.21</v>
      </c>
      <c r="J3702" s="334">
        <v>-1589.32</v>
      </c>
    </row>
    <row r="3703" spans="1:10">
      <c r="A3703" s="332" t="s">
        <v>346</v>
      </c>
      <c r="B3703" s="333" t="s">
        <v>546</v>
      </c>
      <c r="C3703" s="333"/>
      <c r="D3703" s="332" t="s">
        <v>547</v>
      </c>
      <c r="E3703" s="333">
        <v>201607</v>
      </c>
      <c r="F3703" s="334">
        <v>-0.02</v>
      </c>
      <c r="G3703" s="332">
        <v>9.5</v>
      </c>
      <c r="H3703" s="381">
        <v>3.1250000000000002E-3</v>
      </c>
      <c r="I3703" s="334">
        <v>0</v>
      </c>
      <c r="J3703" s="334">
        <v>0</v>
      </c>
    </row>
    <row r="3704" spans="1:10">
      <c r="A3704" s="332" t="s">
        <v>346</v>
      </c>
      <c r="B3704" s="333" t="s">
        <v>589</v>
      </c>
      <c r="C3704" s="333"/>
      <c r="D3704" s="332" t="s">
        <v>590</v>
      </c>
      <c r="E3704" s="333">
        <v>201607</v>
      </c>
      <c r="F3704" s="334">
        <v>16.3</v>
      </c>
      <c r="G3704" s="332">
        <v>9.5</v>
      </c>
      <c r="H3704" s="381">
        <v>3.1250000000000002E-3</v>
      </c>
      <c r="I3704" s="334">
        <v>0.48</v>
      </c>
      <c r="J3704" s="334">
        <v>0.61</v>
      </c>
    </row>
    <row r="3705" spans="1:10">
      <c r="A3705" s="399" t="s">
        <v>346</v>
      </c>
      <c r="B3705" s="333" t="s">
        <v>643</v>
      </c>
      <c r="C3705" s="333"/>
      <c r="D3705" s="399" t="s">
        <v>644</v>
      </c>
      <c r="E3705" s="333">
        <v>201607</v>
      </c>
      <c r="F3705" s="431">
        <v>2042.5</v>
      </c>
      <c r="G3705" s="332">
        <v>9.5</v>
      </c>
      <c r="H3705" s="381">
        <v>3.1250000000000002E-3</v>
      </c>
      <c r="I3705" s="334">
        <v>60.64</v>
      </c>
      <c r="J3705" s="334">
        <v>76.59</v>
      </c>
    </row>
    <row r="3706" spans="1:10">
      <c r="A3706" s="332" t="s">
        <v>346</v>
      </c>
      <c r="B3706" s="333" t="s">
        <v>856</v>
      </c>
      <c r="C3706" s="333"/>
      <c r="D3706" s="399" t="s">
        <v>857</v>
      </c>
      <c r="E3706" s="333">
        <v>201607</v>
      </c>
      <c r="F3706" s="431">
        <v>4779.7</v>
      </c>
      <c r="G3706" s="332">
        <v>9.5</v>
      </c>
      <c r="H3706" s="381">
        <v>3.1250000000000002E-3</v>
      </c>
      <c r="I3706" s="334">
        <v>141.9</v>
      </c>
      <c r="J3706" s="334">
        <v>179.24</v>
      </c>
    </row>
    <row r="3707" spans="1:10">
      <c r="A3707" s="332" t="s">
        <v>346</v>
      </c>
      <c r="B3707" s="333" t="s">
        <v>800</v>
      </c>
      <c r="C3707" s="333"/>
      <c r="D3707" s="332" t="s">
        <v>830</v>
      </c>
      <c r="E3707" s="333">
        <v>201607</v>
      </c>
      <c r="F3707" s="334">
        <v>263.77999999999997</v>
      </c>
      <c r="G3707" s="332">
        <v>9.5</v>
      </c>
      <c r="H3707" s="381">
        <v>3.1250000000000002E-3</v>
      </c>
      <c r="I3707" s="334">
        <v>7.83</v>
      </c>
      <c r="J3707" s="334">
        <v>9.89</v>
      </c>
    </row>
    <row r="3708" spans="1:10">
      <c r="A3708" s="332" t="s">
        <v>346</v>
      </c>
      <c r="B3708" s="333" t="s">
        <v>708</v>
      </c>
      <c r="C3708" s="333"/>
      <c r="D3708" s="399" t="s">
        <v>709</v>
      </c>
      <c r="E3708" s="333">
        <v>201607</v>
      </c>
      <c r="F3708" s="431">
        <v>814.5</v>
      </c>
      <c r="G3708" s="332">
        <v>9.5</v>
      </c>
      <c r="H3708" s="381">
        <v>3.1250000000000002E-3</v>
      </c>
      <c r="I3708" s="334">
        <v>24.18</v>
      </c>
      <c r="J3708" s="334">
        <v>30.54</v>
      </c>
    </row>
    <row r="3709" spans="1:10">
      <c r="A3709" s="332" t="s">
        <v>346</v>
      </c>
      <c r="B3709" s="333" t="s">
        <v>451</v>
      </c>
      <c r="C3709" s="333"/>
      <c r="D3709" s="332" t="s">
        <v>452</v>
      </c>
      <c r="E3709" s="333">
        <v>201607</v>
      </c>
      <c r="F3709" s="334">
        <v>5.01</v>
      </c>
      <c r="G3709" s="332">
        <v>9.5</v>
      </c>
      <c r="H3709" s="381">
        <v>3.1250000000000002E-3</v>
      </c>
      <c r="I3709" s="334">
        <v>0.15</v>
      </c>
      <c r="J3709" s="334">
        <v>0.19</v>
      </c>
    </row>
    <row r="3710" spans="1:10">
      <c r="A3710" s="332" t="s">
        <v>346</v>
      </c>
      <c r="B3710" s="333" t="s">
        <v>645</v>
      </c>
      <c r="C3710" s="333"/>
      <c r="D3710" s="332" t="s">
        <v>646</v>
      </c>
      <c r="E3710" s="333">
        <v>201607</v>
      </c>
      <c r="F3710" s="334">
        <v>-2.5499999999999998</v>
      </c>
      <c r="G3710" s="332">
        <v>9.5</v>
      </c>
      <c r="H3710" s="381">
        <v>3.1250000000000002E-3</v>
      </c>
      <c r="I3710" s="334">
        <v>-0.08</v>
      </c>
      <c r="J3710" s="334">
        <v>-0.1</v>
      </c>
    </row>
    <row r="3711" spans="1:10">
      <c r="A3711" s="332" t="s">
        <v>346</v>
      </c>
      <c r="B3711" s="333" t="s">
        <v>647</v>
      </c>
      <c r="C3711" s="333"/>
      <c r="D3711" s="332" t="s">
        <v>648</v>
      </c>
      <c r="E3711" s="333">
        <v>201607</v>
      </c>
      <c r="F3711" s="334">
        <v>99.4</v>
      </c>
      <c r="G3711" s="332">
        <v>9.5</v>
      </c>
      <c r="H3711" s="381">
        <v>3.1250000000000002E-3</v>
      </c>
      <c r="I3711" s="334">
        <v>2.95</v>
      </c>
      <c r="J3711" s="334">
        <v>3.73</v>
      </c>
    </row>
    <row r="3712" spans="1:10">
      <c r="A3712" s="399" t="s">
        <v>346</v>
      </c>
      <c r="B3712" s="333" t="s">
        <v>784</v>
      </c>
      <c r="C3712" s="333"/>
      <c r="D3712" s="399" t="s">
        <v>785</v>
      </c>
      <c r="E3712" s="333">
        <v>201607</v>
      </c>
      <c r="F3712" s="431">
        <v>7179.93</v>
      </c>
      <c r="G3712" s="332">
        <v>9.5</v>
      </c>
      <c r="H3712" s="381">
        <v>3.1250000000000002E-3</v>
      </c>
      <c r="I3712" s="334">
        <v>213.15</v>
      </c>
      <c r="J3712" s="334">
        <v>269.25</v>
      </c>
    </row>
    <row r="3713" spans="1:10">
      <c r="A3713" s="332" t="s">
        <v>346</v>
      </c>
      <c r="B3713" s="333" t="s">
        <v>629</v>
      </c>
      <c r="C3713" s="333"/>
      <c r="D3713" s="332" t="s">
        <v>630</v>
      </c>
      <c r="E3713" s="333">
        <v>201607</v>
      </c>
      <c r="F3713" s="334">
        <v>4.57</v>
      </c>
      <c r="G3713" s="332">
        <v>9.5</v>
      </c>
      <c r="H3713" s="381">
        <v>3.1250000000000002E-3</v>
      </c>
      <c r="I3713" s="334">
        <v>0.14000000000000001</v>
      </c>
      <c r="J3713" s="334">
        <v>0.17</v>
      </c>
    </row>
    <row r="3714" spans="1:10">
      <c r="A3714" s="332" t="s">
        <v>346</v>
      </c>
      <c r="B3714" s="333" t="s">
        <v>592</v>
      </c>
      <c r="C3714" s="333"/>
      <c r="D3714" s="332" t="s">
        <v>593</v>
      </c>
      <c r="E3714" s="333">
        <v>201607</v>
      </c>
      <c r="F3714" s="334">
        <v>-0.02</v>
      </c>
      <c r="G3714" s="332">
        <v>9.5</v>
      </c>
      <c r="H3714" s="381">
        <v>3.1250000000000002E-3</v>
      </c>
      <c r="I3714" s="334">
        <v>0</v>
      </c>
      <c r="J3714" s="334">
        <v>0</v>
      </c>
    </row>
    <row r="3715" spans="1:10">
      <c r="A3715" s="332" t="s">
        <v>346</v>
      </c>
      <c r="B3715" s="333" t="s">
        <v>717</v>
      </c>
      <c r="C3715" s="333"/>
      <c r="D3715" s="332" t="s">
        <v>718</v>
      </c>
      <c r="E3715" s="333">
        <v>201607</v>
      </c>
      <c r="F3715" s="334">
        <v>260.87</v>
      </c>
      <c r="G3715" s="332">
        <v>9.5</v>
      </c>
      <c r="H3715" s="381">
        <v>3.1250000000000002E-3</v>
      </c>
      <c r="I3715" s="334">
        <v>7.74</v>
      </c>
      <c r="J3715" s="334">
        <v>9.7799999999999994</v>
      </c>
    </row>
    <row r="3716" spans="1:10">
      <c r="A3716" s="332" t="s">
        <v>346</v>
      </c>
      <c r="B3716" s="333" t="s">
        <v>649</v>
      </c>
      <c r="C3716" s="333"/>
      <c r="D3716" s="332" t="s">
        <v>650</v>
      </c>
      <c r="E3716" s="333">
        <v>201607</v>
      </c>
      <c r="F3716" s="334">
        <v>8836.68</v>
      </c>
      <c r="G3716" s="332">
        <v>9.5</v>
      </c>
      <c r="H3716" s="381">
        <v>3.1250000000000002E-3</v>
      </c>
      <c r="I3716" s="334">
        <v>262.33999999999997</v>
      </c>
      <c r="J3716" s="334">
        <v>331.38</v>
      </c>
    </row>
    <row r="3717" spans="1:10">
      <c r="A3717" s="332" t="s">
        <v>346</v>
      </c>
      <c r="B3717" s="333" t="s">
        <v>838</v>
      </c>
      <c r="C3717" s="333"/>
      <c r="D3717" s="332" t="s">
        <v>839</v>
      </c>
      <c r="E3717" s="333">
        <v>201607</v>
      </c>
      <c r="F3717" s="334">
        <v>8380.64</v>
      </c>
      <c r="G3717" s="332">
        <v>9.5</v>
      </c>
      <c r="H3717" s="381">
        <v>3.1250000000000002E-3</v>
      </c>
      <c r="I3717" s="334">
        <v>248.8</v>
      </c>
      <c r="J3717" s="334">
        <v>314.27</v>
      </c>
    </row>
    <row r="3718" spans="1:10">
      <c r="A3718" s="332" t="s">
        <v>346</v>
      </c>
      <c r="B3718" s="333" t="s">
        <v>911</v>
      </c>
      <c r="C3718" s="333"/>
      <c r="D3718" s="332" t="s">
        <v>903</v>
      </c>
      <c r="E3718" s="333">
        <v>201607</v>
      </c>
      <c r="F3718" s="334">
        <v>748.78</v>
      </c>
      <c r="G3718" s="332">
        <v>9.5</v>
      </c>
      <c r="H3718" s="381">
        <v>3.1250000000000002E-3</v>
      </c>
      <c r="I3718" s="334">
        <v>22.23</v>
      </c>
      <c r="J3718" s="334">
        <v>28.08</v>
      </c>
    </row>
    <row r="3719" spans="1:10">
      <c r="A3719" s="399" t="s">
        <v>346</v>
      </c>
      <c r="B3719" s="333" t="s">
        <v>651</v>
      </c>
      <c r="C3719" s="333"/>
      <c r="D3719" s="399" t="s">
        <v>652</v>
      </c>
      <c r="E3719" s="333">
        <v>201607</v>
      </c>
      <c r="F3719" s="431">
        <v>6344.36</v>
      </c>
      <c r="G3719" s="332">
        <v>9.5</v>
      </c>
      <c r="H3719" s="381">
        <v>3.1250000000000002E-3</v>
      </c>
      <c r="I3719" s="334">
        <v>188.35</v>
      </c>
      <c r="J3719" s="334">
        <v>237.91</v>
      </c>
    </row>
    <row r="3720" spans="1:10">
      <c r="A3720" s="332" t="s">
        <v>346</v>
      </c>
      <c r="B3720" s="333" t="s">
        <v>786</v>
      </c>
      <c r="C3720" s="333"/>
      <c r="D3720" s="399" t="s">
        <v>787</v>
      </c>
      <c r="E3720" s="333">
        <v>201607</v>
      </c>
      <c r="F3720" s="431">
        <v>8286.4</v>
      </c>
      <c r="G3720" s="332">
        <v>9.5</v>
      </c>
      <c r="H3720" s="381">
        <v>3.1250000000000002E-3</v>
      </c>
      <c r="I3720" s="334">
        <v>246</v>
      </c>
      <c r="J3720" s="334">
        <v>310.74</v>
      </c>
    </row>
    <row r="3721" spans="1:10">
      <c r="A3721" s="332" t="s">
        <v>346</v>
      </c>
      <c r="B3721" s="333" t="s">
        <v>653</v>
      </c>
      <c r="C3721" s="333"/>
      <c r="D3721" s="332" t="s">
        <v>654</v>
      </c>
      <c r="E3721" s="333">
        <v>201607</v>
      </c>
      <c r="F3721" s="334">
        <v>3273.17</v>
      </c>
      <c r="G3721" s="332">
        <v>9.5</v>
      </c>
      <c r="H3721" s="381">
        <v>3.1250000000000002E-3</v>
      </c>
      <c r="I3721" s="334">
        <v>97.17</v>
      </c>
      <c r="J3721" s="334">
        <v>122.74</v>
      </c>
    </row>
    <row r="3722" spans="1:10">
      <c r="A3722" s="332" t="s">
        <v>346</v>
      </c>
      <c r="B3722" s="333" t="s">
        <v>912</v>
      </c>
      <c r="C3722" s="333"/>
      <c r="D3722" s="332" t="s">
        <v>904</v>
      </c>
      <c r="E3722" s="333">
        <v>201607</v>
      </c>
      <c r="F3722" s="334">
        <v>2093.36</v>
      </c>
      <c r="G3722" s="332">
        <v>9.5</v>
      </c>
      <c r="H3722" s="381">
        <v>3.1250000000000002E-3</v>
      </c>
      <c r="I3722" s="334">
        <v>62.15</v>
      </c>
      <c r="J3722" s="334">
        <v>78.5</v>
      </c>
    </row>
    <row r="3723" spans="1:10">
      <c r="A3723" s="332" t="s">
        <v>346</v>
      </c>
      <c r="B3723" s="333" t="s">
        <v>913</v>
      </c>
      <c r="C3723" s="333"/>
      <c r="D3723" s="332" t="s">
        <v>910</v>
      </c>
      <c r="E3723" s="333">
        <v>201607</v>
      </c>
      <c r="F3723" s="334">
        <v>1655.49</v>
      </c>
      <c r="G3723" s="332">
        <v>9.5</v>
      </c>
      <c r="H3723" s="381">
        <v>3.1250000000000002E-3</v>
      </c>
      <c r="I3723" s="334">
        <v>49.15</v>
      </c>
      <c r="J3723" s="334">
        <v>62.08</v>
      </c>
    </row>
    <row r="3724" spans="1:10">
      <c r="A3724" s="332" t="s">
        <v>346</v>
      </c>
      <c r="B3724" s="333" t="s">
        <v>655</v>
      </c>
      <c r="C3724" s="333"/>
      <c r="D3724" s="332" t="s">
        <v>656</v>
      </c>
      <c r="E3724" s="333">
        <v>201607</v>
      </c>
      <c r="F3724" s="334">
        <v>14.73</v>
      </c>
      <c r="G3724" s="332">
        <v>9.5</v>
      </c>
      <c r="H3724" s="381">
        <v>3.1250000000000002E-3</v>
      </c>
      <c r="I3724" s="334">
        <v>0.44</v>
      </c>
      <c r="J3724" s="334">
        <v>0.55000000000000004</v>
      </c>
    </row>
    <row r="3725" spans="1:10">
      <c r="A3725" s="332" t="s">
        <v>346</v>
      </c>
      <c r="B3725" s="333" t="s">
        <v>594</v>
      </c>
      <c r="C3725" s="333"/>
      <c r="D3725" s="332" t="s">
        <v>595</v>
      </c>
      <c r="E3725" s="333">
        <v>201607</v>
      </c>
      <c r="F3725" s="334">
        <v>2.2000000000000002</v>
      </c>
      <c r="G3725" s="332">
        <v>9.5</v>
      </c>
      <c r="H3725" s="381">
        <v>3.1250000000000002E-3</v>
      </c>
      <c r="I3725" s="334">
        <v>7.0000000000000007E-2</v>
      </c>
      <c r="J3725" s="334">
        <v>0.08</v>
      </c>
    </row>
    <row r="3726" spans="1:10">
      <c r="A3726" s="332" t="s">
        <v>346</v>
      </c>
      <c r="B3726" s="333" t="s">
        <v>596</v>
      </c>
      <c r="C3726" s="333"/>
      <c r="D3726" s="399" t="s">
        <v>597</v>
      </c>
      <c r="E3726" s="333">
        <v>201607</v>
      </c>
      <c r="F3726" s="431">
        <v>1.95</v>
      </c>
      <c r="G3726" s="332">
        <v>9.5</v>
      </c>
      <c r="H3726" s="381">
        <v>3.1250000000000002E-3</v>
      </c>
      <c r="I3726" s="334">
        <v>0.06</v>
      </c>
      <c r="J3726" s="334">
        <v>7.0000000000000007E-2</v>
      </c>
    </row>
    <row r="3727" spans="1:10">
      <c r="A3727" s="332" t="s">
        <v>346</v>
      </c>
      <c r="B3727" s="333" t="s">
        <v>657</v>
      </c>
      <c r="C3727" s="333"/>
      <c r="D3727" s="332" t="s">
        <v>658</v>
      </c>
      <c r="E3727" s="333">
        <v>201607</v>
      </c>
      <c r="F3727" s="334">
        <v>-25.03</v>
      </c>
      <c r="G3727" s="332">
        <v>9.5</v>
      </c>
      <c r="H3727" s="381">
        <v>3.1250000000000002E-3</v>
      </c>
      <c r="I3727" s="334">
        <v>-0.74</v>
      </c>
      <c r="J3727" s="334">
        <v>-0.94</v>
      </c>
    </row>
    <row r="3728" spans="1:10">
      <c r="A3728" s="332" t="s">
        <v>346</v>
      </c>
      <c r="B3728" s="333" t="s">
        <v>659</v>
      </c>
      <c r="C3728" s="333"/>
      <c r="D3728" s="399" t="s">
        <v>660</v>
      </c>
      <c r="E3728" s="333">
        <v>201607</v>
      </c>
      <c r="F3728" s="431">
        <v>-124.22</v>
      </c>
      <c r="G3728" s="332">
        <v>9.5</v>
      </c>
      <c r="H3728" s="381">
        <v>3.1250000000000002E-3</v>
      </c>
      <c r="I3728" s="334">
        <v>-3.69</v>
      </c>
      <c r="J3728" s="334">
        <v>-4.66</v>
      </c>
    </row>
    <row r="3729" spans="1:10">
      <c r="A3729" s="332" t="s">
        <v>346</v>
      </c>
      <c r="B3729" s="333" t="s">
        <v>661</v>
      </c>
      <c r="C3729" s="333"/>
      <c r="D3729" s="332" t="s">
        <v>662</v>
      </c>
      <c r="E3729" s="333">
        <v>201607</v>
      </c>
      <c r="F3729" s="334">
        <v>26174.41</v>
      </c>
      <c r="G3729" s="332">
        <v>9.5</v>
      </c>
      <c r="H3729" s="381">
        <v>3.1250000000000002E-3</v>
      </c>
      <c r="I3729" s="334">
        <v>777.05</v>
      </c>
      <c r="J3729" s="334">
        <v>981.54</v>
      </c>
    </row>
    <row r="3730" spans="1:10">
      <c r="A3730" s="332" t="s">
        <v>346</v>
      </c>
      <c r="B3730" s="333" t="s">
        <v>663</v>
      </c>
      <c r="C3730" s="333"/>
      <c r="D3730" s="399" t="s">
        <v>664</v>
      </c>
      <c r="E3730" s="333">
        <v>201607</v>
      </c>
      <c r="F3730" s="431">
        <v>4912.18</v>
      </c>
      <c r="G3730" s="332">
        <v>9.5</v>
      </c>
      <c r="H3730" s="381">
        <v>3.1250000000000002E-3</v>
      </c>
      <c r="I3730" s="334">
        <v>145.83000000000001</v>
      </c>
      <c r="J3730" s="334">
        <v>184.21</v>
      </c>
    </row>
    <row r="3731" spans="1:10">
      <c r="A3731" s="332" t="s">
        <v>346</v>
      </c>
      <c r="B3731" s="333" t="s">
        <v>665</v>
      </c>
      <c r="C3731" s="333"/>
      <c r="D3731" s="332" t="s">
        <v>666</v>
      </c>
      <c r="E3731" s="333">
        <v>201607</v>
      </c>
      <c r="F3731" s="334">
        <v>227.75</v>
      </c>
      <c r="G3731" s="332">
        <v>9.5</v>
      </c>
      <c r="H3731" s="381">
        <v>3.1250000000000002E-3</v>
      </c>
      <c r="I3731" s="334">
        <v>6.76</v>
      </c>
      <c r="J3731" s="334">
        <v>8.5399999999999991</v>
      </c>
    </row>
    <row r="3732" spans="1:10">
      <c r="A3732" s="399" t="s">
        <v>346</v>
      </c>
      <c r="B3732" s="333" t="s">
        <v>801</v>
      </c>
      <c r="C3732" s="333"/>
      <c r="D3732" s="399" t="s">
        <v>802</v>
      </c>
      <c r="E3732" s="333">
        <v>201607</v>
      </c>
      <c r="F3732" s="431">
        <v>-113375.28</v>
      </c>
      <c r="G3732" s="332">
        <v>9.5</v>
      </c>
      <c r="H3732" s="381">
        <v>3.1250000000000002E-3</v>
      </c>
      <c r="I3732" s="334">
        <v>-3365.83</v>
      </c>
      <c r="J3732" s="334">
        <v>-4251.57</v>
      </c>
    </row>
    <row r="3733" spans="1:10">
      <c r="A3733" s="332" t="s">
        <v>346</v>
      </c>
      <c r="B3733" s="333" t="s">
        <v>803</v>
      </c>
      <c r="C3733" s="333"/>
      <c r="D3733" s="399" t="s">
        <v>804</v>
      </c>
      <c r="E3733" s="333">
        <v>201607</v>
      </c>
      <c r="F3733" s="431">
        <v>12738.33</v>
      </c>
      <c r="G3733" s="332">
        <v>9.5</v>
      </c>
      <c r="H3733" s="381">
        <v>3.1250000000000002E-3</v>
      </c>
      <c r="I3733" s="334">
        <v>378.17</v>
      </c>
      <c r="J3733" s="334">
        <v>477.69</v>
      </c>
    </row>
    <row r="3734" spans="1:10">
      <c r="A3734" s="332" t="s">
        <v>346</v>
      </c>
      <c r="B3734" s="333" t="s">
        <v>805</v>
      </c>
      <c r="C3734" s="333"/>
      <c r="D3734" s="332" t="s">
        <v>806</v>
      </c>
      <c r="E3734" s="333">
        <v>201607</v>
      </c>
      <c r="F3734" s="334">
        <v>14837.73</v>
      </c>
      <c r="G3734" s="332">
        <v>9.5</v>
      </c>
      <c r="H3734" s="381">
        <v>3.1250000000000002E-3</v>
      </c>
      <c r="I3734" s="334">
        <v>440.5</v>
      </c>
      <c r="J3734" s="334">
        <v>556.41</v>
      </c>
    </row>
    <row r="3735" spans="1:10">
      <c r="A3735" s="332" t="s">
        <v>346</v>
      </c>
      <c r="B3735" s="333" t="s">
        <v>598</v>
      </c>
      <c r="C3735" s="333"/>
      <c r="D3735" s="332" t="s">
        <v>599</v>
      </c>
      <c r="E3735" s="333">
        <v>201607</v>
      </c>
      <c r="F3735" s="334">
        <v>-0.41</v>
      </c>
      <c r="G3735" s="332">
        <v>9.5</v>
      </c>
      <c r="H3735" s="381">
        <v>3.1250000000000002E-3</v>
      </c>
      <c r="I3735" s="334">
        <v>-0.01</v>
      </c>
      <c r="J3735" s="334">
        <v>-0.02</v>
      </c>
    </row>
    <row r="3736" spans="1:10">
      <c r="A3736" s="332" t="s">
        <v>346</v>
      </c>
      <c r="B3736" s="333" t="s">
        <v>600</v>
      </c>
      <c r="C3736" s="333"/>
      <c r="D3736" s="332" t="s">
        <v>601</v>
      </c>
      <c r="E3736" s="333">
        <v>201607</v>
      </c>
      <c r="F3736" s="334">
        <v>2.14</v>
      </c>
      <c r="G3736" s="332">
        <v>9.5</v>
      </c>
      <c r="H3736" s="381">
        <v>3.1250000000000002E-3</v>
      </c>
      <c r="I3736" s="334">
        <v>0.06</v>
      </c>
      <c r="J3736" s="334">
        <v>0.08</v>
      </c>
    </row>
    <row r="3737" spans="1:10">
      <c r="A3737" s="332" t="s">
        <v>346</v>
      </c>
      <c r="B3737" s="333" t="s">
        <v>554</v>
      </c>
      <c r="C3737" s="333"/>
      <c r="D3737" s="332" t="s">
        <v>555</v>
      </c>
      <c r="E3737" s="333">
        <v>201607</v>
      </c>
      <c r="F3737" s="334">
        <v>0.27</v>
      </c>
      <c r="G3737" s="332">
        <v>9.5</v>
      </c>
      <c r="H3737" s="381">
        <v>3.1250000000000002E-3</v>
      </c>
      <c r="I3737" s="334">
        <v>0.01</v>
      </c>
      <c r="J3737" s="334">
        <v>0.01</v>
      </c>
    </row>
    <row r="3738" spans="1:10">
      <c r="A3738" s="332" t="s">
        <v>346</v>
      </c>
      <c r="B3738" s="333" t="s">
        <v>556</v>
      </c>
      <c r="C3738" s="333"/>
      <c r="D3738" s="332" t="s">
        <v>557</v>
      </c>
      <c r="E3738" s="333">
        <v>201607</v>
      </c>
      <c r="F3738" s="334">
        <v>0.59</v>
      </c>
      <c r="G3738" s="332">
        <v>9.5</v>
      </c>
      <c r="H3738" s="381">
        <v>3.1250000000000002E-3</v>
      </c>
      <c r="I3738" s="334">
        <v>0.02</v>
      </c>
      <c r="J3738" s="334">
        <v>0.02</v>
      </c>
    </row>
    <row r="3739" spans="1:10">
      <c r="A3739" s="332" t="s">
        <v>346</v>
      </c>
      <c r="B3739" s="333" t="s">
        <v>558</v>
      </c>
      <c r="C3739" s="333"/>
      <c r="D3739" s="332" t="s">
        <v>559</v>
      </c>
      <c r="E3739" s="333">
        <v>201607</v>
      </c>
      <c r="F3739" s="334">
        <v>-0.35</v>
      </c>
      <c r="G3739" s="332">
        <v>9.5</v>
      </c>
      <c r="H3739" s="381">
        <v>3.1250000000000002E-3</v>
      </c>
      <c r="I3739" s="334">
        <v>-0.01</v>
      </c>
      <c r="J3739" s="334">
        <v>-0.01</v>
      </c>
    </row>
    <row r="3740" spans="1:10">
      <c r="A3740" s="332" t="s">
        <v>346</v>
      </c>
      <c r="B3740" s="333" t="s">
        <v>560</v>
      </c>
      <c r="C3740" s="333"/>
      <c r="D3740" s="332" t="s">
        <v>561</v>
      </c>
      <c r="E3740" s="333">
        <v>201607</v>
      </c>
      <c r="F3740" s="334">
        <v>-0.92</v>
      </c>
      <c r="G3740" s="332">
        <v>9.5</v>
      </c>
      <c r="H3740" s="381">
        <v>3.1250000000000002E-3</v>
      </c>
      <c r="I3740" s="334">
        <v>-0.03</v>
      </c>
      <c r="J3740" s="334">
        <v>-0.03</v>
      </c>
    </row>
    <row r="3741" spans="1:10">
      <c r="A3741" s="332" t="s">
        <v>346</v>
      </c>
      <c r="B3741" s="333" t="s">
        <v>562</v>
      </c>
      <c r="C3741" s="333"/>
      <c r="D3741" s="332" t="s">
        <v>563</v>
      </c>
      <c r="E3741" s="333">
        <v>201607</v>
      </c>
      <c r="F3741" s="334">
        <v>33.11</v>
      </c>
      <c r="G3741" s="332">
        <v>9.5</v>
      </c>
      <c r="H3741" s="381">
        <v>3.1250000000000002E-3</v>
      </c>
      <c r="I3741" s="334">
        <v>0.98</v>
      </c>
      <c r="J3741" s="334">
        <v>1.24</v>
      </c>
    </row>
    <row r="3742" spans="1:10">
      <c r="A3742" s="332" t="s">
        <v>346</v>
      </c>
      <c r="B3742" s="333" t="s">
        <v>602</v>
      </c>
      <c r="C3742" s="333"/>
      <c r="D3742" s="332" t="s">
        <v>603</v>
      </c>
      <c r="E3742" s="333">
        <v>201607</v>
      </c>
      <c r="F3742" s="334">
        <v>2.0099999999999998</v>
      </c>
      <c r="G3742" s="332">
        <v>9.5</v>
      </c>
      <c r="H3742" s="381">
        <v>3.1250000000000002E-3</v>
      </c>
      <c r="I3742" s="334">
        <v>0.06</v>
      </c>
      <c r="J3742" s="334">
        <v>0.08</v>
      </c>
    </row>
    <row r="3743" spans="1:10">
      <c r="A3743" s="332" t="s">
        <v>346</v>
      </c>
      <c r="B3743" s="333" t="s">
        <v>810</v>
      </c>
      <c r="C3743" s="333"/>
      <c r="D3743" s="332" t="s">
        <v>811</v>
      </c>
      <c r="E3743" s="333">
        <v>201607</v>
      </c>
      <c r="F3743" s="334">
        <v>7173.73</v>
      </c>
      <c r="G3743" s="332">
        <v>9.5</v>
      </c>
      <c r="H3743" s="381">
        <v>3.1250000000000002E-3</v>
      </c>
      <c r="I3743" s="334">
        <v>212.97</v>
      </c>
      <c r="J3743" s="334">
        <v>269.01</v>
      </c>
    </row>
    <row r="3744" spans="1:10">
      <c r="A3744" s="332" t="s">
        <v>346</v>
      </c>
      <c r="B3744" s="333" t="s">
        <v>788</v>
      </c>
      <c r="C3744" s="333"/>
      <c r="D3744" s="332" t="s">
        <v>789</v>
      </c>
      <c r="E3744" s="333">
        <v>201607</v>
      </c>
      <c r="F3744" s="334">
        <v>5365.5</v>
      </c>
      <c r="G3744" s="332">
        <v>9.5</v>
      </c>
      <c r="H3744" s="381">
        <v>3.1250000000000002E-3</v>
      </c>
      <c r="I3744" s="334">
        <v>159.29</v>
      </c>
      <c r="J3744" s="334">
        <v>201.21</v>
      </c>
    </row>
    <row r="3745" spans="1:10">
      <c r="A3745" s="332" t="s">
        <v>346</v>
      </c>
      <c r="B3745" s="333" t="s">
        <v>564</v>
      </c>
      <c r="C3745" s="333"/>
      <c r="D3745" s="399" t="s">
        <v>669</v>
      </c>
      <c r="E3745" s="333">
        <v>201607</v>
      </c>
      <c r="F3745" s="431">
        <v>-0.56000000000000005</v>
      </c>
      <c r="G3745" s="332">
        <v>9.5</v>
      </c>
      <c r="H3745" s="381">
        <v>3.1250000000000002E-3</v>
      </c>
      <c r="I3745" s="334">
        <v>-0.02</v>
      </c>
      <c r="J3745" s="334">
        <v>-0.02</v>
      </c>
    </row>
    <row r="3746" spans="1:10">
      <c r="A3746" s="399" t="s">
        <v>346</v>
      </c>
      <c r="B3746" s="333" t="s">
        <v>829</v>
      </c>
      <c r="C3746" s="333"/>
      <c r="D3746" s="399" t="s">
        <v>831</v>
      </c>
      <c r="E3746" s="333">
        <v>201607</v>
      </c>
      <c r="F3746" s="431">
        <v>4230.91</v>
      </c>
      <c r="G3746" s="332">
        <v>9.5</v>
      </c>
      <c r="H3746" s="381">
        <v>3.1250000000000002E-3</v>
      </c>
      <c r="I3746" s="334">
        <v>125.61</v>
      </c>
      <c r="J3746" s="334">
        <v>158.66</v>
      </c>
    </row>
    <row r="3747" spans="1:10">
      <c r="A3747" s="332" t="s">
        <v>346</v>
      </c>
      <c r="B3747" s="333" t="s">
        <v>670</v>
      </c>
      <c r="C3747" s="333"/>
      <c r="D3747" s="332" t="s">
        <v>671</v>
      </c>
      <c r="E3747" s="333">
        <v>201607</v>
      </c>
      <c r="F3747" s="334">
        <v>5166.58</v>
      </c>
      <c r="G3747" s="332">
        <v>9.5</v>
      </c>
      <c r="H3747" s="381">
        <v>3.1250000000000002E-3</v>
      </c>
      <c r="I3747" s="334">
        <v>153.38</v>
      </c>
      <c r="J3747" s="334">
        <v>193.75</v>
      </c>
    </row>
    <row r="3748" spans="1:10">
      <c r="A3748" s="332" t="s">
        <v>346</v>
      </c>
      <c r="B3748" s="333" t="s">
        <v>606</v>
      </c>
      <c r="C3748" s="333"/>
      <c r="D3748" s="332" t="s">
        <v>607</v>
      </c>
      <c r="E3748" s="333">
        <v>201607</v>
      </c>
      <c r="F3748" s="334">
        <v>7.22</v>
      </c>
      <c r="G3748" s="332">
        <v>9.5</v>
      </c>
      <c r="H3748" s="381">
        <v>3.1250000000000002E-3</v>
      </c>
      <c r="I3748" s="334">
        <v>0.21</v>
      </c>
      <c r="J3748" s="334">
        <v>0.27</v>
      </c>
    </row>
    <row r="3749" spans="1:10">
      <c r="A3749" s="332" t="s">
        <v>346</v>
      </c>
      <c r="B3749" s="333" t="s">
        <v>608</v>
      </c>
      <c r="C3749" s="333"/>
      <c r="D3749" s="332" t="s">
        <v>609</v>
      </c>
      <c r="E3749" s="333">
        <v>201607</v>
      </c>
      <c r="F3749" s="334">
        <v>0.23</v>
      </c>
      <c r="G3749" s="332">
        <v>9.5</v>
      </c>
      <c r="H3749" s="381">
        <v>3.1250000000000002E-3</v>
      </c>
      <c r="I3749" s="334">
        <v>0.01</v>
      </c>
      <c r="J3749" s="334">
        <v>0.01</v>
      </c>
    </row>
    <row r="3750" spans="1:10">
      <c r="A3750" s="332" t="s">
        <v>346</v>
      </c>
      <c r="B3750" s="333" t="s">
        <v>565</v>
      </c>
      <c r="C3750" s="333"/>
      <c r="D3750" s="332" t="s">
        <v>566</v>
      </c>
      <c r="E3750" s="333">
        <v>201607</v>
      </c>
      <c r="F3750" s="334">
        <v>7.0000000000000007E-2</v>
      </c>
      <c r="G3750" s="332">
        <v>9.5</v>
      </c>
      <c r="H3750" s="381">
        <v>3.1250000000000002E-3</v>
      </c>
      <c r="I3750" s="334">
        <v>0</v>
      </c>
      <c r="J3750" s="334">
        <v>0</v>
      </c>
    </row>
    <row r="3751" spans="1:10">
      <c r="A3751" s="332" t="s">
        <v>346</v>
      </c>
      <c r="B3751" s="333" t="s">
        <v>610</v>
      </c>
      <c r="C3751" s="333"/>
      <c r="D3751" s="332" t="s">
        <v>611</v>
      </c>
      <c r="E3751" s="333">
        <v>201607</v>
      </c>
      <c r="F3751" s="334">
        <v>2.92</v>
      </c>
      <c r="G3751" s="332">
        <v>9.5</v>
      </c>
      <c r="H3751" s="381">
        <v>3.1250000000000002E-3</v>
      </c>
      <c r="I3751" s="334">
        <v>0.09</v>
      </c>
      <c r="J3751" s="334">
        <v>0.11</v>
      </c>
    </row>
    <row r="3752" spans="1:10">
      <c r="A3752" s="332" t="s">
        <v>346</v>
      </c>
      <c r="B3752" s="333" t="s">
        <v>814</v>
      </c>
      <c r="C3752" s="333"/>
      <c r="D3752" s="332" t="s">
        <v>815</v>
      </c>
      <c r="E3752" s="333">
        <v>201607</v>
      </c>
      <c r="F3752" s="334">
        <v>6237.99</v>
      </c>
      <c r="G3752" s="332">
        <v>9.5</v>
      </c>
      <c r="H3752" s="381">
        <v>3.1250000000000002E-3</v>
      </c>
      <c r="I3752" s="334">
        <v>185.19</v>
      </c>
      <c r="J3752" s="334">
        <v>233.92</v>
      </c>
    </row>
    <row r="3753" spans="1:10">
      <c r="A3753" s="332" t="s">
        <v>346</v>
      </c>
      <c r="B3753" s="333" t="s">
        <v>674</v>
      </c>
      <c r="C3753" s="333"/>
      <c r="D3753" s="332" t="s">
        <v>675</v>
      </c>
      <c r="E3753" s="333">
        <v>201607</v>
      </c>
      <c r="F3753" s="334">
        <v>358.28</v>
      </c>
      <c r="G3753" s="332">
        <v>9.5</v>
      </c>
      <c r="H3753" s="381">
        <v>3.1250000000000002E-3</v>
      </c>
      <c r="I3753" s="334">
        <v>10.64</v>
      </c>
      <c r="J3753" s="334">
        <v>13.44</v>
      </c>
    </row>
    <row r="3754" spans="1:10">
      <c r="A3754" s="332" t="s">
        <v>346</v>
      </c>
      <c r="B3754" s="333" t="s">
        <v>790</v>
      </c>
      <c r="C3754" s="333"/>
      <c r="D3754" s="332" t="s">
        <v>791</v>
      </c>
      <c r="E3754" s="333">
        <v>201607</v>
      </c>
      <c r="F3754" s="334">
        <v>952.32</v>
      </c>
      <c r="G3754" s="332">
        <v>9.5</v>
      </c>
      <c r="H3754" s="381">
        <v>3.1250000000000002E-3</v>
      </c>
      <c r="I3754" s="334">
        <v>28.27</v>
      </c>
      <c r="J3754" s="334">
        <v>35.71</v>
      </c>
    </row>
    <row r="3755" spans="1:10">
      <c r="A3755" s="332" t="s">
        <v>346</v>
      </c>
      <c r="B3755" s="333" t="s">
        <v>840</v>
      </c>
      <c r="C3755" s="333"/>
      <c r="D3755" s="332" t="s">
        <v>841</v>
      </c>
      <c r="E3755" s="333">
        <v>201607</v>
      </c>
      <c r="F3755" s="334">
        <v>13985.31</v>
      </c>
      <c r="G3755" s="332">
        <v>9.5</v>
      </c>
      <c r="H3755" s="381">
        <v>3.1250000000000002E-3</v>
      </c>
      <c r="I3755" s="334">
        <v>415.19</v>
      </c>
      <c r="J3755" s="334">
        <v>524.45000000000005</v>
      </c>
    </row>
    <row r="3756" spans="1:10">
      <c r="A3756" s="332" t="s">
        <v>346</v>
      </c>
      <c r="B3756" s="333" t="s">
        <v>842</v>
      </c>
      <c r="C3756" s="333"/>
      <c r="D3756" s="332" t="s">
        <v>843</v>
      </c>
      <c r="E3756" s="333">
        <v>201607</v>
      </c>
      <c r="F3756" s="334">
        <v>10.02</v>
      </c>
      <c r="G3756" s="332">
        <v>9.5</v>
      </c>
      <c r="H3756" s="381">
        <v>3.1250000000000002E-3</v>
      </c>
      <c r="I3756" s="334">
        <v>0.3</v>
      </c>
      <c r="J3756" s="334">
        <v>0.38</v>
      </c>
    </row>
    <row r="3757" spans="1:10">
      <c r="A3757" s="332" t="s">
        <v>346</v>
      </c>
      <c r="B3757" s="333" t="s">
        <v>723</v>
      </c>
      <c r="C3757" s="333"/>
      <c r="D3757" s="332" t="s">
        <v>724</v>
      </c>
      <c r="E3757" s="333">
        <v>201607</v>
      </c>
      <c r="F3757" s="334">
        <v>0.83</v>
      </c>
      <c r="G3757" s="332">
        <v>9.5</v>
      </c>
      <c r="H3757" s="381">
        <v>3.1250000000000002E-3</v>
      </c>
      <c r="I3757" s="334">
        <v>0.02</v>
      </c>
      <c r="J3757" s="334">
        <v>0.03</v>
      </c>
    </row>
    <row r="3758" spans="1:10">
      <c r="A3758" s="332" t="s">
        <v>346</v>
      </c>
      <c r="B3758" s="333" t="s">
        <v>860</v>
      </c>
      <c r="C3758" s="333"/>
      <c r="D3758" s="332" t="s">
        <v>861</v>
      </c>
      <c r="E3758" s="333">
        <v>201607</v>
      </c>
      <c r="F3758" s="334">
        <v>13493.96</v>
      </c>
      <c r="G3758" s="332">
        <v>9.5</v>
      </c>
      <c r="H3758" s="381">
        <v>3.1250000000000002E-3</v>
      </c>
      <c r="I3758" s="334">
        <v>400.6</v>
      </c>
      <c r="J3758" s="334">
        <v>506.02</v>
      </c>
    </row>
    <row r="3759" spans="1:10">
      <c r="A3759" s="332" t="s">
        <v>346</v>
      </c>
      <c r="B3759" s="333" t="s">
        <v>678</v>
      </c>
      <c r="C3759" s="333"/>
      <c r="D3759" s="332" t="s">
        <v>679</v>
      </c>
      <c r="E3759" s="333">
        <v>201607</v>
      </c>
      <c r="F3759" s="334">
        <v>3327.09</v>
      </c>
      <c r="G3759" s="332">
        <v>9.5</v>
      </c>
      <c r="H3759" s="381">
        <v>3.1250000000000002E-3</v>
      </c>
      <c r="I3759" s="334">
        <v>98.77</v>
      </c>
      <c r="J3759" s="334">
        <v>124.77</v>
      </c>
    </row>
    <row r="3760" spans="1:10">
      <c r="A3760" s="332" t="s">
        <v>346</v>
      </c>
      <c r="B3760" s="333" t="s">
        <v>862</v>
      </c>
      <c r="C3760" s="333"/>
      <c r="D3760" s="332" t="s">
        <v>863</v>
      </c>
      <c r="E3760" s="333">
        <v>201607</v>
      </c>
      <c r="F3760" s="334">
        <v>13335.65</v>
      </c>
      <c r="G3760" s="332">
        <v>9.5</v>
      </c>
      <c r="H3760" s="381">
        <v>3.1250000000000002E-3</v>
      </c>
      <c r="I3760" s="334">
        <v>395.9</v>
      </c>
      <c r="J3760" s="334">
        <v>500.09</v>
      </c>
    </row>
    <row r="3761" spans="1:10">
      <c r="A3761" s="332" t="s">
        <v>346</v>
      </c>
      <c r="B3761" s="333" t="s">
        <v>680</v>
      </c>
      <c r="C3761" s="333"/>
      <c r="D3761" s="332" t="s">
        <v>681</v>
      </c>
      <c r="E3761" s="333">
        <v>201607</v>
      </c>
      <c r="F3761" s="334">
        <v>-46.96</v>
      </c>
      <c r="G3761" s="332">
        <v>9.5</v>
      </c>
      <c r="H3761" s="381">
        <v>3.1250000000000002E-3</v>
      </c>
      <c r="I3761" s="334">
        <v>-1.39</v>
      </c>
      <c r="J3761" s="334">
        <v>-1.76</v>
      </c>
    </row>
    <row r="3762" spans="1:10">
      <c r="A3762" s="332" t="s">
        <v>346</v>
      </c>
      <c r="B3762" s="333" t="s">
        <v>682</v>
      </c>
      <c r="C3762" s="333"/>
      <c r="D3762" s="332" t="s">
        <v>683</v>
      </c>
      <c r="E3762" s="333">
        <v>201607</v>
      </c>
      <c r="F3762" s="334">
        <v>26979.14</v>
      </c>
      <c r="G3762" s="332">
        <v>9.5</v>
      </c>
      <c r="H3762" s="381">
        <v>3.1250000000000002E-3</v>
      </c>
      <c r="I3762" s="334">
        <v>800.94</v>
      </c>
      <c r="J3762" s="334">
        <v>1011.72</v>
      </c>
    </row>
    <row r="3763" spans="1:10">
      <c r="A3763" s="332" t="s">
        <v>346</v>
      </c>
      <c r="B3763" s="333" t="s">
        <v>846</v>
      </c>
      <c r="C3763" s="333"/>
      <c r="D3763" s="332" t="s">
        <v>847</v>
      </c>
      <c r="E3763" s="333">
        <v>201607</v>
      </c>
      <c r="F3763" s="334">
        <v>9008.06</v>
      </c>
      <c r="G3763" s="332">
        <v>9.5</v>
      </c>
      <c r="H3763" s="381">
        <v>3.1250000000000002E-3</v>
      </c>
      <c r="I3763" s="334">
        <v>267.43</v>
      </c>
      <c r="J3763" s="334">
        <v>337.8</v>
      </c>
    </row>
    <row r="3764" spans="1:10">
      <c r="A3764" s="332" t="s">
        <v>346</v>
      </c>
      <c r="B3764" s="333" t="s">
        <v>684</v>
      </c>
      <c r="C3764" s="333"/>
      <c r="D3764" s="332" t="s">
        <v>685</v>
      </c>
      <c r="E3764" s="333">
        <v>201607</v>
      </c>
      <c r="F3764" s="334">
        <v>-8.66</v>
      </c>
      <c r="G3764" s="332">
        <v>9.5</v>
      </c>
      <c r="H3764" s="381">
        <v>3.1250000000000002E-3</v>
      </c>
      <c r="I3764" s="334">
        <v>-0.26</v>
      </c>
      <c r="J3764" s="334">
        <v>-0.32</v>
      </c>
    </row>
    <row r="3765" spans="1:10">
      <c r="A3765" s="332" t="s">
        <v>346</v>
      </c>
      <c r="B3765" s="333" t="s">
        <v>710</v>
      </c>
      <c r="C3765" s="333"/>
      <c r="D3765" s="332" t="s">
        <v>711</v>
      </c>
      <c r="E3765" s="333">
        <v>201607</v>
      </c>
      <c r="F3765" s="334">
        <v>6.51</v>
      </c>
      <c r="G3765" s="332">
        <v>9.5</v>
      </c>
      <c r="H3765" s="381">
        <v>3.1250000000000002E-3</v>
      </c>
      <c r="I3765" s="334">
        <v>0.19</v>
      </c>
      <c r="J3765" s="334">
        <v>0.24</v>
      </c>
    </row>
    <row r="3766" spans="1:10">
      <c r="A3766" s="332" t="s">
        <v>346</v>
      </c>
      <c r="B3766" s="333" t="s">
        <v>712</v>
      </c>
      <c r="C3766" s="333"/>
      <c r="D3766" s="332" t="s">
        <v>713</v>
      </c>
      <c r="E3766" s="333">
        <v>201607</v>
      </c>
      <c r="F3766" s="334">
        <v>2102.23</v>
      </c>
      <c r="G3766" s="332">
        <v>9.5</v>
      </c>
      <c r="H3766" s="381">
        <v>3.1250000000000002E-3</v>
      </c>
      <c r="I3766" s="334">
        <v>62.41</v>
      </c>
      <c r="J3766" s="334">
        <v>78.83</v>
      </c>
    </row>
    <row r="3767" spans="1:10">
      <c r="A3767" s="332" t="s">
        <v>346</v>
      </c>
      <c r="B3767" s="333" t="s">
        <v>822</v>
      </c>
      <c r="C3767" s="333"/>
      <c r="D3767" s="332" t="s">
        <v>823</v>
      </c>
      <c r="E3767" s="333">
        <v>201607</v>
      </c>
      <c r="F3767" s="334">
        <v>18780.82</v>
      </c>
      <c r="G3767" s="332">
        <v>9.5</v>
      </c>
      <c r="H3767" s="381">
        <v>3.1250000000000002E-3</v>
      </c>
      <c r="I3767" s="334">
        <v>557.55999999999995</v>
      </c>
      <c r="J3767" s="334">
        <v>704.28</v>
      </c>
    </row>
    <row r="3768" spans="1:10">
      <c r="A3768" s="332" t="s">
        <v>346</v>
      </c>
      <c r="B3768" s="333" t="s">
        <v>690</v>
      </c>
      <c r="C3768" s="333"/>
      <c r="D3768" s="332" t="s">
        <v>691</v>
      </c>
      <c r="E3768" s="333">
        <v>201607</v>
      </c>
      <c r="F3768" s="334">
        <v>5230.8599999999997</v>
      </c>
      <c r="G3768" s="332">
        <v>9.5</v>
      </c>
      <c r="H3768" s="381">
        <v>3.1250000000000002E-3</v>
      </c>
      <c r="I3768" s="334">
        <v>155.29</v>
      </c>
      <c r="J3768" s="334">
        <v>196.16</v>
      </c>
    </row>
    <row r="3769" spans="1:10">
      <c r="A3769" s="332" t="s">
        <v>346</v>
      </c>
      <c r="B3769" s="333" t="s">
        <v>868</v>
      </c>
      <c r="C3769" s="333"/>
      <c r="D3769" s="332" t="s">
        <v>869</v>
      </c>
      <c r="E3769" s="333">
        <v>201607</v>
      </c>
      <c r="F3769" s="334">
        <v>12470.02</v>
      </c>
      <c r="G3769" s="332">
        <v>9.5</v>
      </c>
      <c r="H3769" s="381">
        <v>3.1250000000000002E-3</v>
      </c>
      <c r="I3769" s="334">
        <v>370.2</v>
      </c>
      <c r="J3769" s="334">
        <v>467.63</v>
      </c>
    </row>
    <row r="3770" spans="1:10">
      <c r="A3770" s="332" t="s">
        <v>346</v>
      </c>
      <c r="B3770" s="333" t="s">
        <v>692</v>
      </c>
      <c r="C3770" s="333"/>
      <c r="D3770" s="332" t="s">
        <v>693</v>
      </c>
      <c r="E3770" s="333">
        <v>201607</v>
      </c>
      <c r="F3770" s="334">
        <v>42.12</v>
      </c>
      <c r="G3770" s="332">
        <v>9.5</v>
      </c>
      <c r="H3770" s="381">
        <v>3.1250000000000002E-3</v>
      </c>
      <c r="I3770" s="334">
        <v>1.25</v>
      </c>
      <c r="J3770" s="334">
        <v>1.58</v>
      </c>
    </row>
    <row r="3771" spans="1:10">
      <c r="A3771" s="332" t="s">
        <v>346</v>
      </c>
      <c r="B3771" s="333" t="s">
        <v>694</v>
      </c>
      <c r="C3771" s="333"/>
      <c r="D3771" s="332" t="s">
        <v>695</v>
      </c>
      <c r="E3771" s="333">
        <v>201607</v>
      </c>
      <c r="F3771" s="334">
        <v>4.0599999999999996</v>
      </c>
      <c r="G3771" s="332">
        <v>9.5</v>
      </c>
      <c r="H3771" s="381">
        <v>3.1250000000000002E-3</v>
      </c>
      <c r="I3771" s="334">
        <v>0.12</v>
      </c>
      <c r="J3771" s="334">
        <v>0.15</v>
      </c>
    </row>
    <row r="3772" spans="1:10">
      <c r="A3772" s="332" t="s">
        <v>346</v>
      </c>
      <c r="B3772" s="333" t="s">
        <v>696</v>
      </c>
      <c r="C3772" s="333"/>
      <c r="D3772" s="332" t="s">
        <v>697</v>
      </c>
      <c r="E3772" s="333">
        <v>201607</v>
      </c>
      <c r="F3772" s="334">
        <v>-0.39</v>
      </c>
      <c r="G3772" s="332">
        <v>9.5</v>
      </c>
      <c r="H3772" s="381">
        <v>3.1250000000000002E-3</v>
      </c>
      <c r="I3772" s="334">
        <v>-0.01</v>
      </c>
      <c r="J3772" s="334">
        <v>-0.01</v>
      </c>
    </row>
    <row r="3773" spans="1:10">
      <c r="A3773" s="332" t="s">
        <v>346</v>
      </c>
      <c r="B3773" s="333" t="s">
        <v>700</v>
      </c>
      <c r="C3773" s="333"/>
      <c r="D3773" s="332" t="s">
        <v>701</v>
      </c>
      <c r="E3773" s="333">
        <v>201607</v>
      </c>
      <c r="F3773" s="334">
        <v>851.69</v>
      </c>
      <c r="G3773" s="332">
        <v>9.5</v>
      </c>
      <c r="H3773" s="381">
        <v>3.1250000000000002E-3</v>
      </c>
      <c r="I3773" s="334">
        <v>25.28</v>
      </c>
      <c r="J3773" s="334">
        <v>31.94</v>
      </c>
    </row>
    <row r="3774" spans="1:10">
      <c r="A3774" s="332" t="s">
        <v>346</v>
      </c>
      <c r="B3774" s="333" t="s">
        <v>794</v>
      </c>
      <c r="C3774" s="333"/>
      <c r="D3774" s="399" t="s">
        <v>795</v>
      </c>
      <c r="E3774" s="333">
        <v>201607</v>
      </c>
      <c r="F3774" s="431">
        <v>1078.17</v>
      </c>
      <c r="G3774" s="332">
        <v>9.5</v>
      </c>
      <c r="H3774" s="381">
        <v>3.1250000000000002E-3</v>
      </c>
      <c r="I3774" s="334">
        <v>32.01</v>
      </c>
      <c r="J3774" s="334">
        <v>40.43</v>
      </c>
    </row>
    <row r="3775" spans="1:10">
      <c r="A3775" s="332" t="s">
        <v>346</v>
      </c>
      <c r="B3775" s="333" t="s">
        <v>614</v>
      </c>
      <c r="C3775" s="333"/>
      <c r="D3775" s="332" t="s">
        <v>714</v>
      </c>
      <c r="E3775" s="333">
        <v>201607</v>
      </c>
      <c r="F3775" s="334">
        <v>-0.01</v>
      </c>
      <c r="G3775" s="332">
        <v>9.5</v>
      </c>
      <c r="H3775" s="381">
        <v>3.1250000000000002E-3</v>
      </c>
      <c r="I3775" s="334">
        <v>0</v>
      </c>
      <c r="J3775" s="334">
        <v>0</v>
      </c>
    </row>
    <row r="3776" spans="1:10">
      <c r="A3776" s="332" t="s">
        <v>346</v>
      </c>
      <c r="B3776" s="333" t="s">
        <v>702</v>
      </c>
      <c r="C3776" s="333"/>
      <c r="D3776" s="332" t="s">
        <v>703</v>
      </c>
      <c r="E3776" s="333">
        <v>201607</v>
      </c>
      <c r="F3776" s="334">
        <v>6.29</v>
      </c>
      <c r="G3776" s="332">
        <v>9.5</v>
      </c>
      <c r="H3776" s="381">
        <v>3.1250000000000002E-3</v>
      </c>
      <c r="I3776" s="334">
        <v>0.19</v>
      </c>
      <c r="J3776" s="334">
        <v>0.24</v>
      </c>
    </row>
    <row r="3777" spans="1:10">
      <c r="A3777" s="332" t="s">
        <v>346</v>
      </c>
      <c r="B3777" s="333" t="s">
        <v>852</v>
      </c>
      <c r="C3777" s="333"/>
      <c r="D3777" s="332" t="s">
        <v>853</v>
      </c>
      <c r="E3777" s="333">
        <v>201607</v>
      </c>
      <c r="F3777" s="334">
        <v>1990.23</v>
      </c>
      <c r="G3777" s="332">
        <v>9.5</v>
      </c>
      <c r="H3777" s="381">
        <v>3.1250000000000002E-3</v>
      </c>
      <c r="I3777" s="334">
        <v>59.08</v>
      </c>
      <c r="J3777" s="334">
        <v>74.63</v>
      </c>
    </row>
    <row r="3778" spans="1:10">
      <c r="A3778" s="332" t="s">
        <v>346</v>
      </c>
      <c r="B3778" s="333" t="s">
        <v>870</v>
      </c>
      <c r="C3778" s="333"/>
      <c r="D3778" s="332" t="s">
        <v>871</v>
      </c>
      <c r="E3778" s="333">
        <v>201607</v>
      </c>
      <c r="F3778" s="334">
        <v>1046.8699999999999</v>
      </c>
      <c r="G3778" s="332">
        <v>9.5</v>
      </c>
      <c r="H3778" s="381">
        <v>3.1250000000000002E-3</v>
      </c>
      <c r="I3778" s="334">
        <v>31.08</v>
      </c>
      <c r="J3778" s="334">
        <v>39.26</v>
      </c>
    </row>
    <row r="3779" spans="1:10">
      <c r="A3779" s="332" t="s">
        <v>346</v>
      </c>
      <c r="B3779" s="333" t="s">
        <v>872</v>
      </c>
      <c r="C3779" s="333"/>
      <c r="D3779" s="332" t="s">
        <v>873</v>
      </c>
      <c r="E3779" s="333">
        <v>201607</v>
      </c>
      <c r="F3779" s="334">
        <v>4172.3599999999997</v>
      </c>
      <c r="G3779" s="332">
        <v>9.5</v>
      </c>
      <c r="H3779" s="381">
        <v>3.1250000000000002E-3</v>
      </c>
      <c r="I3779" s="334">
        <v>123.87</v>
      </c>
      <c r="J3779" s="334">
        <v>156.46</v>
      </c>
    </row>
    <row r="3780" spans="1:10">
      <c r="A3780" s="332" t="s">
        <v>346</v>
      </c>
      <c r="B3780" s="333" t="s">
        <v>826</v>
      </c>
      <c r="C3780" s="333"/>
      <c r="D3780" s="332" t="s">
        <v>827</v>
      </c>
      <c r="E3780" s="333">
        <v>201607</v>
      </c>
      <c r="F3780" s="334">
        <v>6227.99</v>
      </c>
      <c r="G3780" s="332">
        <v>9.5</v>
      </c>
      <c r="H3780" s="381">
        <v>3.1250000000000002E-3</v>
      </c>
      <c r="I3780" s="334">
        <v>184.89</v>
      </c>
      <c r="J3780" s="334">
        <v>233.55</v>
      </c>
    </row>
    <row r="3781" spans="1:10">
      <c r="A3781" s="332" t="s">
        <v>346</v>
      </c>
      <c r="B3781" s="333" t="s">
        <v>874</v>
      </c>
      <c r="C3781" s="333"/>
      <c r="D3781" s="332" t="s">
        <v>875</v>
      </c>
      <c r="E3781" s="333">
        <v>201607</v>
      </c>
      <c r="F3781" s="334">
        <v>5049.97</v>
      </c>
      <c r="G3781" s="332">
        <v>9.5</v>
      </c>
      <c r="H3781" s="381">
        <v>3.1250000000000002E-3</v>
      </c>
      <c r="I3781" s="334">
        <v>149.91999999999999</v>
      </c>
      <c r="J3781" s="334">
        <v>189.37</v>
      </c>
    </row>
    <row r="3782" spans="1:10">
      <c r="A3782" s="332" t="s">
        <v>346</v>
      </c>
      <c r="B3782" s="333" t="s">
        <v>876</v>
      </c>
      <c r="C3782" s="333"/>
      <c r="D3782" s="332" t="s">
        <v>877</v>
      </c>
      <c r="E3782" s="333">
        <v>201607</v>
      </c>
      <c r="F3782" s="334">
        <v>9051.91</v>
      </c>
      <c r="G3782" s="332">
        <v>9.5</v>
      </c>
      <c r="H3782" s="381">
        <v>3.1250000000000002E-3</v>
      </c>
      <c r="I3782" s="334">
        <v>268.73</v>
      </c>
      <c r="J3782" s="334">
        <v>339.45</v>
      </c>
    </row>
    <row r="3783" spans="1:10">
      <c r="A3783" s="332" t="s">
        <v>346</v>
      </c>
      <c r="B3783" s="333" t="s">
        <v>878</v>
      </c>
      <c r="C3783" s="333"/>
      <c r="D3783" s="399" t="s">
        <v>879</v>
      </c>
      <c r="E3783" s="333">
        <v>201607</v>
      </c>
      <c r="F3783" s="431">
        <v>5498.5</v>
      </c>
      <c r="G3783" s="332">
        <v>9.5</v>
      </c>
      <c r="H3783" s="381">
        <v>3.1250000000000002E-3</v>
      </c>
      <c r="I3783" s="334">
        <v>163.24</v>
      </c>
      <c r="J3783" s="334">
        <v>206.19</v>
      </c>
    </row>
    <row r="3784" spans="1:10">
      <c r="A3784" s="332" t="s">
        <v>346</v>
      </c>
      <c r="B3784" s="333" t="s">
        <v>880</v>
      </c>
      <c r="C3784" s="333"/>
      <c r="D3784" s="332" t="s">
        <v>881</v>
      </c>
      <c r="E3784" s="333">
        <v>201607</v>
      </c>
      <c r="F3784" s="334">
        <v>5581.89</v>
      </c>
      <c r="G3784" s="332">
        <v>9.5</v>
      </c>
      <c r="H3784" s="381">
        <v>3.1250000000000002E-3</v>
      </c>
      <c r="I3784" s="334">
        <v>165.71</v>
      </c>
      <c r="J3784" s="334">
        <v>209.32</v>
      </c>
    </row>
    <row r="3785" spans="1:10">
      <c r="A3785" s="332" t="s">
        <v>346</v>
      </c>
      <c r="B3785" s="333" t="s">
        <v>882</v>
      </c>
      <c r="C3785" s="333"/>
      <c r="D3785" s="332" t="s">
        <v>883</v>
      </c>
      <c r="E3785" s="333">
        <v>201607</v>
      </c>
      <c r="F3785" s="334">
        <v>1173.6099999999999</v>
      </c>
      <c r="G3785" s="332">
        <v>9.5</v>
      </c>
      <c r="H3785" s="381">
        <v>3.1250000000000002E-3</v>
      </c>
      <c r="I3785" s="334">
        <v>34.840000000000003</v>
      </c>
      <c r="J3785" s="334">
        <v>44.01</v>
      </c>
    </row>
    <row r="3786" spans="1:10">
      <c r="A3786" s="332" t="s">
        <v>346</v>
      </c>
      <c r="B3786" s="333" t="s">
        <v>854</v>
      </c>
      <c r="C3786" s="333"/>
      <c r="D3786" s="399" t="s">
        <v>855</v>
      </c>
      <c r="E3786" s="333">
        <v>201607</v>
      </c>
      <c r="F3786" s="431">
        <v>10301.34</v>
      </c>
      <c r="G3786" s="332">
        <v>9.5</v>
      </c>
      <c r="H3786" s="381">
        <v>3.1250000000000002E-3</v>
      </c>
      <c r="I3786" s="334">
        <v>305.82</v>
      </c>
      <c r="J3786" s="334">
        <v>386.3</v>
      </c>
    </row>
    <row r="3787" spans="1:10">
      <c r="A3787" s="332" t="s">
        <v>346</v>
      </c>
      <c r="B3787" s="333" t="s">
        <v>729</v>
      </c>
      <c r="C3787" s="333"/>
      <c r="D3787" s="399" t="s">
        <v>730</v>
      </c>
      <c r="E3787" s="333">
        <v>201607</v>
      </c>
      <c r="F3787" s="431">
        <v>105.04</v>
      </c>
      <c r="G3787" s="332">
        <v>9.5</v>
      </c>
      <c r="H3787" s="381">
        <v>3.1250000000000002E-3</v>
      </c>
      <c r="I3787" s="334">
        <v>3.12</v>
      </c>
      <c r="J3787" s="334">
        <v>3.94</v>
      </c>
    </row>
    <row r="3788" spans="1:10">
      <c r="A3788" s="332" t="s">
        <v>346</v>
      </c>
      <c r="B3788" s="333" t="s">
        <v>887</v>
      </c>
      <c r="C3788" s="333"/>
      <c r="D3788" s="332" t="s">
        <v>888</v>
      </c>
      <c r="E3788" s="333">
        <v>201607</v>
      </c>
      <c r="F3788" s="334">
        <v>294.02999999999997</v>
      </c>
      <c r="G3788" s="332">
        <v>9.5</v>
      </c>
      <c r="H3788" s="381">
        <v>3.1250000000000002E-3</v>
      </c>
      <c r="I3788" s="334">
        <v>8.73</v>
      </c>
      <c r="J3788" s="334">
        <v>11.03</v>
      </c>
    </row>
    <row r="3789" spans="1:10">
      <c r="A3789" s="332" t="s">
        <v>346</v>
      </c>
      <c r="B3789" s="333" t="s">
        <v>889</v>
      </c>
      <c r="C3789" s="333"/>
      <c r="D3789" s="332" t="s">
        <v>890</v>
      </c>
      <c r="E3789" s="333">
        <v>201607</v>
      </c>
      <c r="F3789" s="334">
        <v>151.5</v>
      </c>
      <c r="G3789" s="332">
        <v>9.5</v>
      </c>
      <c r="H3789" s="381">
        <v>3.1250000000000002E-3</v>
      </c>
      <c r="I3789" s="334">
        <v>4.5</v>
      </c>
      <c r="J3789" s="334">
        <v>5.68</v>
      </c>
    </row>
    <row r="3790" spans="1:10">
      <c r="A3790" s="332" t="s">
        <v>346</v>
      </c>
      <c r="B3790" s="333" t="s">
        <v>546</v>
      </c>
      <c r="C3790" s="333"/>
      <c r="D3790" s="332" t="s">
        <v>547</v>
      </c>
      <c r="E3790" s="333">
        <v>201608</v>
      </c>
      <c r="F3790" s="334">
        <v>-0.01</v>
      </c>
      <c r="G3790" s="332">
        <v>8.5</v>
      </c>
      <c r="H3790" s="381">
        <v>3.1250000000000002E-3</v>
      </c>
      <c r="I3790" s="334">
        <v>0</v>
      </c>
      <c r="J3790" s="334">
        <v>0</v>
      </c>
    </row>
    <row r="3791" spans="1:10">
      <c r="A3791" s="332" t="s">
        <v>346</v>
      </c>
      <c r="B3791" s="333" t="s">
        <v>589</v>
      </c>
      <c r="C3791" s="333"/>
      <c r="D3791" s="399" t="s">
        <v>590</v>
      </c>
      <c r="E3791" s="333">
        <v>201608</v>
      </c>
      <c r="F3791" s="431">
        <v>11.22</v>
      </c>
      <c r="G3791" s="332">
        <v>8.5</v>
      </c>
      <c r="H3791" s="381">
        <v>3.1250000000000002E-3</v>
      </c>
      <c r="I3791" s="334">
        <v>0.3</v>
      </c>
      <c r="J3791" s="334">
        <v>0.42</v>
      </c>
    </row>
    <row r="3792" spans="1:10">
      <c r="A3792" s="332" t="s">
        <v>346</v>
      </c>
      <c r="B3792" s="333" t="s">
        <v>643</v>
      </c>
      <c r="C3792" s="333"/>
      <c r="D3792" s="399" t="s">
        <v>644</v>
      </c>
      <c r="E3792" s="333">
        <v>201608</v>
      </c>
      <c r="F3792" s="431">
        <v>-3648.21</v>
      </c>
      <c r="G3792" s="332">
        <v>8.5</v>
      </c>
      <c r="H3792" s="381">
        <v>3.1250000000000002E-3</v>
      </c>
      <c r="I3792" s="334">
        <v>-96.91</v>
      </c>
      <c r="J3792" s="334">
        <v>-136.81</v>
      </c>
    </row>
    <row r="3793" spans="1:10">
      <c r="A3793" s="332" t="s">
        <v>346</v>
      </c>
      <c r="B3793" s="333" t="s">
        <v>856</v>
      </c>
      <c r="C3793" s="333"/>
      <c r="D3793" s="332" t="s">
        <v>857</v>
      </c>
      <c r="E3793" s="333">
        <v>201608</v>
      </c>
      <c r="F3793" s="334">
        <v>-1078.3800000000001</v>
      </c>
      <c r="G3793" s="332">
        <v>8.5</v>
      </c>
      <c r="H3793" s="381">
        <v>3.1250000000000002E-3</v>
      </c>
      <c r="I3793" s="334">
        <v>-28.64</v>
      </c>
      <c r="J3793" s="334">
        <v>-40.44</v>
      </c>
    </row>
    <row r="3794" spans="1:10">
      <c r="A3794" s="332" t="s">
        <v>346</v>
      </c>
      <c r="B3794" s="333" t="s">
        <v>800</v>
      </c>
      <c r="C3794" s="333"/>
      <c r="D3794" s="332" t="s">
        <v>830</v>
      </c>
      <c r="E3794" s="333">
        <v>201608</v>
      </c>
      <c r="F3794" s="334">
        <v>543.12</v>
      </c>
      <c r="G3794" s="332">
        <v>8.5</v>
      </c>
      <c r="H3794" s="381">
        <v>3.1250000000000002E-3</v>
      </c>
      <c r="I3794" s="334">
        <v>14.43</v>
      </c>
      <c r="J3794" s="334">
        <v>20.37</v>
      </c>
    </row>
    <row r="3795" spans="1:10">
      <c r="A3795" s="332" t="s">
        <v>346</v>
      </c>
      <c r="B3795" s="333" t="s">
        <v>451</v>
      </c>
      <c r="C3795" s="333"/>
      <c r="D3795" s="399" t="s">
        <v>452</v>
      </c>
      <c r="E3795" s="333">
        <v>201608</v>
      </c>
      <c r="F3795" s="431">
        <v>4.67</v>
      </c>
      <c r="G3795" s="332">
        <v>8.5</v>
      </c>
      <c r="H3795" s="381">
        <v>3.1250000000000002E-3</v>
      </c>
      <c r="I3795" s="334">
        <v>0.12</v>
      </c>
      <c r="J3795" s="334">
        <v>0.18</v>
      </c>
    </row>
    <row r="3796" spans="1:10">
      <c r="A3796" s="332" t="s">
        <v>346</v>
      </c>
      <c r="B3796" s="333" t="s">
        <v>645</v>
      </c>
      <c r="C3796" s="333"/>
      <c r="D3796" s="399" t="s">
        <v>646</v>
      </c>
      <c r="E3796" s="333">
        <v>201608</v>
      </c>
      <c r="F3796" s="431">
        <v>-2.11</v>
      </c>
      <c r="G3796" s="332">
        <v>8.5</v>
      </c>
      <c r="H3796" s="381">
        <v>3.1250000000000002E-3</v>
      </c>
      <c r="I3796" s="334">
        <v>-0.06</v>
      </c>
      <c r="J3796" s="334">
        <v>-0.08</v>
      </c>
    </row>
    <row r="3797" spans="1:10">
      <c r="A3797" s="332" t="s">
        <v>346</v>
      </c>
      <c r="B3797" s="333" t="s">
        <v>647</v>
      </c>
      <c r="C3797" s="333"/>
      <c r="D3797" s="332" t="s">
        <v>648</v>
      </c>
      <c r="E3797" s="333">
        <v>201608</v>
      </c>
      <c r="F3797" s="334">
        <v>72.599999999999994</v>
      </c>
      <c r="G3797" s="332">
        <v>8.5</v>
      </c>
      <c r="H3797" s="381">
        <v>3.1250000000000002E-3</v>
      </c>
      <c r="I3797" s="334">
        <v>1.93</v>
      </c>
      <c r="J3797" s="334">
        <v>2.72</v>
      </c>
    </row>
    <row r="3798" spans="1:10">
      <c r="A3798" s="332" t="s">
        <v>346</v>
      </c>
      <c r="B3798" s="333" t="s">
        <v>784</v>
      </c>
      <c r="C3798" s="333"/>
      <c r="D3798" s="332" t="s">
        <v>785</v>
      </c>
      <c r="E3798" s="333">
        <v>201608</v>
      </c>
      <c r="F3798" s="334">
        <v>11208.72</v>
      </c>
      <c r="G3798" s="332">
        <v>8.5</v>
      </c>
      <c r="H3798" s="381">
        <v>3.1250000000000002E-3</v>
      </c>
      <c r="I3798" s="334">
        <v>297.73</v>
      </c>
      <c r="J3798" s="334">
        <v>420.33</v>
      </c>
    </row>
    <row r="3799" spans="1:10">
      <c r="A3799" s="332" t="s">
        <v>346</v>
      </c>
      <c r="B3799" s="333" t="s">
        <v>629</v>
      </c>
      <c r="C3799" s="333"/>
      <c r="D3799" s="399" t="s">
        <v>630</v>
      </c>
      <c r="E3799" s="333">
        <v>201608</v>
      </c>
      <c r="F3799" s="431">
        <v>3.13</v>
      </c>
      <c r="G3799" s="332">
        <v>8.5</v>
      </c>
      <c r="H3799" s="381">
        <v>3.1250000000000002E-3</v>
      </c>
      <c r="I3799" s="334">
        <v>0.08</v>
      </c>
      <c r="J3799" s="334">
        <v>0.12</v>
      </c>
    </row>
    <row r="3800" spans="1:10">
      <c r="A3800" s="332" t="s">
        <v>346</v>
      </c>
      <c r="B3800" s="333" t="s">
        <v>649</v>
      </c>
      <c r="C3800" s="333"/>
      <c r="D3800" s="332" t="s">
        <v>650</v>
      </c>
      <c r="E3800" s="333">
        <v>201608</v>
      </c>
      <c r="F3800" s="334">
        <v>6497.22</v>
      </c>
      <c r="G3800" s="332">
        <v>8.5</v>
      </c>
      <c r="H3800" s="381">
        <v>3.1250000000000002E-3</v>
      </c>
      <c r="I3800" s="334">
        <v>172.58</v>
      </c>
      <c r="J3800" s="334">
        <v>243.65</v>
      </c>
    </row>
    <row r="3801" spans="1:10">
      <c r="A3801" s="332" t="s">
        <v>346</v>
      </c>
      <c r="B3801" s="333" t="s">
        <v>838</v>
      </c>
      <c r="C3801" s="333"/>
      <c r="D3801" s="332" t="s">
        <v>839</v>
      </c>
      <c r="E3801" s="333">
        <v>201608</v>
      </c>
      <c r="F3801" s="334">
        <v>9484.36</v>
      </c>
      <c r="G3801" s="332">
        <v>8.5</v>
      </c>
      <c r="H3801" s="381">
        <v>3.1250000000000002E-3</v>
      </c>
      <c r="I3801" s="334">
        <v>251.93</v>
      </c>
      <c r="J3801" s="334">
        <v>355.66</v>
      </c>
    </row>
    <row r="3802" spans="1:10">
      <c r="A3802" s="332" t="s">
        <v>346</v>
      </c>
      <c r="B3802" s="333" t="s">
        <v>911</v>
      </c>
      <c r="C3802" s="333"/>
      <c r="D3802" s="332" t="s">
        <v>903</v>
      </c>
      <c r="E3802" s="333">
        <v>201608</v>
      </c>
      <c r="F3802" s="334">
        <v>3.14</v>
      </c>
      <c r="G3802" s="332">
        <v>8.5</v>
      </c>
      <c r="H3802" s="381">
        <v>3.1250000000000002E-3</v>
      </c>
      <c r="I3802" s="334">
        <v>0.08</v>
      </c>
      <c r="J3802" s="334">
        <v>0.12</v>
      </c>
    </row>
    <row r="3803" spans="1:10">
      <c r="A3803" s="332" t="s">
        <v>346</v>
      </c>
      <c r="B3803" s="333" t="s">
        <v>651</v>
      </c>
      <c r="C3803" s="333"/>
      <c r="D3803" s="332" t="s">
        <v>652</v>
      </c>
      <c r="E3803" s="333">
        <v>201608</v>
      </c>
      <c r="F3803" s="334">
        <v>3324.96</v>
      </c>
      <c r="G3803" s="332">
        <v>8.5</v>
      </c>
      <c r="H3803" s="381">
        <v>3.1250000000000002E-3</v>
      </c>
      <c r="I3803" s="334">
        <v>88.32</v>
      </c>
      <c r="J3803" s="334">
        <v>124.69</v>
      </c>
    </row>
    <row r="3804" spans="1:10">
      <c r="A3804" s="332" t="s">
        <v>346</v>
      </c>
      <c r="B3804" s="333" t="s">
        <v>786</v>
      </c>
      <c r="C3804" s="333"/>
      <c r="D3804" s="399" t="s">
        <v>787</v>
      </c>
      <c r="E3804" s="333">
        <v>201608</v>
      </c>
      <c r="F3804" s="431">
        <v>5977.72</v>
      </c>
      <c r="G3804" s="332">
        <v>8.5</v>
      </c>
      <c r="H3804" s="381">
        <v>3.1250000000000002E-3</v>
      </c>
      <c r="I3804" s="334">
        <v>158.78</v>
      </c>
      <c r="J3804" s="334">
        <v>224.16</v>
      </c>
    </row>
    <row r="3805" spans="1:10">
      <c r="A3805" s="332" t="s">
        <v>346</v>
      </c>
      <c r="B3805" s="333" t="s">
        <v>653</v>
      </c>
      <c r="C3805" s="333"/>
      <c r="D3805" s="399" t="s">
        <v>654</v>
      </c>
      <c r="E3805" s="333">
        <v>201608</v>
      </c>
      <c r="F3805" s="431">
        <v>2268.13</v>
      </c>
      <c r="G3805" s="332">
        <v>8.5</v>
      </c>
      <c r="H3805" s="381">
        <v>3.1250000000000002E-3</v>
      </c>
      <c r="I3805" s="334">
        <v>60.25</v>
      </c>
      <c r="J3805" s="334">
        <v>85.05</v>
      </c>
    </row>
    <row r="3806" spans="1:10">
      <c r="A3806" s="332" t="s">
        <v>346</v>
      </c>
      <c r="B3806" s="333" t="s">
        <v>912</v>
      </c>
      <c r="C3806" s="333"/>
      <c r="D3806" s="332" t="s">
        <v>904</v>
      </c>
      <c r="E3806" s="333">
        <v>201608</v>
      </c>
      <c r="F3806" s="334">
        <v>117.43</v>
      </c>
      <c r="G3806" s="332">
        <v>8.5</v>
      </c>
      <c r="H3806" s="381">
        <v>3.1250000000000002E-3</v>
      </c>
      <c r="I3806" s="334">
        <v>3.12</v>
      </c>
      <c r="J3806" s="334">
        <v>4.4000000000000004</v>
      </c>
    </row>
    <row r="3807" spans="1:10">
      <c r="A3807" s="332" t="s">
        <v>346</v>
      </c>
      <c r="B3807" s="333" t="s">
        <v>913</v>
      </c>
      <c r="C3807" s="333"/>
      <c r="D3807" s="332" t="s">
        <v>910</v>
      </c>
      <c r="E3807" s="333">
        <v>201608</v>
      </c>
      <c r="F3807" s="334">
        <v>89.33</v>
      </c>
      <c r="G3807" s="332">
        <v>8.5</v>
      </c>
      <c r="H3807" s="381">
        <v>3.1250000000000002E-3</v>
      </c>
      <c r="I3807" s="334">
        <v>2.37</v>
      </c>
      <c r="J3807" s="334">
        <v>3.35</v>
      </c>
    </row>
    <row r="3808" spans="1:10">
      <c r="A3808" s="332" t="s">
        <v>346</v>
      </c>
      <c r="B3808" s="333" t="s">
        <v>655</v>
      </c>
      <c r="C3808" s="333"/>
      <c r="D3808" s="332" t="s">
        <v>656</v>
      </c>
      <c r="E3808" s="333">
        <v>201608</v>
      </c>
      <c r="F3808" s="334">
        <v>9.98</v>
      </c>
      <c r="G3808" s="332">
        <v>8.5</v>
      </c>
      <c r="H3808" s="381">
        <v>3.1250000000000002E-3</v>
      </c>
      <c r="I3808" s="334">
        <v>0.27</v>
      </c>
      <c r="J3808" s="334">
        <v>0.37</v>
      </c>
    </row>
    <row r="3809" spans="1:10">
      <c r="A3809" s="332" t="s">
        <v>346</v>
      </c>
      <c r="B3809" s="333" t="s">
        <v>594</v>
      </c>
      <c r="C3809" s="333"/>
      <c r="D3809" s="399" t="s">
        <v>595</v>
      </c>
      <c r="E3809" s="333">
        <v>201608</v>
      </c>
      <c r="F3809" s="431">
        <v>1.54</v>
      </c>
      <c r="G3809" s="332">
        <v>8.5</v>
      </c>
      <c r="H3809" s="381">
        <v>3.1250000000000002E-3</v>
      </c>
      <c r="I3809" s="334">
        <v>0.04</v>
      </c>
      <c r="J3809" s="334">
        <v>0.06</v>
      </c>
    </row>
    <row r="3810" spans="1:10">
      <c r="A3810" s="332" t="s">
        <v>346</v>
      </c>
      <c r="B3810" s="333" t="s">
        <v>596</v>
      </c>
      <c r="C3810" s="333"/>
      <c r="D3810" s="332" t="s">
        <v>597</v>
      </c>
      <c r="E3810" s="333">
        <v>201608</v>
      </c>
      <c r="F3810" s="334">
        <v>1.29</v>
      </c>
      <c r="G3810" s="332">
        <v>8.5</v>
      </c>
      <c r="H3810" s="381">
        <v>3.1250000000000002E-3</v>
      </c>
      <c r="I3810" s="334">
        <v>0.03</v>
      </c>
      <c r="J3810" s="334">
        <v>0.05</v>
      </c>
    </row>
    <row r="3811" spans="1:10">
      <c r="A3811" s="332" t="s">
        <v>346</v>
      </c>
      <c r="B3811" s="333" t="s">
        <v>657</v>
      </c>
      <c r="C3811" s="333"/>
      <c r="D3811" s="399" t="s">
        <v>658</v>
      </c>
      <c r="E3811" s="333">
        <v>201608</v>
      </c>
      <c r="F3811" s="431">
        <v>-16.260000000000002</v>
      </c>
      <c r="G3811" s="332">
        <v>8.5</v>
      </c>
      <c r="H3811" s="381">
        <v>3.1250000000000002E-3</v>
      </c>
      <c r="I3811" s="334">
        <v>-0.43</v>
      </c>
      <c r="J3811" s="334">
        <v>-0.61</v>
      </c>
    </row>
    <row r="3812" spans="1:10">
      <c r="A3812" s="332" t="s">
        <v>346</v>
      </c>
      <c r="B3812" s="333" t="s">
        <v>659</v>
      </c>
      <c r="C3812" s="333"/>
      <c r="D3812" s="332" t="s">
        <v>660</v>
      </c>
      <c r="E3812" s="333">
        <v>201608</v>
      </c>
      <c r="F3812" s="334">
        <v>-79.62</v>
      </c>
      <c r="G3812" s="332">
        <v>8.5</v>
      </c>
      <c r="H3812" s="381">
        <v>3.1250000000000002E-3</v>
      </c>
      <c r="I3812" s="334">
        <v>-2.11</v>
      </c>
      <c r="J3812" s="334">
        <v>-2.99</v>
      </c>
    </row>
    <row r="3813" spans="1:10">
      <c r="A3813" s="332" t="s">
        <v>346</v>
      </c>
      <c r="B3813" s="333" t="s">
        <v>661</v>
      </c>
      <c r="C3813" s="333"/>
      <c r="D3813" s="332" t="s">
        <v>662</v>
      </c>
      <c r="E3813" s="333">
        <v>201608</v>
      </c>
      <c r="F3813" s="334">
        <v>18583.009999999998</v>
      </c>
      <c r="G3813" s="332">
        <v>8.5</v>
      </c>
      <c r="H3813" s="381">
        <v>3.1250000000000002E-3</v>
      </c>
      <c r="I3813" s="334">
        <v>493.61</v>
      </c>
      <c r="J3813" s="334">
        <v>696.86</v>
      </c>
    </row>
    <row r="3814" spans="1:10">
      <c r="A3814" s="332" t="s">
        <v>346</v>
      </c>
      <c r="B3814" s="333" t="s">
        <v>663</v>
      </c>
      <c r="C3814" s="333"/>
      <c r="D3814" s="332" t="s">
        <v>664</v>
      </c>
      <c r="E3814" s="333">
        <v>201608</v>
      </c>
      <c r="F3814" s="334">
        <v>3433.14</v>
      </c>
      <c r="G3814" s="332">
        <v>8.5</v>
      </c>
      <c r="H3814" s="381">
        <v>3.1250000000000002E-3</v>
      </c>
      <c r="I3814" s="334">
        <v>91.19</v>
      </c>
      <c r="J3814" s="334">
        <v>128.74</v>
      </c>
    </row>
    <row r="3815" spans="1:10">
      <c r="A3815" s="332" t="s">
        <v>346</v>
      </c>
      <c r="B3815" s="333" t="s">
        <v>665</v>
      </c>
      <c r="C3815" s="333"/>
      <c r="D3815" s="399" t="s">
        <v>666</v>
      </c>
      <c r="E3815" s="333">
        <v>201608</v>
      </c>
      <c r="F3815" s="431">
        <v>174.62</v>
      </c>
      <c r="G3815" s="332">
        <v>8.5</v>
      </c>
      <c r="H3815" s="381">
        <v>3.1250000000000002E-3</v>
      </c>
      <c r="I3815" s="334">
        <v>4.6399999999999997</v>
      </c>
      <c r="J3815" s="334">
        <v>6.55</v>
      </c>
    </row>
    <row r="3816" spans="1:10">
      <c r="A3816" s="332" t="s">
        <v>346</v>
      </c>
      <c r="B3816" s="333" t="s">
        <v>801</v>
      </c>
      <c r="C3816" s="333"/>
      <c r="D3816" s="332" t="s">
        <v>802</v>
      </c>
      <c r="E3816" s="333">
        <v>201608</v>
      </c>
      <c r="F3816" s="334">
        <v>5825.22</v>
      </c>
      <c r="G3816" s="332">
        <v>8.5</v>
      </c>
      <c r="H3816" s="381">
        <v>3.1250000000000002E-3</v>
      </c>
      <c r="I3816" s="334">
        <v>154.72999999999999</v>
      </c>
      <c r="J3816" s="334">
        <v>218.45</v>
      </c>
    </row>
    <row r="3817" spans="1:10">
      <c r="A3817" s="332" t="s">
        <v>346</v>
      </c>
      <c r="B3817" s="333" t="s">
        <v>803</v>
      </c>
      <c r="C3817" s="333"/>
      <c r="D3817" s="399" t="s">
        <v>804</v>
      </c>
      <c r="E3817" s="333">
        <v>201608</v>
      </c>
      <c r="F3817" s="431">
        <v>9043.27</v>
      </c>
      <c r="G3817" s="332">
        <v>8.5</v>
      </c>
      <c r="H3817" s="381">
        <v>3.1250000000000002E-3</v>
      </c>
      <c r="I3817" s="334">
        <v>240.21</v>
      </c>
      <c r="J3817" s="334">
        <v>339.12</v>
      </c>
    </row>
    <row r="3818" spans="1:10">
      <c r="A3818" s="332" t="s">
        <v>346</v>
      </c>
      <c r="B3818" s="333" t="s">
        <v>805</v>
      </c>
      <c r="C3818" s="333"/>
      <c r="D3818" s="399" t="s">
        <v>806</v>
      </c>
      <c r="E3818" s="333">
        <v>201608</v>
      </c>
      <c r="F3818" s="431">
        <v>12687.46</v>
      </c>
      <c r="G3818" s="332">
        <v>8.5</v>
      </c>
      <c r="H3818" s="381">
        <v>3.1250000000000002E-3</v>
      </c>
      <c r="I3818" s="334">
        <v>337.01</v>
      </c>
      <c r="J3818" s="334">
        <v>475.78</v>
      </c>
    </row>
    <row r="3819" spans="1:10">
      <c r="A3819" s="332" t="s">
        <v>346</v>
      </c>
      <c r="B3819" s="333" t="s">
        <v>598</v>
      </c>
      <c r="C3819" s="333"/>
      <c r="D3819" s="332" t="s">
        <v>599</v>
      </c>
      <c r="E3819" s="333">
        <v>201608</v>
      </c>
      <c r="F3819" s="334">
        <v>-0.28000000000000003</v>
      </c>
      <c r="G3819" s="332">
        <v>8.5</v>
      </c>
      <c r="H3819" s="381">
        <v>3.1250000000000002E-3</v>
      </c>
      <c r="I3819" s="334">
        <v>-0.01</v>
      </c>
      <c r="J3819" s="334">
        <v>-0.01</v>
      </c>
    </row>
    <row r="3820" spans="1:10">
      <c r="A3820" s="332" t="s">
        <v>346</v>
      </c>
      <c r="B3820" s="333" t="s">
        <v>600</v>
      </c>
      <c r="C3820" s="333"/>
      <c r="D3820" s="332" t="s">
        <v>601</v>
      </c>
      <c r="E3820" s="333">
        <v>201608</v>
      </c>
      <c r="F3820" s="334">
        <v>1.5</v>
      </c>
      <c r="G3820" s="332">
        <v>8.5</v>
      </c>
      <c r="H3820" s="381">
        <v>3.1250000000000002E-3</v>
      </c>
      <c r="I3820" s="334">
        <v>0.04</v>
      </c>
      <c r="J3820" s="334">
        <v>0.06</v>
      </c>
    </row>
    <row r="3821" spans="1:10">
      <c r="A3821" s="332" t="s">
        <v>346</v>
      </c>
      <c r="B3821" s="333" t="s">
        <v>554</v>
      </c>
      <c r="C3821" s="333"/>
      <c r="D3821" s="399" t="s">
        <v>555</v>
      </c>
      <c r="E3821" s="333">
        <v>201608</v>
      </c>
      <c r="F3821" s="431">
        <v>0.18</v>
      </c>
      <c r="G3821" s="332">
        <v>8.5</v>
      </c>
      <c r="H3821" s="381">
        <v>3.1250000000000002E-3</v>
      </c>
      <c r="I3821" s="334">
        <v>0</v>
      </c>
      <c r="J3821" s="334">
        <v>0.01</v>
      </c>
    </row>
    <row r="3822" spans="1:10">
      <c r="A3822" s="332" t="s">
        <v>346</v>
      </c>
      <c r="B3822" s="333" t="s">
        <v>556</v>
      </c>
      <c r="C3822" s="333"/>
      <c r="D3822" s="332" t="s">
        <v>557</v>
      </c>
      <c r="E3822" s="333">
        <v>201608</v>
      </c>
      <c r="F3822" s="334">
        <v>0.41</v>
      </c>
      <c r="G3822" s="332">
        <v>8.5</v>
      </c>
      <c r="H3822" s="381">
        <v>3.1250000000000002E-3</v>
      </c>
      <c r="I3822" s="334">
        <v>0.01</v>
      </c>
      <c r="J3822" s="334">
        <v>0.02</v>
      </c>
    </row>
    <row r="3823" spans="1:10">
      <c r="A3823" s="332" t="s">
        <v>346</v>
      </c>
      <c r="B3823" s="333" t="s">
        <v>558</v>
      </c>
      <c r="C3823" s="333"/>
      <c r="D3823" s="332" t="s">
        <v>559</v>
      </c>
      <c r="E3823" s="333">
        <v>201608</v>
      </c>
      <c r="F3823" s="334">
        <v>-0.31</v>
      </c>
      <c r="G3823" s="332">
        <v>8.5</v>
      </c>
      <c r="H3823" s="381">
        <v>3.1250000000000002E-3</v>
      </c>
      <c r="I3823" s="334">
        <v>-0.01</v>
      </c>
      <c r="J3823" s="334">
        <v>-0.01</v>
      </c>
    </row>
    <row r="3824" spans="1:10">
      <c r="A3824" s="332" t="s">
        <v>346</v>
      </c>
      <c r="B3824" s="333" t="s">
        <v>560</v>
      </c>
      <c r="C3824" s="333"/>
      <c r="D3824" s="399" t="s">
        <v>561</v>
      </c>
      <c r="E3824" s="333">
        <v>201608</v>
      </c>
      <c r="F3824" s="431">
        <v>-0.63</v>
      </c>
      <c r="G3824" s="332">
        <v>8.5</v>
      </c>
      <c r="H3824" s="381">
        <v>3.1250000000000002E-3</v>
      </c>
      <c r="I3824" s="334">
        <v>-0.02</v>
      </c>
      <c r="J3824" s="334">
        <v>-0.02</v>
      </c>
    </row>
    <row r="3825" spans="1:10">
      <c r="A3825" s="332" t="s">
        <v>346</v>
      </c>
      <c r="B3825" s="333" t="s">
        <v>562</v>
      </c>
      <c r="C3825" s="333"/>
      <c r="D3825" s="332" t="s">
        <v>563</v>
      </c>
      <c r="E3825" s="333">
        <v>201608</v>
      </c>
      <c r="F3825" s="334">
        <v>22.6</v>
      </c>
      <c r="G3825" s="332">
        <v>8.5</v>
      </c>
      <c r="H3825" s="381">
        <v>3.1250000000000002E-3</v>
      </c>
      <c r="I3825" s="334">
        <v>0.6</v>
      </c>
      <c r="J3825" s="334">
        <v>0.85</v>
      </c>
    </row>
    <row r="3826" spans="1:10">
      <c r="A3826" s="332" t="s">
        <v>346</v>
      </c>
      <c r="B3826" s="333" t="s">
        <v>602</v>
      </c>
      <c r="C3826" s="333"/>
      <c r="D3826" s="332" t="s">
        <v>603</v>
      </c>
      <c r="E3826" s="333">
        <v>201608</v>
      </c>
      <c r="F3826" s="334">
        <v>1.37</v>
      </c>
      <c r="G3826" s="332">
        <v>8.5</v>
      </c>
      <c r="H3826" s="381">
        <v>3.1250000000000002E-3</v>
      </c>
      <c r="I3826" s="334">
        <v>0.04</v>
      </c>
      <c r="J3826" s="334">
        <v>0.05</v>
      </c>
    </row>
    <row r="3827" spans="1:10">
      <c r="A3827" s="332" t="s">
        <v>346</v>
      </c>
      <c r="B3827" s="333" t="s">
        <v>810</v>
      </c>
      <c r="C3827" s="333"/>
      <c r="D3827" s="399" t="s">
        <v>811</v>
      </c>
      <c r="E3827" s="333">
        <v>201608</v>
      </c>
      <c r="F3827" s="431">
        <v>2956.18</v>
      </c>
      <c r="G3827" s="332">
        <v>8.5</v>
      </c>
      <c r="H3827" s="381">
        <v>3.1250000000000002E-3</v>
      </c>
      <c r="I3827" s="334">
        <v>78.52</v>
      </c>
      <c r="J3827" s="334">
        <v>110.86</v>
      </c>
    </row>
    <row r="3828" spans="1:10">
      <c r="A3828" s="332" t="s">
        <v>346</v>
      </c>
      <c r="B3828" s="333" t="s">
        <v>788</v>
      </c>
      <c r="C3828" s="333"/>
      <c r="D3828" s="399" t="s">
        <v>789</v>
      </c>
      <c r="E3828" s="333">
        <v>201608</v>
      </c>
      <c r="F3828" s="431">
        <v>3706.22</v>
      </c>
      <c r="G3828" s="332">
        <v>8.5</v>
      </c>
      <c r="H3828" s="381">
        <v>3.1250000000000002E-3</v>
      </c>
      <c r="I3828" s="334">
        <v>98.45</v>
      </c>
      <c r="J3828" s="334">
        <v>138.97999999999999</v>
      </c>
    </row>
    <row r="3829" spans="1:10">
      <c r="A3829" s="332" t="s">
        <v>346</v>
      </c>
      <c r="B3829" s="333" t="s">
        <v>564</v>
      </c>
      <c r="C3829" s="333"/>
      <c r="D3829" s="332" t="s">
        <v>669</v>
      </c>
      <c r="E3829" s="333">
        <v>201608</v>
      </c>
      <c r="F3829" s="334">
        <v>-0.39</v>
      </c>
      <c r="G3829" s="332">
        <v>8.5</v>
      </c>
      <c r="H3829" s="381">
        <v>3.1250000000000002E-3</v>
      </c>
      <c r="I3829" s="334">
        <v>-0.01</v>
      </c>
      <c r="J3829" s="334">
        <v>-0.01</v>
      </c>
    </row>
    <row r="3830" spans="1:10">
      <c r="A3830" s="332" t="s">
        <v>346</v>
      </c>
      <c r="B3830" s="333" t="s">
        <v>829</v>
      </c>
      <c r="C3830" s="333"/>
      <c r="D3830" s="332" t="s">
        <v>831</v>
      </c>
      <c r="E3830" s="333">
        <v>201608</v>
      </c>
      <c r="F3830" s="334">
        <v>2996.59</v>
      </c>
      <c r="G3830" s="332">
        <v>8.5</v>
      </c>
      <c r="H3830" s="381">
        <v>3.1250000000000002E-3</v>
      </c>
      <c r="I3830" s="334">
        <v>79.599999999999994</v>
      </c>
      <c r="J3830" s="334">
        <v>112.37</v>
      </c>
    </row>
    <row r="3831" spans="1:10">
      <c r="A3831" s="332" t="s">
        <v>346</v>
      </c>
      <c r="B3831" s="333" t="s">
        <v>670</v>
      </c>
      <c r="C3831" s="333"/>
      <c r="D3831" s="399" t="s">
        <v>671</v>
      </c>
      <c r="E3831" s="333">
        <v>201608</v>
      </c>
      <c r="F3831" s="431">
        <v>3547.12</v>
      </c>
      <c r="G3831" s="332">
        <v>8.5</v>
      </c>
      <c r="H3831" s="381">
        <v>3.1250000000000002E-3</v>
      </c>
      <c r="I3831" s="334">
        <v>94.22</v>
      </c>
      <c r="J3831" s="334">
        <v>133.02000000000001</v>
      </c>
    </row>
    <row r="3832" spans="1:10">
      <c r="A3832" s="332" t="s">
        <v>346</v>
      </c>
      <c r="B3832" s="333" t="s">
        <v>606</v>
      </c>
      <c r="C3832" s="333"/>
      <c r="D3832" s="399" t="s">
        <v>607</v>
      </c>
      <c r="E3832" s="333">
        <v>201608</v>
      </c>
      <c r="F3832" s="431">
        <v>4.9400000000000004</v>
      </c>
      <c r="G3832" s="332">
        <v>8.5</v>
      </c>
      <c r="H3832" s="381">
        <v>3.1250000000000002E-3</v>
      </c>
      <c r="I3832" s="334">
        <v>0.13</v>
      </c>
      <c r="J3832" s="334">
        <v>0.19</v>
      </c>
    </row>
    <row r="3833" spans="1:10">
      <c r="A3833" s="332" t="s">
        <v>346</v>
      </c>
      <c r="B3833" s="333" t="s">
        <v>947</v>
      </c>
      <c r="C3833" s="333"/>
      <c r="D3833" s="332" t="s">
        <v>948</v>
      </c>
      <c r="E3833" s="333">
        <v>201608</v>
      </c>
      <c r="F3833" s="334">
        <v>228161.62</v>
      </c>
      <c r="G3833" s="332">
        <v>8.5</v>
      </c>
      <c r="H3833" s="381">
        <v>3.1250000000000002E-3</v>
      </c>
      <c r="I3833" s="334">
        <v>6060.54</v>
      </c>
      <c r="J3833" s="334">
        <v>8556.06</v>
      </c>
    </row>
    <row r="3834" spans="1:10">
      <c r="A3834" s="332" t="s">
        <v>346</v>
      </c>
      <c r="B3834" s="333" t="s">
        <v>949</v>
      </c>
      <c r="C3834" s="333"/>
      <c r="D3834" s="332" t="s">
        <v>950</v>
      </c>
      <c r="E3834" s="333">
        <v>201608</v>
      </c>
      <c r="F3834" s="334">
        <v>207905.96</v>
      </c>
      <c r="G3834" s="332">
        <v>8.5</v>
      </c>
      <c r="H3834" s="381">
        <v>3.1250000000000002E-3</v>
      </c>
      <c r="I3834" s="334">
        <v>5522.5</v>
      </c>
      <c r="J3834" s="334">
        <v>7796.47</v>
      </c>
    </row>
    <row r="3835" spans="1:10">
      <c r="A3835" s="332" t="s">
        <v>346</v>
      </c>
      <c r="B3835" s="333" t="s">
        <v>951</v>
      </c>
      <c r="C3835" s="333"/>
      <c r="D3835" s="332" t="s">
        <v>952</v>
      </c>
      <c r="E3835" s="333">
        <v>201608</v>
      </c>
      <c r="F3835" s="334">
        <v>184782.7</v>
      </c>
      <c r="G3835" s="332">
        <v>8.5</v>
      </c>
      <c r="H3835" s="381">
        <v>3.1250000000000002E-3</v>
      </c>
      <c r="I3835" s="334">
        <v>4908.29</v>
      </c>
      <c r="J3835" s="334">
        <v>6929.35</v>
      </c>
    </row>
    <row r="3836" spans="1:10">
      <c r="A3836" s="332" t="s">
        <v>346</v>
      </c>
      <c r="B3836" s="333" t="s">
        <v>953</v>
      </c>
      <c r="C3836" s="333"/>
      <c r="D3836" s="399" t="s">
        <v>954</v>
      </c>
      <c r="E3836" s="333">
        <v>201608</v>
      </c>
      <c r="F3836" s="431">
        <v>125371.93</v>
      </c>
      <c r="G3836" s="332">
        <v>8.5</v>
      </c>
      <c r="H3836" s="381">
        <v>3.1250000000000002E-3</v>
      </c>
      <c r="I3836" s="334">
        <v>3330.19</v>
      </c>
      <c r="J3836" s="334">
        <v>4701.45</v>
      </c>
    </row>
    <row r="3837" spans="1:10">
      <c r="A3837" s="332" t="s">
        <v>346</v>
      </c>
      <c r="B3837" s="333" t="s">
        <v>955</v>
      </c>
      <c r="C3837" s="333"/>
      <c r="D3837" s="399" t="s">
        <v>956</v>
      </c>
      <c r="E3837" s="333">
        <v>201608</v>
      </c>
      <c r="F3837" s="431">
        <v>102203.11</v>
      </c>
      <c r="G3837" s="332">
        <v>8.5</v>
      </c>
      <c r="H3837" s="381">
        <v>3.1250000000000002E-3</v>
      </c>
      <c r="I3837" s="334">
        <v>2714.77</v>
      </c>
      <c r="J3837" s="334">
        <v>3832.62</v>
      </c>
    </row>
    <row r="3838" spans="1:10">
      <c r="A3838" s="332" t="s">
        <v>346</v>
      </c>
      <c r="B3838" s="333" t="s">
        <v>957</v>
      </c>
      <c r="C3838" s="333"/>
      <c r="D3838" s="332" t="s">
        <v>958</v>
      </c>
      <c r="E3838" s="333">
        <v>201608</v>
      </c>
      <c r="F3838" s="334">
        <v>163539.94</v>
      </c>
      <c r="G3838" s="332">
        <v>8.5</v>
      </c>
      <c r="H3838" s="381">
        <v>3.1250000000000002E-3</v>
      </c>
      <c r="I3838" s="334">
        <v>4344.03</v>
      </c>
      <c r="J3838" s="334">
        <v>6132.75</v>
      </c>
    </row>
    <row r="3839" spans="1:10">
      <c r="A3839" s="332" t="s">
        <v>346</v>
      </c>
      <c r="B3839" s="333" t="s">
        <v>959</v>
      </c>
      <c r="C3839" s="333"/>
      <c r="D3839" s="332" t="s">
        <v>960</v>
      </c>
      <c r="E3839" s="333">
        <v>201608</v>
      </c>
      <c r="F3839" s="334">
        <v>95207.18</v>
      </c>
      <c r="G3839" s="332">
        <v>8.5</v>
      </c>
      <c r="H3839" s="381">
        <v>3.1250000000000002E-3</v>
      </c>
      <c r="I3839" s="334">
        <v>2528.94</v>
      </c>
      <c r="J3839" s="334">
        <v>3570.27</v>
      </c>
    </row>
    <row r="3840" spans="1:10">
      <c r="A3840" s="332" t="s">
        <v>346</v>
      </c>
      <c r="B3840" s="333" t="s">
        <v>608</v>
      </c>
      <c r="C3840" s="333"/>
      <c r="D3840" s="399" t="s">
        <v>609</v>
      </c>
      <c r="E3840" s="333">
        <v>201608</v>
      </c>
      <c r="F3840" s="431">
        <v>0.16</v>
      </c>
      <c r="G3840" s="332">
        <v>8.5</v>
      </c>
      <c r="H3840" s="381">
        <v>3.1250000000000002E-3</v>
      </c>
      <c r="I3840" s="334">
        <v>0</v>
      </c>
      <c r="J3840" s="334">
        <v>0.01</v>
      </c>
    </row>
    <row r="3841" spans="1:10">
      <c r="A3841" s="332" t="s">
        <v>346</v>
      </c>
      <c r="B3841" s="333" t="s">
        <v>565</v>
      </c>
      <c r="C3841" s="333"/>
      <c r="D3841" s="399" t="s">
        <v>566</v>
      </c>
      <c r="E3841" s="333">
        <v>201608</v>
      </c>
      <c r="F3841" s="431">
        <v>7.0000000000000007E-2</v>
      </c>
      <c r="G3841" s="332">
        <v>8.5</v>
      </c>
      <c r="H3841" s="381">
        <v>3.1250000000000002E-3</v>
      </c>
      <c r="I3841" s="334">
        <v>0</v>
      </c>
      <c r="J3841" s="334">
        <v>0</v>
      </c>
    </row>
    <row r="3842" spans="1:10">
      <c r="A3842" s="332" t="s">
        <v>346</v>
      </c>
      <c r="B3842" s="333" t="s">
        <v>610</v>
      </c>
      <c r="C3842" s="333"/>
      <c r="D3842" s="332" t="s">
        <v>611</v>
      </c>
      <c r="E3842" s="333">
        <v>201608</v>
      </c>
      <c r="F3842" s="334">
        <v>1.99</v>
      </c>
      <c r="G3842" s="332">
        <v>8.5</v>
      </c>
      <c r="H3842" s="381">
        <v>3.1250000000000002E-3</v>
      </c>
      <c r="I3842" s="334">
        <v>0.05</v>
      </c>
      <c r="J3842" s="334">
        <v>7.0000000000000007E-2</v>
      </c>
    </row>
    <row r="3843" spans="1:10">
      <c r="A3843" s="332" t="s">
        <v>346</v>
      </c>
      <c r="B3843" s="333" t="s">
        <v>567</v>
      </c>
      <c r="C3843" s="333"/>
      <c r="D3843" s="332" t="s">
        <v>568</v>
      </c>
      <c r="E3843" s="333">
        <v>201608</v>
      </c>
      <c r="F3843" s="334">
        <v>9.27</v>
      </c>
      <c r="G3843" s="332">
        <v>8.5</v>
      </c>
      <c r="H3843" s="381">
        <v>3.1250000000000002E-3</v>
      </c>
      <c r="I3843" s="334">
        <v>0.25</v>
      </c>
      <c r="J3843" s="334">
        <v>0.35</v>
      </c>
    </row>
    <row r="3844" spans="1:10">
      <c r="A3844" s="332" t="s">
        <v>346</v>
      </c>
      <c r="B3844" s="333" t="s">
        <v>814</v>
      </c>
      <c r="C3844" s="333"/>
      <c r="D3844" s="332" t="s">
        <v>815</v>
      </c>
      <c r="E3844" s="333">
        <v>201608</v>
      </c>
      <c r="F3844" s="334">
        <v>-8276.98</v>
      </c>
      <c r="G3844" s="332">
        <v>8.5</v>
      </c>
      <c r="H3844" s="381">
        <v>3.1250000000000002E-3</v>
      </c>
      <c r="I3844" s="334">
        <v>-219.86</v>
      </c>
      <c r="J3844" s="334">
        <v>-310.39</v>
      </c>
    </row>
    <row r="3845" spans="1:10">
      <c r="A3845" s="332" t="s">
        <v>346</v>
      </c>
      <c r="B3845" s="333" t="s">
        <v>674</v>
      </c>
      <c r="C3845" s="333"/>
      <c r="D3845" s="399" t="s">
        <v>675</v>
      </c>
      <c r="E3845" s="333">
        <v>201608</v>
      </c>
      <c r="F3845" s="431">
        <v>250.32</v>
      </c>
      <c r="G3845" s="332">
        <v>8.5</v>
      </c>
      <c r="H3845" s="381">
        <v>3.1250000000000002E-3</v>
      </c>
      <c r="I3845" s="334">
        <v>6.65</v>
      </c>
      <c r="J3845" s="334">
        <v>9.39</v>
      </c>
    </row>
    <row r="3846" spans="1:10">
      <c r="A3846" s="332" t="s">
        <v>346</v>
      </c>
      <c r="B3846" s="333" t="s">
        <v>790</v>
      </c>
      <c r="C3846" s="333"/>
      <c r="D3846" s="332" t="s">
        <v>791</v>
      </c>
      <c r="E3846" s="333">
        <v>201608</v>
      </c>
      <c r="F3846" s="334">
        <v>123093.21</v>
      </c>
      <c r="G3846" s="332">
        <v>8.5</v>
      </c>
      <c r="H3846" s="381">
        <v>3.1250000000000002E-3</v>
      </c>
      <c r="I3846" s="334">
        <v>3269.66</v>
      </c>
      <c r="J3846" s="334">
        <v>4616</v>
      </c>
    </row>
    <row r="3847" spans="1:10">
      <c r="A3847" s="332" t="s">
        <v>346</v>
      </c>
      <c r="B3847" s="333" t="s">
        <v>840</v>
      </c>
      <c r="C3847" s="333"/>
      <c r="D3847" s="399" t="s">
        <v>841</v>
      </c>
      <c r="E3847" s="333">
        <v>201608</v>
      </c>
      <c r="F3847" s="431">
        <v>9719.6200000000008</v>
      </c>
      <c r="G3847" s="332">
        <v>8.5</v>
      </c>
      <c r="H3847" s="381">
        <v>3.1250000000000002E-3</v>
      </c>
      <c r="I3847" s="334">
        <v>258.18</v>
      </c>
      <c r="J3847" s="334">
        <v>364.49</v>
      </c>
    </row>
    <row r="3848" spans="1:10">
      <c r="A3848" s="332" t="s">
        <v>346</v>
      </c>
      <c r="B3848" s="333" t="s">
        <v>961</v>
      </c>
      <c r="C3848" s="333"/>
      <c r="D3848" s="399" t="s">
        <v>962</v>
      </c>
      <c r="E3848" s="333">
        <v>201608</v>
      </c>
      <c r="F3848" s="431">
        <v>208400.89</v>
      </c>
      <c r="G3848" s="332">
        <v>8.5</v>
      </c>
      <c r="H3848" s="381">
        <v>3.1250000000000002E-3</v>
      </c>
      <c r="I3848" s="334">
        <v>5535.65</v>
      </c>
      <c r="J3848" s="334">
        <v>7815.03</v>
      </c>
    </row>
    <row r="3849" spans="1:10">
      <c r="A3849" s="332" t="s">
        <v>346</v>
      </c>
      <c r="B3849" s="333" t="s">
        <v>963</v>
      </c>
      <c r="C3849" s="333"/>
      <c r="D3849" s="332" t="s">
        <v>964</v>
      </c>
      <c r="E3849" s="333">
        <v>201608</v>
      </c>
      <c r="F3849" s="334">
        <v>20987.07</v>
      </c>
      <c r="G3849" s="332">
        <v>8.5</v>
      </c>
      <c r="H3849" s="381">
        <v>3.1250000000000002E-3</v>
      </c>
      <c r="I3849" s="334">
        <v>557.47</v>
      </c>
      <c r="J3849" s="334">
        <v>787.02</v>
      </c>
    </row>
    <row r="3850" spans="1:10">
      <c r="A3850" s="332" t="s">
        <v>346</v>
      </c>
      <c r="B3850" s="333" t="s">
        <v>965</v>
      </c>
      <c r="C3850" s="333"/>
      <c r="D3850" s="332" t="s">
        <v>966</v>
      </c>
      <c r="E3850" s="333">
        <v>201608</v>
      </c>
      <c r="F3850" s="334">
        <v>60189.01</v>
      </c>
      <c r="G3850" s="332">
        <v>8.5</v>
      </c>
      <c r="H3850" s="381">
        <v>3.1250000000000002E-3</v>
      </c>
      <c r="I3850" s="334">
        <v>1598.77</v>
      </c>
      <c r="J3850" s="334">
        <v>2257.09</v>
      </c>
    </row>
    <row r="3851" spans="1:10">
      <c r="A3851" s="332" t="s">
        <v>346</v>
      </c>
      <c r="B3851" s="333" t="s">
        <v>842</v>
      </c>
      <c r="C3851" s="333"/>
      <c r="D3851" s="399" t="s">
        <v>843</v>
      </c>
      <c r="E3851" s="333">
        <v>201608</v>
      </c>
      <c r="F3851" s="431">
        <v>5.18</v>
      </c>
      <c r="G3851" s="332">
        <v>8.5</v>
      </c>
      <c r="H3851" s="381">
        <v>3.1250000000000002E-3</v>
      </c>
      <c r="I3851" s="334">
        <v>0.14000000000000001</v>
      </c>
      <c r="J3851" s="334">
        <v>0.19</v>
      </c>
    </row>
    <row r="3852" spans="1:10">
      <c r="A3852" s="332" t="s">
        <v>346</v>
      </c>
      <c r="B3852" s="333" t="s">
        <v>860</v>
      </c>
      <c r="C3852" s="333"/>
      <c r="D3852" s="332" t="s">
        <v>861</v>
      </c>
      <c r="E3852" s="333">
        <v>201608</v>
      </c>
      <c r="F3852" s="334">
        <v>9741.59</v>
      </c>
      <c r="G3852" s="332">
        <v>8.5</v>
      </c>
      <c r="H3852" s="381">
        <v>3.1250000000000002E-3</v>
      </c>
      <c r="I3852" s="334">
        <v>258.76</v>
      </c>
      <c r="J3852" s="334">
        <v>365.31</v>
      </c>
    </row>
    <row r="3853" spans="1:10">
      <c r="A3853" s="332" t="s">
        <v>346</v>
      </c>
      <c r="B3853" s="333" t="s">
        <v>678</v>
      </c>
      <c r="C3853" s="333"/>
      <c r="D3853" s="332" t="s">
        <v>679</v>
      </c>
      <c r="E3853" s="333">
        <v>201608</v>
      </c>
      <c r="F3853" s="334">
        <v>2308.13</v>
      </c>
      <c r="G3853" s="332">
        <v>8.5</v>
      </c>
      <c r="H3853" s="381">
        <v>3.1250000000000002E-3</v>
      </c>
      <c r="I3853" s="334">
        <v>61.31</v>
      </c>
      <c r="J3853" s="334">
        <v>86.55</v>
      </c>
    </row>
    <row r="3854" spans="1:10">
      <c r="A3854" s="332" t="s">
        <v>346</v>
      </c>
      <c r="B3854" s="333" t="s">
        <v>862</v>
      </c>
      <c r="C3854" s="333"/>
      <c r="D3854" s="399" t="s">
        <v>863</v>
      </c>
      <c r="E3854" s="333">
        <v>201608</v>
      </c>
      <c r="F3854" s="431">
        <v>30834.82</v>
      </c>
      <c r="G3854" s="332">
        <v>8.5</v>
      </c>
      <c r="H3854" s="381">
        <v>3.1250000000000002E-3</v>
      </c>
      <c r="I3854" s="334">
        <v>819.05</v>
      </c>
      <c r="J3854" s="334">
        <v>1156.31</v>
      </c>
    </row>
    <row r="3855" spans="1:10">
      <c r="A3855" s="332" t="s">
        <v>346</v>
      </c>
      <c r="B3855" s="333" t="s">
        <v>680</v>
      </c>
      <c r="C3855" s="333"/>
      <c r="D3855" s="332" t="s">
        <v>681</v>
      </c>
      <c r="E3855" s="333">
        <v>201608</v>
      </c>
      <c r="F3855" s="334">
        <v>-7536.49</v>
      </c>
      <c r="G3855" s="332">
        <v>8.5</v>
      </c>
      <c r="H3855" s="381">
        <v>3.1250000000000002E-3</v>
      </c>
      <c r="I3855" s="334">
        <v>-200.19</v>
      </c>
      <c r="J3855" s="334">
        <v>-282.62</v>
      </c>
    </row>
    <row r="3856" spans="1:10">
      <c r="A3856" s="332" t="s">
        <v>346</v>
      </c>
      <c r="B3856" s="333" t="s">
        <v>967</v>
      </c>
      <c r="C3856" s="333"/>
      <c r="D3856" s="332" t="s">
        <v>968</v>
      </c>
      <c r="E3856" s="333">
        <v>201608</v>
      </c>
      <c r="F3856" s="334">
        <v>212358.74</v>
      </c>
      <c r="G3856" s="332">
        <v>8.5</v>
      </c>
      <c r="H3856" s="381">
        <v>3.1250000000000002E-3</v>
      </c>
      <c r="I3856" s="334">
        <v>5640.78</v>
      </c>
      <c r="J3856" s="334">
        <v>7963.45</v>
      </c>
    </row>
    <row r="3857" spans="1:10">
      <c r="A3857" s="332" t="s">
        <v>346</v>
      </c>
      <c r="B3857" s="333" t="s">
        <v>682</v>
      </c>
      <c r="C3857" s="333"/>
      <c r="D3857" s="332" t="s">
        <v>683</v>
      </c>
      <c r="E3857" s="333">
        <v>201608</v>
      </c>
      <c r="F3857" s="334">
        <v>31948.57</v>
      </c>
      <c r="G3857" s="332">
        <v>8.5</v>
      </c>
      <c r="H3857" s="381">
        <v>3.1250000000000002E-3</v>
      </c>
      <c r="I3857" s="334">
        <v>848.63</v>
      </c>
      <c r="J3857" s="334">
        <v>1198.07</v>
      </c>
    </row>
    <row r="3858" spans="1:10">
      <c r="A3858" s="332" t="s">
        <v>346</v>
      </c>
      <c r="B3858" s="333" t="s">
        <v>846</v>
      </c>
      <c r="C3858" s="333"/>
      <c r="D3858" s="399" t="s">
        <v>847</v>
      </c>
      <c r="E3858" s="333">
        <v>201608</v>
      </c>
      <c r="F3858" s="431">
        <v>-7656.83</v>
      </c>
      <c r="G3858" s="332">
        <v>8.5</v>
      </c>
      <c r="H3858" s="381">
        <v>3.1250000000000002E-3</v>
      </c>
      <c r="I3858" s="334">
        <v>-203.38</v>
      </c>
      <c r="J3858" s="334">
        <v>-287.13</v>
      </c>
    </row>
    <row r="3859" spans="1:10">
      <c r="A3859" s="332" t="s">
        <v>346</v>
      </c>
      <c r="B3859" s="333" t="s">
        <v>684</v>
      </c>
      <c r="C3859" s="333"/>
      <c r="D3859" s="332" t="s">
        <v>685</v>
      </c>
      <c r="E3859" s="333">
        <v>201608</v>
      </c>
      <c r="F3859" s="334">
        <v>-5.33</v>
      </c>
      <c r="G3859" s="332">
        <v>8.5</v>
      </c>
      <c r="H3859" s="381">
        <v>3.1250000000000002E-3</v>
      </c>
      <c r="I3859" s="334">
        <v>-0.14000000000000001</v>
      </c>
      <c r="J3859" s="334">
        <v>-0.2</v>
      </c>
    </row>
    <row r="3860" spans="1:10">
      <c r="A3860" s="332" t="s">
        <v>346</v>
      </c>
      <c r="B3860" s="333" t="s">
        <v>822</v>
      </c>
      <c r="C3860" s="333"/>
      <c r="D3860" s="332" t="s">
        <v>823</v>
      </c>
      <c r="E3860" s="333">
        <v>201608</v>
      </c>
      <c r="F3860" s="334">
        <v>6959.71</v>
      </c>
      <c r="G3860" s="332">
        <v>8.5</v>
      </c>
      <c r="H3860" s="381">
        <v>3.1250000000000002E-3</v>
      </c>
      <c r="I3860" s="334">
        <v>184.87</v>
      </c>
      <c r="J3860" s="334">
        <v>260.99</v>
      </c>
    </row>
    <row r="3861" spans="1:10">
      <c r="A3861" s="332" t="s">
        <v>346</v>
      </c>
      <c r="B3861" s="333" t="s">
        <v>690</v>
      </c>
      <c r="C3861" s="333"/>
      <c r="D3861" s="332" t="s">
        <v>691</v>
      </c>
      <c r="E3861" s="333">
        <v>201608</v>
      </c>
      <c r="F3861" s="334">
        <v>3617.07</v>
      </c>
      <c r="G3861" s="332">
        <v>8.5</v>
      </c>
      <c r="H3861" s="381">
        <v>3.1250000000000002E-3</v>
      </c>
      <c r="I3861" s="334">
        <v>96.08</v>
      </c>
      <c r="J3861" s="334">
        <v>135.63999999999999</v>
      </c>
    </row>
    <row r="3862" spans="1:10">
      <c r="A3862" s="332" t="s">
        <v>346</v>
      </c>
      <c r="B3862" s="333" t="s">
        <v>973</v>
      </c>
      <c r="C3862" s="333"/>
      <c r="D3862" s="332" t="s">
        <v>974</v>
      </c>
      <c r="E3862" s="333">
        <v>201608</v>
      </c>
      <c r="F3862" s="334">
        <v>182329.91</v>
      </c>
      <c r="G3862" s="332">
        <v>8.5</v>
      </c>
      <c r="H3862" s="381">
        <v>3.1250000000000002E-3</v>
      </c>
      <c r="I3862" s="334">
        <v>4843.1400000000003</v>
      </c>
      <c r="J3862" s="334">
        <v>6837.37</v>
      </c>
    </row>
    <row r="3863" spans="1:10">
      <c r="A3863" s="332" t="s">
        <v>346</v>
      </c>
      <c r="B3863" s="333" t="s">
        <v>868</v>
      </c>
      <c r="C3863" s="333"/>
      <c r="D3863" s="332" t="s">
        <v>869</v>
      </c>
      <c r="E3863" s="333">
        <v>201608</v>
      </c>
      <c r="F3863" s="334">
        <v>10737.35</v>
      </c>
      <c r="G3863" s="332">
        <v>8.5</v>
      </c>
      <c r="H3863" s="381">
        <v>3.1250000000000002E-3</v>
      </c>
      <c r="I3863" s="334">
        <v>285.20999999999998</v>
      </c>
      <c r="J3863" s="334">
        <v>402.65</v>
      </c>
    </row>
    <row r="3864" spans="1:10">
      <c r="A3864" s="332" t="s">
        <v>346</v>
      </c>
      <c r="B3864" s="333" t="s">
        <v>692</v>
      </c>
      <c r="C3864" s="333"/>
      <c r="D3864" s="332" t="s">
        <v>693</v>
      </c>
      <c r="E3864" s="333">
        <v>201608</v>
      </c>
      <c r="F3864" s="334">
        <v>28.39</v>
      </c>
      <c r="G3864" s="332">
        <v>8.5</v>
      </c>
      <c r="H3864" s="381">
        <v>3.1250000000000002E-3</v>
      </c>
      <c r="I3864" s="334">
        <v>0.75</v>
      </c>
      <c r="J3864" s="334">
        <v>1.06</v>
      </c>
    </row>
    <row r="3865" spans="1:10">
      <c r="A3865" s="332" t="s">
        <v>346</v>
      </c>
      <c r="B3865" s="333" t="s">
        <v>694</v>
      </c>
      <c r="C3865" s="333"/>
      <c r="D3865" s="332" t="s">
        <v>695</v>
      </c>
      <c r="E3865" s="333">
        <v>201608</v>
      </c>
      <c r="F3865" s="334">
        <v>2.72</v>
      </c>
      <c r="G3865" s="332">
        <v>8.5</v>
      </c>
      <c r="H3865" s="381">
        <v>3.1250000000000002E-3</v>
      </c>
      <c r="I3865" s="334">
        <v>7.0000000000000007E-2</v>
      </c>
      <c r="J3865" s="334">
        <v>0.1</v>
      </c>
    </row>
    <row r="3866" spans="1:10">
      <c r="A3866" s="332" t="s">
        <v>346</v>
      </c>
      <c r="B3866" s="333" t="s">
        <v>696</v>
      </c>
      <c r="C3866" s="333"/>
      <c r="D3866" s="399" t="s">
        <v>697</v>
      </c>
      <c r="E3866" s="333">
        <v>201608</v>
      </c>
      <c r="F3866" s="431">
        <v>-0.27</v>
      </c>
      <c r="G3866" s="332">
        <v>8.5</v>
      </c>
      <c r="H3866" s="381">
        <v>3.1250000000000002E-3</v>
      </c>
      <c r="I3866" s="334">
        <v>-0.01</v>
      </c>
      <c r="J3866" s="334">
        <v>-0.01</v>
      </c>
    </row>
    <row r="3867" spans="1:10">
      <c r="A3867" s="332" t="s">
        <v>346</v>
      </c>
      <c r="B3867" s="333" t="s">
        <v>700</v>
      </c>
      <c r="C3867" s="333"/>
      <c r="D3867" s="332" t="s">
        <v>701</v>
      </c>
      <c r="E3867" s="333">
        <v>201608</v>
      </c>
      <c r="F3867" s="334">
        <v>592.54999999999995</v>
      </c>
      <c r="G3867" s="332">
        <v>8.5</v>
      </c>
      <c r="H3867" s="381">
        <v>3.1250000000000002E-3</v>
      </c>
      <c r="I3867" s="334">
        <v>15.74</v>
      </c>
      <c r="J3867" s="334">
        <v>22.22</v>
      </c>
    </row>
    <row r="3868" spans="1:10">
      <c r="A3868" s="332" t="s">
        <v>346</v>
      </c>
      <c r="B3868" s="333" t="s">
        <v>794</v>
      </c>
      <c r="C3868" s="333"/>
      <c r="D3868" s="332" t="s">
        <v>795</v>
      </c>
      <c r="E3868" s="333">
        <v>201608</v>
      </c>
      <c r="F3868" s="334">
        <v>771.67</v>
      </c>
      <c r="G3868" s="332">
        <v>8.5</v>
      </c>
      <c r="H3868" s="381">
        <v>3.1250000000000002E-3</v>
      </c>
      <c r="I3868" s="334">
        <v>20.5</v>
      </c>
      <c r="J3868" s="334">
        <v>28.94</v>
      </c>
    </row>
    <row r="3869" spans="1:10">
      <c r="A3869" s="332" t="s">
        <v>346</v>
      </c>
      <c r="B3869" s="333" t="s">
        <v>702</v>
      </c>
      <c r="C3869" s="333"/>
      <c r="D3869" s="399" t="s">
        <v>703</v>
      </c>
      <c r="E3869" s="333">
        <v>201608</v>
      </c>
      <c r="F3869" s="431">
        <v>4.32</v>
      </c>
      <c r="G3869" s="332">
        <v>8.5</v>
      </c>
      <c r="H3869" s="381">
        <v>3.1250000000000002E-3</v>
      </c>
      <c r="I3869" s="334">
        <v>0.11</v>
      </c>
      <c r="J3869" s="334">
        <v>0.16</v>
      </c>
    </row>
    <row r="3870" spans="1:10">
      <c r="A3870" s="332" t="s">
        <v>346</v>
      </c>
      <c r="B3870" s="333" t="s">
        <v>975</v>
      </c>
      <c r="C3870" s="333"/>
      <c r="D3870" s="399" t="s">
        <v>976</v>
      </c>
      <c r="E3870" s="333">
        <v>201608</v>
      </c>
      <c r="F3870" s="431">
        <v>100481.53</v>
      </c>
      <c r="G3870" s="332">
        <v>8.5</v>
      </c>
      <c r="H3870" s="381">
        <v>3.1250000000000002E-3</v>
      </c>
      <c r="I3870" s="334">
        <v>2669.04</v>
      </c>
      <c r="J3870" s="334">
        <v>3768.06</v>
      </c>
    </row>
    <row r="3871" spans="1:10">
      <c r="A3871" s="332" t="s">
        <v>346</v>
      </c>
      <c r="B3871" s="333" t="s">
        <v>852</v>
      </c>
      <c r="C3871" s="333"/>
      <c r="D3871" s="332" t="s">
        <v>853</v>
      </c>
      <c r="E3871" s="333">
        <v>201608</v>
      </c>
      <c r="F3871" s="334">
        <v>9585.52</v>
      </c>
      <c r="G3871" s="332">
        <v>8.5</v>
      </c>
      <c r="H3871" s="381">
        <v>3.1250000000000002E-3</v>
      </c>
      <c r="I3871" s="334">
        <v>254.62</v>
      </c>
      <c r="J3871" s="334">
        <v>359.46</v>
      </c>
    </row>
    <row r="3872" spans="1:10">
      <c r="A3872" s="332" t="s">
        <v>346</v>
      </c>
      <c r="B3872" s="333" t="s">
        <v>870</v>
      </c>
      <c r="C3872" s="333"/>
      <c r="D3872" s="332" t="s">
        <v>871</v>
      </c>
      <c r="E3872" s="333">
        <v>201608</v>
      </c>
      <c r="F3872" s="334">
        <v>35.04</v>
      </c>
      <c r="G3872" s="332">
        <v>8.5</v>
      </c>
      <c r="H3872" s="381">
        <v>3.1250000000000002E-3</v>
      </c>
      <c r="I3872" s="334">
        <v>0.93</v>
      </c>
      <c r="J3872" s="334">
        <v>1.31</v>
      </c>
    </row>
    <row r="3873" spans="1:10">
      <c r="A3873" s="332" t="s">
        <v>346</v>
      </c>
      <c r="B3873" s="333" t="s">
        <v>872</v>
      </c>
      <c r="C3873" s="333"/>
      <c r="D3873" s="399" t="s">
        <v>873</v>
      </c>
      <c r="E3873" s="333">
        <v>201608</v>
      </c>
      <c r="F3873" s="431">
        <v>-2020.92</v>
      </c>
      <c r="G3873" s="332">
        <v>8.5</v>
      </c>
      <c r="H3873" s="381">
        <v>3.1250000000000002E-3</v>
      </c>
      <c r="I3873" s="334">
        <v>-53.68</v>
      </c>
      <c r="J3873" s="334">
        <v>-75.78</v>
      </c>
    </row>
    <row r="3874" spans="1:10">
      <c r="A3874" s="332" t="s">
        <v>346</v>
      </c>
      <c r="B3874" s="333" t="s">
        <v>977</v>
      </c>
      <c r="C3874" s="333"/>
      <c r="D3874" s="399" t="s">
        <v>978</v>
      </c>
      <c r="E3874" s="333">
        <v>201608</v>
      </c>
      <c r="F3874" s="431">
        <v>41414.29</v>
      </c>
      <c r="G3874" s="332">
        <v>8.5</v>
      </c>
      <c r="H3874" s="381">
        <v>3.1250000000000002E-3</v>
      </c>
      <c r="I3874" s="334">
        <v>1100.07</v>
      </c>
      <c r="J3874" s="334">
        <v>1553.04</v>
      </c>
    </row>
    <row r="3875" spans="1:10">
      <c r="A3875" s="332" t="s">
        <v>346</v>
      </c>
      <c r="B3875" s="333" t="s">
        <v>826</v>
      </c>
      <c r="C3875" s="333"/>
      <c r="D3875" s="399" t="s">
        <v>827</v>
      </c>
      <c r="E3875" s="333">
        <v>201608</v>
      </c>
      <c r="F3875" s="431">
        <v>12912.1</v>
      </c>
      <c r="G3875" s="332">
        <v>8.5</v>
      </c>
      <c r="H3875" s="381">
        <v>3.1250000000000002E-3</v>
      </c>
      <c r="I3875" s="334">
        <v>342.98</v>
      </c>
      <c r="J3875" s="334">
        <v>484.2</v>
      </c>
    </row>
    <row r="3876" spans="1:10">
      <c r="A3876" s="332" t="s">
        <v>346</v>
      </c>
      <c r="B3876" s="333" t="s">
        <v>979</v>
      </c>
      <c r="C3876" s="333"/>
      <c r="D3876" s="332" t="s">
        <v>980</v>
      </c>
      <c r="E3876" s="333">
        <v>201608</v>
      </c>
      <c r="F3876" s="334">
        <v>74134.83</v>
      </c>
      <c r="G3876" s="332">
        <v>8.5</v>
      </c>
      <c r="H3876" s="381">
        <v>3.1250000000000002E-3</v>
      </c>
      <c r="I3876" s="334">
        <v>1969.21</v>
      </c>
      <c r="J3876" s="334">
        <v>2780.06</v>
      </c>
    </row>
    <row r="3877" spans="1:10">
      <c r="A3877" s="332" t="s">
        <v>346</v>
      </c>
      <c r="B3877" s="333" t="s">
        <v>981</v>
      </c>
      <c r="C3877" s="333"/>
      <c r="D3877" s="332" t="s">
        <v>1014</v>
      </c>
      <c r="E3877" s="333">
        <v>201608</v>
      </c>
      <c r="F3877" s="334">
        <v>63246.07</v>
      </c>
      <c r="G3877" s="332">
        <v>8.5</v>
      </c>
      <c r="H3877" s="381">
        <v>3.1250000000000002E-3</v>
      </c>
      <c r="I3877" s="334">
        <v>1679.97</v>
      </c>
      <c r="J3877" s="334">
        <v>2371.73</v>
      </c>
    </row>
    <row r="3878" spans="1:10">
      <c r="A3878" s="332" t="s">
        <v>346</v>
      </c>
      <c r="B3878" s="333" t="s">
        <v>874</v>
      </c>
      <c r="C3878" s="333"/>
      <c r="D3878" s="399" t="s">
        <v>875</v>
      </c>
      <c r="E3878" s="333">
        <v>201608</v>
      </c>
      <c r="F3878" s="431">
        <v>6795.33</v>
      </c>
      <c r="G3878" s="332">
        <v>8.5</v>
      </c>
      <c r="H3878" s="381">
        <v>3.1250000000000002E-3</v>
      </c>
      <c r="I3878" s="334">
        <v>180.5</v>
      </c>
      <c r="J3878" s="334">
        <v>254.82</v>
      </c>
    </row>
    <row r="3879" spans="1:10">
      <c r="A3879" s="332" t="s">
        <v>346</v>
      </c>
      <c r="B3879" s="333" t="s">
        <v>983</v>
      </c>
      <c r="C3879" s="333"/>
      <c r="D3879" s="332" t="s">
        <v>984</v>
      </c>
      <c r="E3879" s="333">
        <v>201608</v>
      </c>
      <c r="F3879" s="334">
        <v>143887.95000000001</v>
      </c>
      <c r="G3879" s="332">
        <v>8.5</v>
      </c>
      <c r="H3879" s="381">
        <v>3.1250000000000002E-3</v>
      </c>
      <c r="I3879" s="334">
        <v>3822.02</v>
      </c>
      <c r="J3879" s="334">
        <v>5395.8</v>
      </c>
    </row>
    <row r="3880" spans="1:10">
      <c r="A3880" s="332" t="s">
        <v>346</v>
      </c>
      <c r="B3880" s="333" t="s">
        <v>876</v>
      </c>
      <c r="C3880" s="333"/>
      <c r="D3880" s="399" t="s">
        <v>877</v>
      </c>
      <c r="E3880" s="333">
        <v>201608</v>
      </c>
      <c r="F3880" s="431">
        <v>7480.24</v>
      </c>
      <c r="G3880" s="332">
        <v>8.5</v>
      </c>
      <c r="H3880" s="381">
        <v>3.1250000000000002E-3</v>
      </c>
      <c r="I3880" s="334">
        <v>198.69</v>
      </c>
      <c r="J3880" s="334">
        <v>280.51</v>
      </c>
    </row>
    <row r="3881" spans="1:10">
      <c r="A3881" s="332" t="s">
        <v>346</v>
      </c>
      <c r="B3881" s="333" t="s">
        <v>985</v>
      </c>
      <c r="C3881" s="333"/>
      <c r="D3881" s="332" t="s">
        <v>986</v>
      </c>
      <c r="E3881" s="333">
        <v>201608</v>
      </c>
      <c r="F3881" s="334">
        <v>47428.11</v>
      </c>
      <c r="G3881" s="332">
        <v>8.5</v>
      </c>
      <c r="H3881" s="381">
        <v>3.1250000000000002E-3</v>
      </c>
      <c r="I3881" s="334">
        <v>1259.81</v>
      </c>
      <c r="J3881" s="334">
        <v>1778.55</v>
      </c>
    </row>
    <row r="3882" spans="1:10">
      <c r="A3882" s="332" t="s">
        <v>346</v>
      </c>
      <c r="B3882" s="333" t="s">
        <v>878</v>
      </c>
      <c r="C3882" s="333"/>
      <c r="D3882" s="332" t="s">
        <v>879</v>
      </c>
      <c r="E3882" s="333">
        <v>201608</v>
      </c>
      <c r="F3882" s="334">
        <v>4087.67</v>
      </c>
      <c r="G3882" s="332">
        <v>8.5</v>
      </c>
      <c r="H3882" s="381">
        <v>3.1250000000000002E-3</v>
      </c>
      <c r="I3882" s="334">
        <v>108.58</v>
      </c>
      <c r="J3882" s="334">
        <v>153.29</v>
      </c>
    </row>
    <row r="3883" spans="1:10">
      <c r="A3883" s="332" t="s">
        <v>346</v>
      </c>
      <c r="B3883" s="333" t="s">
        <v>987</v>
      </c>
      <c r="C3883" s="333"/>
      <c r="D3883" s="399" t="s">
        <v>988</v>
      </c>
      <c r="E3883" s="333">
        <v>201608</v>
      </c>
      <c r="F3883" s="431">
        <v>81814.600000000006</v>
      </c>
      <c r="G3883" s="332">
        <v>8.5</v>
      </c>
      <c r="H3883" s="381">
        <v>3.1250000000000002E-3</v>
      </c>
      <c r="I3883" s="334">
        <v>2173.1999999999998</v>
      </c>
      <c r="J3883" s="334">
        <v>3068.05</v>
      </c>
    </row>
    <row r="3884" spans="1:10">
      <c r="A3884" s="332" t="s">
        <v>346</v>
      </c>
      <c r="B3884" s="333" t="s">
        <v>989</v>
      </c>
      <c r="C3884" s="333"/>
      <c r="D3884" s="399" t="s">
        <v>990</v>
      </c>
      <c r="E3884" s="333">
        <v>201608</v>
      </c>
      <c r="F3884" s="431">
        <v>114935.32</v>
      </c>
      <c r="G3884" s="332">
        <v>8.5</v>
      </c>
      <c r="H3884" s="381">
        <v>3.1250000000000002E-3</v>
      </c>
      <c r="I3884" s="334">
        <v>3052.97</v>
      </c>
      <c r="J3884" s="334">
        <v>4310.07</v>
      </c>
    </row>
    <row r="3885" spans="1:10">
      <c r="A3885" s="332" t="s">
        <v>346</v>
      </c>
      <c r="B3885" s="333" t="s">
        <v>991</v>
      </c>
      <c r="C3885" s="333"/>
      <c r="D3885" s="332" t="s">
        <v>992</v>
      </c>
      <c r="E3885" s="333">
        <v>201608</v>
      </c>
      <c r="F3885" s="334">
        <v>23439.22</v>
      </c>
      <c r="G3885" s="332">
        <v>8.5</v>
      </c>
      <c r="H3885" s="381">
        <v>3.1250000000000002E-3</v>
      </c>
      <c r="I3885" s="334">
        <v>622.6</v>
      </c>
      <c r="J3885" s="334">
        <v>878.97</v>
      </c>
    </row>
    <row r="3886" spans="1:10">
      <c r="A3886" s="332" t="s">
        <v>346</v>
      </c>
      <c r="B3886" s="333" t="s">
        <v>880</v>
      </c>
      <c r="C3886" s="333"/>
      <c r="D3886" s="332" t="s">
        <v>881</v>
      </c>
      <c r="E3886" s="333">
        <v>201608</v>
      </c>
      <c r="F3886" s="334">
        <v>8076.01</v>
      </c>
      <c r="G3886" s="332">
        <v>8.5</v>
      </c>
      <c r="H3886" s="381">
        <v>3.1250000000000002E-3</v>
      </c>
      <c r="I3886" s="334">
        <v>214.52</v>
      </c>
      <c r="J3886" s="334">
        <v>302.85000000000002</v>
      </c>
    </row>
    <row r="3887" spans="1:10">
      <c r="A3887" s="332" t="s">
        <v>346</v>
      </c>
      <c r="B3887" s="333" t="s">
        <v>993</v>
      </c>
      <c r="C3887" s="333"/>
      <c r="D3887" s="399" t="s">
        <v>994</v>
      </c>
      <c r="E3887" s="333">
        <v>201608</v>
      </c>
      <c r="F3887" s="431">
        <v>195204.76</v>
      </c>
      <c r="G3887" s="332">
        <v>8.5</v>
      </c>
      <c r="H3887" s="381">
        <v>3.1250000000000002E-3</v>
      </c>
      <c r="I3887" s="334">
        <v>5185.13</v>
      </c>
      <c r="J3887" s="334">
        <v>7320.18</v>
      </c>
    </row>
    <row r="3888" spans="1:10">
      <c r="A3888" s="332" t="s">
        <v>346</v>
      </c>
      <c r="B3888" s="333" t="s">
        <v>882</v>
      </c>
      <c r="C3888" s="333"/>
      <c r="D3888" s="399" t="s">
        <v>995</v>
      </c>
      <c r="E3888" s="333">
        <v>201608</v>
      </c>
      <c r="F3888" s="431">
        <v>902.97</v>
      </c>
      <c r="G3888" s="332">
        <v>8.5</v>
      </c>
      <c r="H3888" s="381">
        <v>3.1250000000000002E-3</v>
      </c>
      <c r="I3888" s="334">
        <v>23.99</v>
      </c>
      <c r="J3888" s="334">
        <v>33.86</v>
      </c>
    </row>
    <row r="3889" spans="1:17">
      <c r="A3889" s="332" t="s">
        <v>346</v>
      </c>
      <c r="B3889" s="333" t="s">
        <v>996</v>
      </c>
      <c r="C3889" s="333"/>
      <c r="D3889" s="332" t="s">
        <v>997</v>
      </c>
      <c r="E3889" s="333">
        <v>201608</v>
      </c>
      <c r="F3889" s="334">
        <v>311603.78000000003</v>
      </c>
      <c r="G3889" s="332">
        <v>8.5</v>
      </c>
      <c r="H3889" s="381">
        <v>3.1250000000000002E-3</v>
      </c>
      <c r="I3889" s="334">
        <v>8276.98</v>
      </c>
      <c r="J3889" s="334">
        <v>11685.14</v>
      </c>
    </row>
    <row r="3890" spans="1:17">
      <c r="A3890" s="332" t="s">
        <v>346</v>
      </c>
      <c r="B3890" s="333" t="s">
        <v>854</v>
      </c>
      <c r="C3890" s="333"/>
      <c r="D3890" s="332" t="s">
        <v>855</v>
      </c>
      <c r="E3890" s="333">
        <v>201608</v>
      </c>
      <c r="F3890" s="334">
        <v>4603.84</v>
      </c>
      <c r="G3890" s="332">
        <v>8.5</v>
      </c>
      <c r="H3890" s="381">
        <v>3.1250000000000002E-3</v>
      </c>
      <c r="I3890" s="334">
        <v>122.29</v>
      </c>
      <c r="J3890" s="334">
        <v>172.64</v>
      </c>
    </row>
    <row r="3891" spans="1:17">
      <c r="A3891" s="332" t="s">
        <v>346</v>
      </c>
      <c r="B3891" s="333" t="s">
        <v>887</v>
      </c>
      <c r="C3891" s="333"/>
      <c r="D3891" s="399" t="s">
        <v>888</v>
      </c>
      <c r="E3891" s="333">
        <v>201608</v>
      </c>
      <c r="F3891" s="431">
        <v>287.45999999999998</v>
      </c>
      <c r="G3891" s="332">
        <v>8.5</v>
      </c>
      <c r="H3891" s="381">
        <v>3.1250000000000002E-3</v>
      </c>
      <c r="I3891" s="334">
        <v>7.64</v>
      </c>
      <c r="J3891" s="334">
        <v>10.78</v>
      </c>
    </row>
    <row r="3892" spans="1:17">
      <c r="A3892" s="332" t="s">
        <v>346</v>
      </c>
      <c r="B3892" s="333" t="s">
        <v>1004</v>
      </c>
      <c r="C3892" s="333"/>
      <c r="D3892" s="332" t="s">
        <v>1005</v>
      </c>
      <c r="E3892" s="333">
        <v>201608</v>
      </c>
      <c r="F3892" s="334">
        <v>706.33</v>
      </c>
      <c r="G3892" s="332">
        <v>8.5</v>
      </c>
      <c r="H3892" s="381">
        <v>3.1250000000000002E-3</v>
      </c>
      <c r="I3892" s="334">
        <v>18.760000000000002</v>
      </c>
      <c r="J3892" s="334">
        <v>26.49</v>
      </c>
    </row>
    <row r="3893" spans="1:17">
      <c r="A3893" s="332" t="s">
        <v>346</v>
      </c>
      <c r="B3893" s="333" t="s">
        <v>889</v>
      </c>
      <c r="C3893" s="333"/>
      <c r="D3893" s="332" t="s">
        <v>890</v>
      </c>
      <c r="E3893" s="333">
        <v>201608</v>
      </c>
      <c r="F3893" s="334">
        <v>48.11</v>
      </c>
      <c r="G3893" s="332">
        <v>8.5</v>
      </c>
      <c r="H3893" s="381">
        <v>3.1250000000000002E-3</v>
      </c>
      <c r="I3893" s="334">
        <v>1.28</v>
      </c>
      <c r="J3893" s="334">
        <v>1.8</v>
      </c>
    </row>
    <row r="3894" spans="1:17">
      <c r="A3894" s="332" t="s">
        <v>346</v>
      </c>
      <c r="B3894" s="333" t="s">
        <v>1006</v>
      </c>
      <c r="C3894" s="333"/>
      <c r="D3894" s="399" t="s">
        <v>1007</v>
      </c>
      <c r="E3894" s="333">
        <v>201608</v>
      </c>
      <c r="F3894" s="431">
        <v>15819.93</v>
      </c>
      <c r="G3894" s="332">
        <v>8.5</v>
      </c>
      <c r="H3894" s="381">
        <v>3.1250000000000002E-3</v>
      </c>
      <c r="I3894" s="334">
        <v>420.22</v>
      </c>
      <c r="J3894" s="334">
        <v>593.25</v>
      </c>
    </row>
    <row r="3895" spans="1:17">
      <c r="A3895" s="332" t="s">
        <v>346</v>
      </c>
      <c r="B3895" s="333" t="s">
        <v>592</v>
      </c>
      <c r="C3895" s="333"/>
      <c r="D3895" s="332" t="s">
        <v>593</v>
      </c>
      <c r="E3895" s="333">
        <v>201608</v>
      </c>
      <c r="F3895" s="334">
        <v>-0.01</v>
      </c>
      <c r="G3895" s="332">
        <v>8.5</v>
      </c>
      <c r="H3895" s="381">
        <v>3.1250000000000002E-3</v>
      </c>
      <c r="I3895" s="334">
        <v>0</v>
      </c>
      <c r="J3895" s="334">
        <v>0</v>
      </c>
    </row>
    <row r="3896" spans="1:17">
      <c r="A3896" s="332" t="s">
        <v>346</v>
      </c>
      <c r="B3896" s="333" t="s">
        <v>708</v>
      </c>
      <c r="C3896" s="333"/>
      <c r="D3896" s="399" t="s">
        <v>709</v>
      </c>
      <c r="E3896" s="333">
        <v>201608</v>
      </c>
      <c r="F3896" s="431">
        <v>499.55</v>
      </c>
      <c r="G3896" s="332">
        <v>8.5</v>
      </c>
      <c r="H3896" s="381">
        <v>3.1250000000000002E-3</v>
      </c>
      <c r="I3896" s="334">
        <v>13.27</v>
      </c>
      <c r="J3896" s="334">
        <v>18.73</v>
      </c>
    </row>
    <row r="3897" spans="1:17">
      <c r="A3897" s="332" t="s">
        <v>346</v>
      </c>
      <c r="B3897" s="333" t="s">
        <v>717</v>
      </c>
      <c r="C3897" s="333"/>
      <c r="D3897" s="332" t="s">
        <v>718</v>
      </c>
      <c r="E3897" s="333">
        <v>201608</v>
      </c>
      <c r="F3897" s="334">
        <v>178.42</v>
      </c>
      <c r="G3897" s="332">
        <v>8.5</v>
      </c>
      <c r="H3897" s="381">
        <v>3.1250000000000002E-3</v>
      </c>
      <c r="I3897" s="334">
        <v>4.74</v>
      </c>
      <c r="J3897" s="334">
        <v>6.69</v>
      </c>
    </row>
    <row r="3898" spans="1:17">
      <c r="A3898" s="332" t="s">
        <v>346</v>
      </c>
      <c r="B3898" s="333" t="s">
        <v>723</v>
      </c>
      <c r="C3898" s="333"/>
      <c r="D3898" s="399" t="s">
        <v>724</v>
      </c>
      <c r="E3898" s="333">
        <v>201608</v>
      </c>
      <c r="F3898" s="431">
        <v>0.56999999999999995</v>
      </c>
      <c r="G3898" s="332">
        <v>8.5</v>
      </c>
      <c r="H3898" s="381">
        <v>3.1250000000000002E-3</v>
      </c>
      <c r="I3898" s="334">
        <v>0.02</v>
      </c>
      <c r="J3898" s="334">
        <v>0.02</v>
      </c>
    </row>
    <row r="3899" spans="1:17">
      <c r="A3899" s="332" t="s">
        <v>346</v>
      </c>
      <c r="B3899" s="333" t="s">
        <v>712</v>
      </c>
      <c r="C3899" s="333"/>
      <c r="D3899" s="332" t="s">
        <v>713</v>
      </c>
      <c r="E3899" s="333">
        <v>201608</v>
      </c>
      <c r="F3899" s="334">
        <v>-10.050000000000001</v>
      </c>
      <c r="G3899" s="332">
        <v>8.5</v>
      </c>
      <c r="H3899" s="381">
        <v>3.1250000000000002E-3</v>
      </c>
      <c r="I3899" s="334">
        <v>-0.27</v>
      </c>
      <c r="J3899" s="334">
        <v>-0.38</v>
      </c>
      <c r="Q3899" s="101" t="e">
        <f>IF(E3899&lt;=$Q$1,$S$5,#REF!)</f>
        <v>#REF!</v>
      </c>
    </row>
    <row r="3900" spans="1:17">
      <c r="A3900" s="332" t="s">
        <v>346</v>
      </c>
      <c r="B3900" s="333" t="s">
        <v>614</v>
      </c>
      <c r="C3900" s="333"/>
      <c r="D3900" s="399" t="s">
        <v>714</v>
      </c>
      <c r="E3900" s="333">
        <v>201608</v>
      </c>
      <c r="F3900" s="431">
        <v>-0.01</v>
      </c>
      <c r="G3900" s="332">
        <v>8.5</v>
      </c>
      <c r="H3900" s="381">
        <v>3.1250000000000002E-3</v>
      </c>
      <c r="I3900" s="334">
        <v>0</v>
      </c>
      <c r="J3900" s="334">
        <v>0</v>
      </c>
      <c r="Q3900" s="101" t="e">
        <f>IF(E3900&lt;=$Q$1,$S$5,#REF!)</f>
        <v>#REF!</v>
      </c>
    </row>
    <row r="3901" spans="1:17">
      <c r="A3901" s="332" t="s">
        <v>346</v>
      </c>
      <c r="B3901" s="333" t="s">
        <v>729</v>
      </c>
      <c r="C3901" s="333"/>
      <c r="D3901" s="332" t="s">
        <v>730</v>
      </c>
      <c r="E3901" s="333">
        <v>201608</v>
      </c>
      <c r="F3901" s="334">
        <v>75.25</v>
      </c>
      <c r="G3901" s="332">
        <v>8.5</v>
      </c>
      <c r="H3901" s="381">
        <v>3.1250000000000002E-3</v>
      </c>
      <c r="I3901" s="334">
        <v>2</v>
      </c>
      <c r="J3901" s="334">
        <v>2.82</v>
      </c>
      <c r="Q3901" s="101" t="e">
        <f>IF(E3901&lt;=$Q$1,$S$5,#REF!)</f>
        <v>#REF!</v>
      </c>
    </row>
    <row r="3902" spans="1:17">
      <c r="A3902" s="332" t="s">
        <v>346</v>
      </c>
      <c r="B3902" s="333" t="s">
        <v>710</v>
      </c>
      <c r="C3902" s="333"/>
      <c r="D3902" s="399" t="s">
        <v>711</v>
      </c>
      <c r="E3902" s="333">
        <v>201608</v>
      </c>
      <c r="F3902" s="431">
        <v>5.2</v>
      </c>
      <c r="G3902" s="332">
        <v>8.5</v>
      </c>
      <c r="H3902" s="381">
        <v>3.1250000000000002E-3</v>
      </c>
      <c r="I3902" s="334">
        <v>0.14000000000000001</v>
      </c>
      <c r="J3902" s="334">
        <v>0.2</v>
      </c>
      <c r="Q3902" s="101" t="e">
        <f>IF(E3902&lt;=$Q$1,$S$5,#REF!)</f>
        <v>#REF!</v>
      </c>
    </row>
    <row r="3903" spans="1:17">
      <c r="A3903" s="332" t="s">
        <v>346</v>
      </c>
      <c r="B3903" s="333" t="s">
        <v>731</v>
      </c>
      <c r="C3903" s="333"/>
      <c r="D3903" s="332" t="s">
        <v>732</v>
      </c>
      <c r="E3903" s="333">
        <v>201608</v>
      </c>
      <c r="F3903" s="334">
        <v>-562.62</v>
      </c>
      <c r="G3903" s="332">
        <v>8.5</v>
      </c>
      <c r="H3903" s="381">
        <v>3.1250000000000002E-3</v>
      </c>
      <c r="I3903" s="334">
        <v>-14.94</v>
      </c>
      <c r="J3903" s="334">
        <v>-21.1</v>
      </c>
      <c r="Q3903" s="101" t="e">
        <f>IF(E3903&lt;=$Q$1,$S$5,#REF!)</f>
        <v>#REF!</v>
      </c>
    </row>
    <row r="3904" spans="1:17">
      <c r="A3904" s="332" t="s">
        <v>346</v>
      </c>
      <c r="B3904" s="333" t="s">
        <v>365</v>
      </c>
      <c r="C3904" s="333"/>
      <c r="D3904" s="399" t="s">
        <v>366</v>
      </c>
      <c r="E3904" s="333">
        <v>201608</v>
      </c>
      <c r="F3904" s="431">
        <v>-332.19</v>
      </c>
      <c r="G3904" s="332">
        <v>8.5</v>
      </c>
      <c r="H3904" s="381">
        <v>3.1250000000000002E-3</v>
      </c>
      <c r="I3904" s="334">
        <v>-8.82</v>
      </c>
      <c r="J3904" s="334">
        <v>-12.46</v>
      </c>
      <c r="Q3904" s="101" t="e">
        <f>IF(E3904&lt;=$Q$1,$S$5,#REF!)</f>
        <v>#REF!</v>
      </c>
    </row>
    <row r="3905" spans="1:17">
      <c r="A3905" s="332" t="s">
        <v>346</v>
      </c>
      <c r="B3905" s="333" t="s">
        <v>367</v>
      </c>
      <c r="C3905" s="333"/>
      <c r="D3905" s="332" t="s">
        <v>368</v>
      </c>
      <c r="E3905" s="333">
        <v>201608</v>
      </c>
      <c r="F3905" s="334">
        <v>2735.65</v>
      </c>
      <c r="G3905" s="332">
        <v>8.5</v>
      </c>
      <c r="H3905" s="381">
        <v>3.1250000000000002E-3</v>
      </c>
      <c r="I3905" s="334">
        <v>72.67</v>
      </c>
      <c r="J3905" s="334">
        <v>102.59</v>
      </c>
      <c r="Q3905" s="101" t="e">
        <f>IF(E3905&lt;=$Q$1,$S$5,#REF!)</f>
        <v>#REF!</v>
      </c>
    </row>
    <row r="3906" spans="1:17">
      <c r="A3906" s="332" t="s">
        <v>346</v>
      </c>
      <c r="B3906" s="333" t="s">
        <v>585</v>
      </c>
      <c r="C3906" s="333"/>
      <c r="D3906" s="399" t="s">
        <v>586</v>
      </c>
      <c r="E3906" s="333">
        <v>201608</v>
      </c>
      <c r="F3906" s="431">
        <v>207.08</v>
      </c>
      <c r="G3906" s="332">
        <v>8.5</v>
      </c>
      <c r="H3906" s="381">
        <v>3.1250000000000002E-3</v>
      </c>
      <c r="I3906" s="334">
        <v>5.5</v>
      </c>
      <c r="J3906" s="334">
        <v>7.77</v>
      </c>
      <c r="Q3906" s="101" t="e">
        <f>IF(E3906&lt;=$Q$1,$S$5,#REF!)</f>
        <v>#REF!</v>
      </c>
    </row>
    <row r="3907" spans="1:17">
      <c r="A3907" s="332" t="s">
        <v>346</v>
      </c>
      <c r="B3907" s="333" t="s">
        <v>369</v>
      </c>
      <c r="C3907" s="333"/>
      <c r="D3907" s="332" t="s">
        <v>370</v>
      </c>
      <c r="E3907" s="333">
        <v>201608</v>
      </c>
      <c r="F3907" s="334">
        <v>13933.15</v>
      </c>
      <c r="G3907" s="332">
        <v>8.5</v>
      </c>
      <c r="H3907" s="381">
        <v>3.1250000000000002E-3</v>
      </c>
      <c r="I3907" s="334">
        <v>370.1</v>
      </c>
      <c r="J3907" s="334">
        <v>522.49</v>
      </c>
      <c r="Q3907" s="101" t="e">
        <f>IF(E3907&lt;=$Q$1,$S$5,#REF!)</f>
        <v>#REF!</v>
      </c>
    </row>
    <row r="3908" spans="1:17">
      <c r="A3908" s="332" t="s">
        <v>346</v>
      </c>
      <c r="B3908" s="333" t="s">
        <v>371</v>
      </c>
      <c r="C3908" s="333"/>
      <c r="D3908" s="332" t="s">
        <v>372</v>
      </c>
      <c r="E3908" s="333">
        <v>201608</v>
      </c>
      <c r="F3908" s="334">
        <v>0.51</v>
      </c>
      <c r="G3908" s="332">
        <v>8.5</v>
      </c>
      <c r="H3908" s="381">
        <v>3.1250000000000002E-3</v>
      </c>
      <c r="I3908" s="334">
        <v>0.01</v>
      </c>
      <c r="J3908" s="334">
        <v>0.02</v>
      </c>
      <c r="Q3908" s="101" t="e">
        <f>IF(E3908&lt;=$Q$1,$S$5,#REF!)</f>
        <v>#REF!</v>
      </c>
    </row>
    <row r="3909" spans="1:17">
      <c r="A3909" s="332" t="s">
        <v>346</v>
      </c>
      <c r="B3909" s="333" t="s">
        <v>373</v>
      </c>
      <c r="C3909" s="333"/>
      <c r="D3909" s="332" t="s">
        <v>374</v>
      </c>
      <c r="E3909" s="333">
        <v>201608</v>
      </c>
      <c r="F3909" s="334">
        <v>564.32000000000005</v>
      </c>
      <c r="G3909" s="332">
        <v>8.5</v>
      </c>
      <c r="H3909" s="381">
        <v>3.1250000000000002E-3</v>
      </c>
      <c r="I3909" s="334">
        <v>14.99</v>
      </c>
      <c r="J3909" s="334">
        <v>21.16</v>
      </c>
      <c r="Q3909" s="101" t="e">
        <f>IF(E3909&lt;=$Q$1,$S$5,#REF!)</f>
        <v>#REF!</v>
      </c>
    </row>
    <row r="3910" spans="1:17">
      <c r="A3910" s="332" t="s">
        <v>346</v>
      </c>
      <c r="B3910" s="333" t="s">
        <v>347</v>
      </c>
      <c r="C3910" s="333"/>
      <c r="D3910" s="332" t="s">
        <v>348</v>
      </c>
      <c r="E3910" s="333">
        <v>201608</v>
      </c>
      <c r="F3910" s="334">
        <v>976411.07</v>
      </c>
      <c r="G3910" s="332">
        <v>8.5</v>
      </c>
      <c r="H3910" s="381">
        <v>3.1250000000000002E-3</v>
      </c>
      <c r="I3910" s="334">
        <v>25935.919999999998</v>
      </c>
      <c r="J3910" s="334">
        <v>36615.42</v>
      </c>
      <c r="Q3910" s="101" t="e">
        <f>IF(E3910&lt;=$Q$1,$S$5,#REF!)</f>
        <v>#REF!</v>
      </c>
    </row>
    <row r="3911" spans="1:17">
      <c r="A3911" s="332" t="s">
        <v>346</v>
      </c>
      <c r="B3911" s="333" t="s">
        <v>349</v>
      </c>
      <c r="C3911" s="333"/>
      <c r="D3911" s="332" t="s">
        <v>350</v>
      </c>
      <c r="E3911" s="333">
        <v>201608</v>
      </c>
      <c r="F3911" s="334">
        <v>3840.92</v>
      </c>
      <c r="G3911" s="332">
        <v>8.5</v>
      </c>
      <c r="H3911" s="381">
        <v>3.1250000000000002E-3</v>
      </c>
      <c r="I3911" s="334">
        <v>102.02</v>
      </c>
      <c r="J3911" s="334">
        <v>144.03</v>
      </c>
      <c r="Q3911" s="101" t="e">
        <f>IF(E3911&lt;=$Q$1,$S$5,#REF!)</f>
        <v>#REF!</v>
      </c>
    </row>
    <row r="3912" spans="1:17">
      <c r="A3912" s="332" t="s">
        <v>346</v>
      </c>
      <c r="B3912" s="333" t="s">
        <v>351</v>
      </c>
      <c r="C3912" s="333"/>
      <c r="D3912" s="399" t="s">
        <v>352</v>
      </c>
      <c r="E3912" s="333">
        <v>201608</v>
      </c>
      <c r="F3912" s="431">
        <v>324.97000000000003</v>
      </c>
      <c r="G3912" s="332">
        <v>8.5</v>
      </c>
      <c r="H3912" s="381">
        <v>3.1250000000000002E-3</v>
      </c>
      <c r="I3912" s="334">
        <v>8.6300000000000008</v>
      </c>
      <c r="J3912" s="334">
        <v>12.19</v>
      </c>
      <c r="Q3912" s="101" t="e">
        <f>IF(E3912&lt;=$Q$1,$S$5,#REF!)</f>
        <v>#REF!</v>
      </c>
    </row>
    <row r="3913" spans="1:17">
      <c r="A3913" s="332" t="s">
        <v>346</v>
      </c>
      <c r="B3913" s="333" t="s">
        <v>353</v>
      </c>
      <c r="C3913" s="333"/>
      <c r="D3913" s="332" t="s">
        <v>354</v>
      </c>
      <c r="E3913" s="333">
        <v>201608</v>
      </c>
      <c r="F3913" s="334">
        <v>4407.6099999999997</v>
      </c>
      <c r="G3913" s="332">
        <v>8.5</v>
      </c>
      <c r="H3913" s="381">
        <v>3.1250000000000002E-3</v>
      </c>
      <c r="I3913" s="334">
        <v>117.08</v>
      </c>
      <c r="J3913" s="334">
        <v>165.29</v>
      </c>
      <c r="Q3913" s="101" t="e">
        <f>IF(E3913&lt;=$Q$1,$S$5,#REF!)</f>
        <v>#REF!</v>
      </c>
    </row>
    <row r="3914" spans="1:17">
      <c r="A3914" s="332" t="s">
        <v>346</v>
      </c>
      <c r="B3914" s="333" t="s">
        <v>355</v>
      </c>
      <c r="C3914" s="333"/>
      <c r="D3914" s="399" t="s">
        <v>356</v>
      </c>
      <c r="E3914" s="333">
        <v>201608</v>
      </c>
      <c r="F3914" s="431">
        <v>88528.78</v>
      </c>
      <c r="G3914" s="332">
        <v>8.5</v>
      </c>
      <c r="H3914" s="381">
        <v>3.1250000000000002E-3</v>
      </c>
      <c r="I3914" s="334">
        <v>2351.5500000000002</v>
      </c>
      <c r="J3914" s="334">
        <v>3319.83</v>
      </c>
      <c r="Q3914" s="101" t="e">
        <f>IF(E3914&lt;=$Q$1,$S$5,#REF!)</f>
        <v>#REF!</v>
      </c>
    </row>
    <row r="3915" spans="1:17">
      <c r="A3915" s="332" t="s">
        <v>346</v>
      </c>
      <c r="B3915" s="333" t="s">
        <v>357</v>
      </c>
      <c r="C3915" s="333"/>
      <c r="D3915" s="399" t="s">
        <v>358</v>
      </c>
      <c r="E3915" s="333">
        <v>201608</v>
      </c>
      <c r="F3915" s="431">
        <v>16705.400000000001</v>
      </c>
      <c r="G3915" s="332">
        <v>8.5</v>
      </c>
      <c r="H3915" s="381">
        <v>3.1250000000000002E-3</v>
      </c>
      <c r="I3915" s="334">
        <v>443.74</v>
      </c>
      <c r="J3915" s="334">
        <v>626.45000000000005</v>
      </c>
      <c r="Q3915" s="101" t="e">
        <f>IF(E3915&lt;=$Q$1,$S$5,#REF!)</f>
        <v>#REF!</v>
      </c>
    </row>
    <row r="3916" spans="1:17">
      <c r="A3916" s="332" t="s">
        <v>346</v>
      </c>
      <c r="B3916" s="333" t="s">
        <v>359</v>
      </c>
      <c r="C3916" s="333"/>
      <c r="D3916" s="332" t="s">
        <v>360</v>
      </c>
      <c r="E3916" s="333">
        <v>201608</v>
      </c>
      <c r="F3916" s="334">
        <v>-2905.38</v>
      </c>
      <c r="G3916" s="332">
        <v>8.5</v>
      </c>
      <c r="H3916" s="381">
        <v>3.1250000000000002E-3</v>
      </c>
      <c r="I3916" s="334">
        <v>-77.17</v>
      </c>
      <c r="J3916" s="334">
        <v>-108.95</v>
      </c>
      <c r="Q3916" s="101" t="e">
        <f>IF(E3916&lt;=$Q$1,$S$5,#REF!)</f>
        <v>#REF!</v>
      </c>
    </row>
    <row r="3917" spans="1:17">
      <c r="A3917" s="332" t="s">
        <v>346</v>
      </c>
      <c r="B3917" s="333" t="s">
        <v>361</v>
      </c>
      <c r="C3917" s="333"/>
      <c r="D3917" s="399" t="s">
        <v>362</v>
      </c>
      <c r="E3917" s="333">
        <v>201608</v>
      </c>
      <c r="F3917" s="431">
        <v>501.14</v>
      </c>
      <c r="G3917" s="332">
        <v>8.5</v>
      </c>
      <c r="H3917" s="381">
        <v>3.1250000000000002E-3</v>
      </c>
      <c r="I3917" s="334">
        <v>13.31</v>
      </c>
      <c r="J3917" s="334">
        <v>18.79</v>
      </c>
      <c r="Q3917" s="101" t="e">
        <f>IF(E3917&lt;=$Q$1,$S$5,#REF!)</f>
        <v>#REF!</v>
      </c>
    </row>
    <row r="3918" spans="1:17">
      <c r="A3918" s="332" t="s">
        <v>346</v>
      </c>
      <c r="B3918" s="333" t="s">
        <v>375</v>
      </c>
      <c r="C3918" s="333"/>
      <c r="D3918" s="332" t="s">
        <v>376</v>
      </c>
      <c r="E3918" s="333">
        <v>201608</v>
      </c>
      <c r="F3918" s="334">
        <v>-5316.58</v>
      </c>
      <c r="G3918" s="332">
        <v>8.5</v>
      </c>
      <c r="H3918" s="381">
        <v>3.1250000000000002E-3</v>
      </c>
      <c r="I3918" s="334">
        <v>-141.22</v>
      </c>
      <c r="J3918" s="334">
        <v>-199.37</v>
      </c>
      <c r="Q3918" s="101" t="e">
        <f>IF(E3918&lt;=$Q$1,$S$5,#REF!)</f>
        <v>#REF!</v>
      </c>
    </row>
    <row r="3919" spans="1:17">
      <c r="A3919" s="332" t="s">
        <v>346</v>
      </c>
      <c r="B3919" s="333" t="s">
        <v>377</v>
      </c>
      <c r="C3919" s="333"/>
      <c r="D3919" s="399" t="s">
        <v>378</v>
      </c>
      <c r="E3919" s="333">
        <v>201608</v>
      </c>
      <c r="F3919" s="431">
        <v>68937.08</v>
      </c>
      <c r="G3919" s="332">
        <v>8.5</v>
      </c>
      <c r="H3919" s="381">
        <v>3.1250000000000002E-3</v>
      </c>
      <c r="I3919" s="334">
        <v>1831.14</v>
      </c>
      <c r="J3919" s="334">
        <v>2585.14</v>
      </c>
      <c r="Q3919" s="101" t="e">
        <f>IF(E3919&lt;=$Q$1,$S$5,#REF!)</f>
        <v>#REF!</v>
      </c>
    </row>
    <row r="3920" spans="1:17">
      <c r="A3920" s="332" t="s">
        <v>346</v>
      </c>
      <c r="B3920" s="333" t="s">
        <v>379</v>
      </c>
      <c r="C3920" s="333"/>
      <c r="D3920" s="399" t="s">
        <v>380</v>
      </c>
      <c r="E3920" s="333">
        <v>201608</v>
      </c>
      <c r="F3920" s="431">
        <v>1756.73</v>
      </c>
      <c r="G3920" s="332">
        <v>8.5</v>
      </c>
      <c r="H3920" s="381">
        <v>3.1250000000000002E-3</v>
      </c>
      <c r="I3920" s="334">
        <v>46.66</v>
      </c>
      <c r="J3920" s="334">
        <v>65.88</v>
      </c>
      <c r="Q3920" s="101" t="e">
        <f>IF(E3920&lt;=$Q$1,$S$5,#REF!)</f>
        <v>#REF!</v>
      </c>
    </row>
    <row r="3921" spans="1:17">
      <c r="A3921" s="332" t="s">
        <v>346</v>
      </c>
      <c r="B3921" s="333" t="s">
        <v>381</v>
      </c>
      <c r="C3921" s="333"/>
      <c r="D3921" s="332" t="s">
        <v>382</v>
      </c>
      <c r="E3921" s="333">
        <v>201608</v>
      </c>
      <c r="F3921" s="334">
        <v>4692.13</v>
      </c>
      <c r="G3921" s="332">
        <v>8.5</v>
      </c>
      <c r="H3921" s="381">
        <v>3.1250000000000002E-3</v>
      </c>
      <c r="I3921" s="334">
        <v>124.63</v>
      </c>
      <c r="J3921" s="334">
        <v>175.95</v>
      </c>
      <c r="Q3921" s="101" t="e">
        <f>IF(E3921&lt;=$Q$1,$S$5,#REF!)</f>
        <v>#REF!</v>
      </c>
    </row>
    <row r="3922" spans="1:17">
      <c r="A3922" s="332" t="s">
        <v>346</v>
      </c>
      <c r="B3922" s="333" t="s">
        <v>383</v>
      </c>
      <c r="C3922" s="333"/>
      <c r="D3922" s="332" t="s">
        <v>384</v>
      </c>
      <c r="E3922" s="333">
        <v>201608</v>
      </c>
      <c r="F3922" s="334">
        <v>333.27</v>
      </c>
      <c r="G3922" s="332">
        <v>8.5</v>
      </c>
      <c r="H3922" s="381">
        <v>3.1250000000000002E-3</v>
      </c>
      <c r="I3922" s="334">
        <v>8.85</v>
      </c>
      <c r="J3922" s="334">
        <v>12.5</v>
      </c>
      <c r="Q3922" s="101" t="e">
        <f>IF(E3922&lt;=$Q$1,$S$5,#REF!)</f>
        <v>#REF!</v>
      </c>
    </row>
    <row r="3923" spans="1:17">
      <c r="A3923" s="332" t="s">
        <v>346</v>
      </c>
      <c r="B3923" s="333" t="s">
        <v>385</v>
      </c>
      <c r="C3923" s="333"/>
      <c r="D3923" s="399" t="s">
        <v>386</v>
      </c>
      <c r="E3923" s="333">
        <v>201608</v>
      </c>
      <c r="F3923" s="431">
        <v>291128.71999999997</v>
      </c>
      <c r="G3923" s="332">
        <v>8.5</v>
      </c>
      <c r="H3923" s="381">
        <v>3.1250000000000002E-3</v>
      </c>
      <c r="I3923" s="334">
        <v>7733.11</v>
      </c>
      <c r="J3923" s="334">
        <v>10917.33</v>
      </c>
      <c r="Q3923" s="101" t="e">
        <f>IF(E3923&lt;=$Q$1,$S$5,#REF!)</f>
        <v>#REF!</v>
      </c>
    </row>
    <row r="3924" spans="1:17">
      <c r="A3924" s="332" t="s">
        <v>346</v>
      </c>
      <c r="B3924" s="333" t="s">
        <v>387</v>
      </c>
      <c r="C3924" s="333"/>
      <c r="D3924" s="332" t="s">
        <v>388</v>
      </c>
      <c r="E3924" s="333">
        <v>201608</v>
      </c>
      <c r="F3924" s="334">
        <v>70777.03</v>
      </c>
      <c r="G3924" s="332">
        <v>8.5</v>
      </c>
      <c r="H3924" s="381">
        <v>3.1250000000000002E-3</v>
      </c>
      <c r="I3924" s="334">
        <v>1880.01</v>
      </c>
      <c r="J3924" s="334">
        <v>2654.14</v>
      </c>
      <c r="Q3924" s="101" t="e">
        <f>IF(E3924&lt;=$Q$1,$S$5,#REF!)</f>
        <v>#REF!</v>
      </c>
    </row>
    <row r="3925" spans="1:17">
      <c r="A3925" s="332" t="s">
        <v>346</v>
      </c>
      <c r="B3925" s="333" t="s">
        <v>389</v>
      </c>
      <c r="C3925" s="333"/>
      <c r="D3925" s="332" t="s">
        <v>390</v>
      </c>
      <c r="E3925" s="333">
        <v>201608</v>
      </c>
      <c r="F3925" s="334">
        <v>10186.64</v>
      </c>
      <c r="G3925" s="332">
        <v>8.5</v>
      </c>
      <c r="H3925" s="381">
        <v>3.1250000000000002E-3</v>
      </c>
      <c r="I3925" s="334">
        <v>270.58</v>
      </c>
      <c r="J3925" s="334">
        <v>382</v>
      </c>
      <c r="Q3925" s="101" t="e">
        <f>IF(E3925&lt;=$Q$1,$S$5,#REF!)</f>
        <v>#REF!</v>
      </c>
    </row>
    <row r="3926" spans="1:17">
      <c r="A3926" s="332" t="s">
        <v>346</v>
      </c>
      <c r="B3926" s="333" t="s">
        <v>391</v>
      </c>
      <c r="C3926" s="333"/>
      <c r="D3926" s="399" t="s">
        <v>392</v>
      </c>
      <c r="E3926" s="333">
        <v>201608</v>
      </c>
      <c r="F3926" s="431">
        <v>7470.6</v>
      </c>
      <c r="G3926" s="332">
        <v>8.5</v>
      </c>
      <c r="H3926" s="381">
        <v>3.1250000000000002E-3</v>
      </c>
      <c r="I3926" s="334">
        <v>198.44</v>
      </c>
      <c r="J3926" s="334">
        <v>280.14999999999998</v>
      </c>
      <c r="Q3926" s="101" t="e">
        <f>IF(E3926&lt;=$Q$1,$S$5,#REF!)</f>
        <v>#REF!</v>
      </c>
    </row>
    <row r="3927" spans="1:17">
      <c r="A3927" s="332" t="s">
        <v>346</v>
      </c>
      <c r="B3927" s="333" t="s">
        <v>393</v>
      </c>
      <c r="C3927" s="333"/>
      <c r="D3927" s="399" t="s">
        <v>394</v>
      </c>
      <c r="E3927" s="333">
        <v>201608</v>
      </c>
      <c r="F3927" s="431">
        <v>-12343.34</v>
      </c>
      <c r="G3927" s="332">
        <v>8.5</v>
      </c>
      <c r="H3927" s="381">
        <v>3.1250000000000002E-3</v>
      </c>
      <c r="I3927" s="334">
        <v>-327.87</v>
      </c>
      <c r="J3927" s="334">
        <v>-462.88</v>
      </c>
      <c r="Q3927" s="101" t="e">
        <f>IF(E3927&lt;=$Q$1,$S$5,#REF!)</f>
        <v>#REF!</v>
      </c>
    </row>
    <row r="3928" spans="1:17">
      <c r="A3928" s="332" t="s">
        <v>346</v>
      </c>
      <c r="B3928" s="333" t="s">
        <v>395</v>
      </c>
      <c r="C3928" s="333"/>
      <c r="D3928" s="332" t="s">
        <v>396</v>
      </c>
      <c r="E3928" s="333">
        <v>201608</v>
      </c>
      <c r="F3928" s="334">
        <v>-59665.54</v>
      </c>
      <c r="G3928" s="332">
        <v>8.5</v>
      </c>
      <c r="H3928" s="381">
        <v>3.1250000000000002E-3</v>
      </c>
      <c r="I3928" s="334">
        <v>-1584.87</v>
      </c>
      <c r="J3928" s="334">
        <v>-2237.46</v>
      </c>
      <c r="Q3928" s="101" t="e">
        <f>IF(E3928&lt;=$Q$1,$S$5,#REF!)</f>
        <v>#REF!</v>
      </c>
    </row>
    <row r="3929" spans="1:17">
      <c r="A3929" s="332" t="s">
        <v>346</v>
      </c>
      <c r="B3929" s="333" t="s">
        <v>731</v>
      </c>
      <c r="C3929" s="333"/>
      <c r="D3929" s="332" t="s">
        <v>732</v>
      </c>
      <c r="E3929" s="333">
        <v>201609</v>
      </c>
      <c r="F3929" s="334">
        <v>53.65</v>
      </c>
      <c r="G3929" s="332">
        <v>7.5</v>
      </c>
      <c r="H3929" s="381">
        <v>3.1250000000000002E-3</v>
      </c>
      <c r="I3929" s="334">
        <v>1.26</v>
      </c>
      <c r="J3929" s="334">
        <v>2.0099999999999998</v>
      </c>
      <c r="Q3929" s="101" t="e">
        <f>IF(E3929&lt;=$Q$1,$S$5,#REF!)</f>
        <v>#REF!</v>
      </c>
    </row>
    <row r="3930" spans="1:17">
      <c r="A3930" s="332" t="s">
        <v>346</v>
      </c>
      <c r="B3930" s="333" t="s">
        <v>347</v>
      </c>
      <c r="C3930" s="333"/>
      <c r="D3930" s="399" t="s">
        <v>348</v>
      </c>
      <c r="E3930" s="333">
        <v>201609</v>
      </c>
      <c r="F3930" s="431">
        <v>974646.77</v>
      </c>
      <c r="G3930" s="332">
        <v>7.5</v>
      </c>
      <c r="H3930" s="381">
        <v>3.1250000000000002E-3</v>
      </c>
      <c r="I3930" s="334">
        <v>22843.279999999999</v>
      </c>
      <c r="J3930" s="334">
        <v>36549.25</v>
      </c>
      <c r="Q3930" s="101" t="e">
        <f>IF(E3930&lt;=$Q$1,$S$5,#REF!)</f>
        <v>#REF!</v>
      </c>
    </row>
    <row r="3931" spans="1:17">
      <c r="A3931" s="332" t="s">
        <v>346</v>
      </c>
      <c r="B3931" s="333" t="s">
        <v>349</v>
      </c>
      <c r="C3931" s="333"/>
      <c r="D3931" s="399" t="s">
        <v>350</v>
      </c>
      <c r="E3931" s="333">
        <v>201609</v>
      </c>
      <c r="F3931" s="431">
        <v>16334.7</v>
      </c>
      <c r="G3931" s="332">
        <v>7.5</v>
      </c>
      <c r="H3931" s="381">
        <v>3.1250000000000002E-3</v>
      </c>
      <c r="I3931" s="334">
        <v>382.84</v>
      </c>
      <c r="J3931" s="334">
        <v>612.54999999999995</v>
      </c>
      <c r="Q3931" s="101" t="e">
        <f>IF(E3931&lt;=$Q$1,$S$5,#REF!)</f>
        <v>#REF!</v>
      </c>
    </row>
    <row r="3932" spans="1:17">
      <c r="A3932" s="332" t="s">
        <v>346</v>
      </c>
      <c r="B3932" s="333" t="s">
        <v>351</v>
      </c>
      <c r="C3932" s="333"/>
      <c r="D3932" s="332" t="s">
        <v>352</v>
      </c>
      <c r="E3932" s="333">
        <v>201609</v>
      </c>
      <c r="F3932" s="334">
        <v>186.42</v>
      </c>
      <c r="G3932" s="332">
        <v>7.5</v>
      </c>
      <c r="H3932" s="381">
        <v>3.1250000000000002E-3</v>
      </c>
      <c r="I3932" s="334">
        <v>4.37</v>
      </c>
      <c r="J3932" s="334">
        <v>6.99</v>
      </c>
      <c r="Q3932" s="101" t="e">
        <f>IF(E3932&lt;=$Q$1,$S$5,#REF!)</f>
        <v>#REF!</v>
      </c>
    </row>
    <row r="3933" spans="1:17">
      <c r="A3933" s="332" t="s">
        <v>346</v>
      </c>
      <c r="B3933" s="333" t="s">
        <v>353</v>
      </c>
      <c r="C3933" s="333"/>
      <c r="D3933" s="332" t="s">
        <v>354</v>
      </c>
      <c r="E3933" s="333">
        <v>201609</v>
      </c>
      <c r="F3933" s="334">
        <v>-14338.06</v>
      </c>
      <c r="G3933" s="332">
        <v>7.5</v>
      </c>
      <c r="H3933" s="381">
        <v>3.1250000000000002E-3</v>
      </c>
      <c r="I3933" s="334">
        <v>-336.05</v>
      </c>
      <c r="J3933" s="334">
        <v>-537.67999999999995</v>
      </c>
      <c r="Q3933" s="101" t="e">
        <f>IF(E3933&lt;=$Q$1,$S$5,#REF!)</f>
        <v>#REF!</v>
      </c>
    </row>
    <row r="3934" spans="1:17">
      <c r="A3934" s="332" t="s">
        <v>346</v>
      </c>
      <c r="B3934" s="333" t="s">
        <v>355</v>
      </c>
      <c r="C3934" s="333"/>
      <c r="D3934" s="399" t="s">
        <v>356</v>
      </c>
      <c r="E3934" s="333">
        <v>201609</v>
      </c>
      <c r="F3934" s="431">
        <v>45877.93</v>
      </c>
      <c r="G3934" s="332">
        <v>7.5</v>
      </c>
      <c r="H3934" s="381">
        <v>3.1250000000000002E-3</v>
      </c>
      <c r="I3934" s="334">
        <v>1075.26</v>
      </c>
      <c r="J3934" s="334">
        <v>1720.42</v>
      </c>
      <c r="Q3934" s="101" t="e">
        <f>IF(E3934&lt;=$Q$1,$S$5,#REF!)</f>
        <v>#REF!</v>
      </c>
    </row>
    <row r="3935" spans="1:17">
      <c r="A3935" s="332" t="s">
        <v>346</v>
      </c>
      <c r="B3935" s="333" t="s">
        <v>357</v>
      </c>
      <c r="C3935" s="333"/>
      <c r="D3935" s="332" t="s">
        <v>358</v>
      </c>
      <c r="E3935" s="333">
        <v>201609</v>
      </c>
      <c r="F3935" s="334">
        <v>20545.61</v>
      </c>
      <c r="G3935" s="332">
        <v>7.5</v>
      </c>
      <c r="H3935" s="381">
        <v>3.1250000000000002E-3</v>
      </c>
      <c r="I3935" s="334">
        <v>481.54</v>
      </c>
      <c r="J3935" s="334">
        <v>770.46</v>
      </c>
      <c r="Q3935" s="101" t="e">
        <f>IF(E3935&lt;=$Q$1,$S$5,#REF!)</f>
        <v>#REF!</v>
      </c>
    </row>
    <row r="3936" spans="1:17">
      <c r="A3936" s="332" t="s">
        <v>346</v>
      </c>
      <c r="B3936" s="333" t="s">
        <v>359</v>
      </c>
      <c r="C3936" s="333"/>
      <c r="D3936" s="332" t="s">
        <v>360</v>
      </c>
      <c r="E3936" s="333">
        <v>201609</v>
      </c>
      <c r="F3936" s="334">
        <v>2060.86</v>
      </c>
      <c r="G3936" s="332">
        <v>7.5</v>
      </c>
      <c r="H3936" s="381">
        <v>3.1250000000000002E-3</v>
      </c>
      <c r="I3936" s="334">
        <v>48.3</v>
      </c>
      <c r="J3936" s="334">
        <v>77.28</v>
      </c>
      <c r="Q3936" s="101" t="e">
        <f>IF(E3936&lt;=$Q$1,$S$5,#REF!)</f>
        <v>#REF!</v>
      </c>
    </row>
    <row r="3937" spans="1:17">
      <c r="A3937" s="332" t="s">
        <v>346</v>
      </c>
      <c r="B3937" s="333" t="s">
        <v>361</v>
      </c>
      <c r="C3937" s="333"/>
      <c r="D3937" s="332" t="s">
        <v>362</v>
      </c>
      <c r="E3937" s="333">
        <v>201609</v>
      </c>
      <c r="F3937" s="334">
        <v>-1013.89</v>
      </c>
      <c r="G3937" s="332">
        <v>7.5</v>
      </c>
      <c r="H3937" s="381">
        <v>3.1250000000000002E-3</v>
      </c>
      <c r="I3937" s="334">
        <v>-23.76</v>
      </c>
      <c r="J3937" s="334">
        <v>-38.020000000000003</v>
      </c>
      <c r="Q3937" s="101" t="e">
        <f>IF(E3937&lt;=$Q$1,$S$5,#REF!)</f>
        <v>#REF!</v>
      </c>
    </row>
    <row r="3938" spans="1:17">
      <c r="A3938" s="332" t="s">
        <v>346</v>
      </c>
      <c r="B3938" s="333" t="s">
        <v>365</v>
      </c>
      <c r="C3938" s="333"/>
      <c r="D3938" s="332" t="s">
        <v>366</v>
      </c>
      <c r="E3938" s="333">
        <v>201609</v>
      </c>
      <c r="F3938" s="334">
        <v>-342.4</v>
      </c>
      <c r="G3938" s="332">
        <v>7.5</v>
      </c>
      <c r="H3938" s="381">
        <v>3.1250000000000002E-3</v>
      </c>
      <c r="I3938" s="334">
        <v>-8.0299999999999994</v>
      </c>
      <c r="J3938" s="334">
        <v>-12.84</v>
      </c>
      <c r="Q3938" s="101" t="e">
        <f>IF(E3938&lt;=$Q$1,$S$5,#REF!)</f>
        <v>#REF!</v>
      </c>
    </row>
    <row r="3939" spans="1:17">
      <c r="A3939" s="332" t="s">
        <v>346</v>
      </c>
      <c r="B3939" s="333" t="s">
        <v>367</v>
      </c>
      <c r="C3939" s="333"/>
      <c r="D3939" s="399" t="s">
        <v>368</v>
      </c>
      <c r="E3939" s="333">
        <v>201609</v>
      </c>
      <c r="F3939" s="431">
        <v>6091.36</v>
      </c>
      <c r="G3939" s="332">
        <v>7.5</v>
      </c>
      <c r="H3939" s="381">
        <v>3.1250000000000002E-3</v>
      </c>
      <c r="I3939" s="334">
        <v>142.77000000000001</v>
      </c>
      <c r="J3939" s="334">
        <v>228.43</v>
      </c>
      <c r="Q3939" s="101" t="e">
        <f>IF(E3939&lt;=$Q$1,$S$5,#REF!)</f>
        <v>#REF!</v>
      </c>
    </row>
    <row r="3940" spans="1:17">
      <c r="A3940" s="332" t="s">
        <v>346</v>
      </c>
      <c r="B3940" s="333" t="s">
        <v>585</v>
      </c>
      <c r="C3940" s="333"/>
      <c r="D3940" s="332" t="s">
        <v>586</v>
      </c>
      <c r="E3940" s="333">
        <v>201609</v>
      </c>
      <c r="F3940" s="334">
        <v>136.88999999999999</v>
      </c>
      <c r="G3940" s="332">
        <v>7.5</v>
      </c>
      <c r="H3940" s="381">
        <v>3.1250000000000002E-3</v>
      </c>
      <c r="I3940" s="334">
        <v>3.21</v>
      </c>
      <c r="J3940" s="334">
        <v>5.13</v>
      </c>
      <c r="Q3940" s="101" t="e">
        <f>IF(E3940&lt;=$Q$1,$S$5,#REF!)</f>
        <v>#REF!</v>
      </c>
    </row>
    <row r="3941" spans="1:17">
      <c r="A3941" s="332" t="s">
        <v>346</v>
      </c>
      <c r="B3941" s="333" t="s">
        <v>369</v>
      </c>
      <c r="C3941" s="333"/>
      <c r="D3941" s="332" t="s">
        <v>370</v>
      </c>
      <c r="E3941" s="333">
        <v>201609</v>
      </c>
      <c r="F3941" s="334">
        <v>11833.94</v>
      </c>
      <c r="G3941" s="332">
        <v>7.5</v>
      </c>
      <c r="H3941" s="381">
        <v>3.1250000000000002E-3</v>
      </c>
      <c r="I3941" s="334">
        <v>277.36</v>
      </c>
      <c r="J3941" s="334">
        <v>443.77</v>
      </c>
      <c r="Q3941" s="101" t="e">
        <f>IF(E3941&lt;=$Q$1,$S$5,#REF!)</f>
        <v>#REF!</v>
      </c>
    </row>
    <row r="3942" spans="1:17">
      <c r="A3942" s="332" t="s">
        <v>346</v>
      </c>
      <c r="B3942" s="333" t="s">
        <v>371</v>
      </c>
      <c r="C3942" s="333"/>
      <c r="D3942" s="399" t="s">
        <v>372</v>
      </c>
      <c r="E3942" s="333">
        <v>201609</v>
      </c>
      <c r="F3942" s="431">
        <v>0.44</v>
      </c>
      <c r="G3942" s="332">
        <v>7.5</v>
      </c>
      <c r="H3942" s="381">
        <v>3.1250000000000002E-3</v>
      </c>
      <c r="I3942" s="334">
        <v>0.01</v>
      </c>
      <c r="J3942" s="334">
        <v>0.02</v>
      </c>
      <c r="Q3942" s="101" t="e">
        <f>IF(E3942&lt;=$Q$1,$S$5,#REF!)</f>
        <v>#REF!</v>
      </c>
    </row>
    <row r="3943" spans="1:17">
      <c r="A3943" s="332" t="s">
        <v>346</v>
      </c>
      <c r="B3943" s="333" t="s">
        <v>373</v>
      </c>
      <c r="C3943" s="333"/>
      <c r="D3943" s="399" t="s">
        <v>374</v>
      </c>
      <c r="E3943" s="333">
        <v>201609</v>
      </c>
      <c r="F3943" s="431">
        <v>-2876.06</v>
      </c>
      <c r="G3943" s="332">
        <v>7.5</v>
      </c>
      <c r="H3943" s="381">
        <v>3.1250000000000002E-3</v>
      </c>
      <c r="I3943" s="334">
        <v>-67.41</v>
      </c>
      <c r="J3943" s="334">
        <v>-107.85</v>
      </c>
      <c r="Q3943" s="101" t="e">
        <f>IF(E3943&lt;=$Q$1,$S$5,#REF!)</f>
        <v>#REF!</v>
      </c>
    </row>
    <row r="3944" spans="1:17">
      <c r="A3944" s="332" t="s">
        <v>346</v>
      </c>
      <c r="B3944" s="333" t="s">
        <v>375</v>
      </c>
      <c r="C3944" s="333"/>
      <c r="D3944" s="332" t="s">
        <v>376</v>
      </c>
      <c r="E3944" s="333">
        <v>201609</v>
      </c>
      <c r="F3944" s="334">
        <v>-6280.81</v>
      </c>
      <c r="G3944" s="332">
        <v>7.5</v>
      </c>
      <c r="H3944" s="381">
        <v>3.1250000000000002E-3</v>
      </c>
      <c r="I3944" s="334">
        <v>-147.21</v>
      </c>
      <c r="J3944" s="334">
        <v>-235.53</v>
      </c>
      <c r="Q3944" s="101" t="e">
        <f>IF(E3944&lt;=$Q$1,$S$5,#REF!)</f>
        <v>#REF!</v>
      </c>
    </row>
    <row r="3945" spans="1:17">
      <c r="A3945" s="332" t="s">
        <v>346</v>
      </c>
      <c r="B3945" s="333" t="s">
        <v>377</v>
      </c>
      <c r="C3945" s="333"/>
      <c r="D3945" s="332" t="s">
        <v>378</v>
      </c>
      <c r="E3945" s="333">
        <v>201609</v>
      </c>
      <c r="F3945" s="334">
        <v>86879.03</v>
      </c>
      <c r="G3945" s="332">
        <v>7.5</v>
      </c>
      <c r="H3945" s="381">
        <v>3.1250000000000002E-3</v>
      </c>
      <c r="I3945" s="334">
        <v>2036.23</v>
      </c>
      <c r="J3945" s="334">
        <v>3257.96</v>
      </c>
      <c r="Q3945" s="101" t="e">
        <f>IF(E3945&lt;=$Q$1,$S$5,#REF!)</f>
        <v>#REF!</v>
      </c>
    </row>
    <row r="3946" spans="1:17">
      <c r="A3946" s="332" t="s">
        <v>346</v>
      </c>
      <c r="B3946" s="333" t="s">
        <v>379</v>
      </c>
      <c r="C3946" s="333"/>
      <c r="D3946" s="332" t="s">
        <v>380</v>
      </c>
      <c r="E3946" s="333">
        <v>201609</v>
      </c>
      <c r="F3946" s="334">
        <v>678.97</v>
      </c>
      <c r="G3946" s="332">
        <v>7.5</v>
      </c>
      <c r="H3946" s="381">
        <v>3.1250000000000002E-3</v>
      </c>
      <c r="I3946" s="334">
        <v>15.91</v>
      </c>
      <c r="J3946" s="334">
        <v>25.46</v>
      </c>
      <c r="Q3946" s="101" t="e">
        <f>IF(E3946&lt;=$Q$1,$S$5,#REF!)</f>
        <v>#REF!</v>
      </c>
    </row>
    <row r="3947" spans="1:17">
      <c r="A3947" s="332" t="s">
        <v>346</v>
      </c>
      <c r="B3947" s="333" t="s">
        <v>381</v>
      </c>
      <c r="C3947" s="333"/>
      <c r="D3947" s="399" t="s">
        <v>382</v>
      </c>
      <c r="E3947" s="333">
        <v>201609</v>
      </c>
      <c r="F3947" s="431">
        <v>-758.02</v>
      </c>
      <c r="G3947" s="332">
        <v>7.5</v>
      </c>
      <c r="H3947" s="381">
        <v>3.1250000000000002E-3</v>
      </c>
      <c r="I3947" s="334">
        <v>-17.77</v>
      </c>
      <c r="J3947" s="334">
        <v>-28.43</v>
      </c>
      <c r="Q3947" s="101" t="e">
        <f>IF(E3947&lt;=$Q$1,$S$5,#REF!)</f>
        <v>#REF!</v>
      </c>
    </row>
    <row r="3948" spans="1:17">
      <c r="A3948" s="332" t="s">
        <v>346</v>
      </c>
      <c r="B3948" s="333" t="s">
        <v>383</v>
      </c>
      <c r="C3948" s="333"/>
      <c r="D3948" s="399" t="s">
        <v>384</v>
      </c>
      <c r="E3948" s="333">
        <v>201609</v>
      </c>
      <c r="F3948" s="431">
        <v>-1796.12</v>
      </c>
      <c r="G3948" s="332">
        <v>7.5</v>
      </c>
      <c r="H3948" s="381">
        <v>3.1250000000000002E-3</v>
      </c>
      <c r="I3948" s="334">
        <v>-42.1</v>
      </c>
      <c r="J3948" s="334">
        <v>-67.349999999999994</v>
      </c>
      <c r="Q3948" s="101" t="e">
        <f>IF(E3948&lt;=$Q$1,$S$5,#REF!)</f>
        <v>#REF!</v>
      </c>
    </row>
    <row r="3949" spans="1:17">
      <c r="A3949" s="332" t="s">
        <v>346</v>
      </c>
      <c r="B3949" s="333" t="s">
        <v>385</v>
      </c>
      <c r="C3949" s="333"/>
      <c r="D3949" s="332" t="s">
        <v>386</v>
      </c>
      <c r="E3949" s="333">
        <v>201609</v>
      </c>
      <c r="F3949" s="334">
        <v>302953.77</v>
      </c>
      <c r="G3949" s="332">
        <v>7.5</v>
      </c>
      <c r="H3949" s="381">
        <v>3.1250000000000002E-3</v>
      </c>
      <c r="I3949" s="334">
        <v>7100.48</v>
      </c>
      <c r="J3949" s="334">
        <v>11360.77</v>
      </c>
      <c r="Q3949" s="101" t="e">
        <f>IF(E3949&lt;=$Q$1,$S$5,#REF!)</f>
        <v>#REF!</v>
      </c>
    </row>
    <row r="3950" spans="1:17">
      <c r="A3950" s="332" t="s">
        <v>346</v>
      </c>
      <c r="B3950" s="333" t="s">
        <v>387</v>
      </c>
      <c r="C3950" s="333"/>
      <c r="D3950" s="332" t="s">
        <v>388</v>
      </c>
      <c r="E3950" s="333">
        <v>201609</v>
      </c>
      <c r="F3950" s="334">
        <v>217037.91</v>
      </c>
      <c r="G3950" s="332">
        <v>7.5</v>
      </c>
      <c r="H3950" s="381">
        <v>3.1250000000000002E-3</v>
      </c>
      <c r="I3950" s="334">
        <v>5086.83</v>
      </c>
      <c r="J3950" s="334">
        <v>8138.92</v>
      </c>
      <c r="Q3950" s="101" t="e">
        <f>IF(E3950&lt;=$Q$1,$S$5,#REF!)</f>
        <v>#REF!</v>
      </c>
    </row>
    <row r="3951" spans="1:17">
      <c r="A3951" s="332" t="s">
        <v>346</v>
      </c>
      <c r="B3951" s="333" t="s">
        <v>389</v>
      </c>
      <c r="C3951" s="333"/>
      <c r="D3951" s="332" t="s">
        <v>390</v>
      </c>
      <c r="E3951" s="333">
        <v>201609</v>
      </c>
      <c r="F3951" s="334">
        <v>1109.19</v>
      </c>
      <c r="G3951" s="332">
        <v>7.5</v>
      </c>
      <c r="H3951" s="381">
        <v>3.1250000000000002E-3</v>
      </c>
      <c r="I3951" s="334">
        <v>26</v>
      </c>
      <c r="J3951" s="334">
        <v>41.59</v>
      </c>
      <c r="Q3951" s="101" t="e">
        <f>IF(E3951&lt;=$Q$1,$S$5,#REF!)</f>
        <v>#REF!</v>
      </c>
    </row>
    <row r="3952" spans="1:17">
      <c r="A3952" s="332" t="s">
        <v>346</v>
      </c>
      <c r="B3952" s="333" t="s">
        <v>391</v>
      </c>
      <c r="C3952" s="333"/>
      <c r="D3952" s="399" t="s">
        <v>392</v>
      </c>
      <c r="E3952" s="333">
        <v>201609</v>
      </c>
      <c r="F3952" s="431">
        <v>13999.76</v>
      </c>
      <c r="G3952" s="332">
        <v>7.5</v>
      </c>
      <c r="H3952" s="381">
        <v>3.1250000000000002E-3</v>
      </c>
      <c r="I3952" s="334">
        <v>328.12</v>
      </c>
      <c r="J3952" s="334">
        <v>524.99</v>
      </c>
      <c r="Q3952" s="101" t="e">
        <f>IF(E3952&lt;=$Q$1,$S$5,#REF!)</f>
        <v>#REF!</v>
      </c>
    </row>
    <row r="3953" spans="1:17">
      <c r="A3953" s="332" t="s">
        <v>346</v>
      </c>
      <c r="B3953" s="333" t="s">
        <v>393</v>
      </c>
      <c r="C3953" s="333"/>
      <c r="D3953" s="332" t="s">
        <v>394</v>
      </c>
      <c r="E3953" s="333">
        <v>201609</v>
      </c>
      <c r="F3953" s="334">
        <v>-12666.88</v>
      </c>
      <c r="G3953" s="332">
        <v>7.5</v>
      </c>
      <c r="H3953" s="381">
        <v>3.1250000000000002E-3</v>
      </c>
      <c r="I3953" s="334">
        <v>-296.88</v>
      </c>
      <c r="J3953" s="334">
        <v>-475.01</v>
      </c>
      <c r="Q3953" s="101" t="e">
        <f>IF(E3953&lt;=$Q$1,$S$5,#REF!)</f>
        <v>#REF!</v>
      </c>
    </row>
    <row r="3954" spans="1:17">
      <c r="A3954" s="332" t="s">
        <v>346</v>
      </c>
      <c r="B3954" s="333" t="s">
        <v>395</v>
      </c>
      <c r="C3954" s="333"/>
      <c r="D3954" s="332" t="s">
        <v>396</v>
      </c>
      <c r="E3954" s="333">
        <v>201609</v>
      </c>
      <c r="F3954" s="334">
        <v>-33114.230000000003</v>
      </c>
      <c r="G3954" s="332">
        <v>7.5</v>
      </c>
      <c r="H3954" s="381">
        <v>3.1250000000000002E-3</v>
      </c>
      <c r="I3954" s="334">
        <v>-776.11</v>
      </c>
      <c r="J3954" s="334">
        <v>-1241.78</v>
      </c>
      <c r="Q3954" s="101" t="e">
        <f>IF(E3954&lt;=$Q$1,$S$5,#REF!)</f>
        <v>#REF!</v>
      </c>
    </row>
    <row r="3955" spans="1:17">
      <c r="A3955" s="332" t="s">
        <v>346</v>
      </c>
      <c r="B3955" s="333" t="s">
        <v>546</v>
      </c>
      <c r="C3955" s="333"/>
      <c r="D3955" s="399" t="s">
        <v>547</v>
      </c>
      <c r="E3955" s="333">
        <v>201609</v>
      </c>
      <c r="F3955" s="431">
        <v>-0.01</v>
      </c>
      <c r="G3955" s="332">
        <v>7.5</v>
      </c>
      <c r="H3955" s="381">
        <v>3.1250000000000002E-3</v>
      </c>
      <c r="I3955" s="334">
        <v>0</v>
      </c>
      <c r="J3955" s="334">
        <v>0</v>
      </c>
      <c r="Q3955" s="101" t="e">
        <f>IF(E3955&lt;=$Q$1,$S$5,#REF!)</f>
        <v>#REF!</v>
      </c>
    </row>
    <row r="3956" spans="1:17">
      <c r="A3956" s="332" t="s">
        <v>346</v>
      </c>
      <c r="B3956" s="333" t="s">
        <v>589</v>
      </c>
      <c r="C3956" s="333"/>
      <c r="D3956" s="399" t="s">
        <v>590</v>
      </c>
      <c r="E3956" s="333">
        <v>201609</v>
      </c>
      <c r="F3956" s="431">
        <v>9.48</v>
      </c>
      <c r="G3956" s="332">
        <v>7.5</v>
      </c>
      <c r="H3956" s="381">
        <v>3.1250000000000002E-3</v>
      </c>
      <c r="I3956" s="334">
        <v>0.22</v>
      </c>
      <c r="J3956" s="334">
        <v>0.36</v>
      </c>
      <c r="Q3956" s="101" t="e">
        <f>IF(E3956&lt;=$Q$1,$S$5,#REF!)</f>
        <v>#REF!</v>
      </c>
    </row>
    <row r="3957" spans="1:17">
      <c r="A3957" s="332" t="s">
        <v>346</v>
      </c>
      <c r="B3957" s="333" t="s">
        <v>643</v>
      </c>
      <c r="C3957" s="333"/>
      <c r="D3957" s="332" t="s">
        <v>644</v>
      </c>
      <c r="E3957" s="333">
        <v>201609</v>
      </c>
      <c r="F3957" s="334">
        <v>829.39</v>
      </c>
      <c r="G3957" s="332">
        <v>7.5</v>
      </c>
      <c r="H3957" s="381">
        <v>3.1250000000000002E-3</v>
      </c>
      <c r="I3957" s="334">
        <v>19.440000000000001</v>
      </c>
      <c r="J3957" s="334">
        <v>31.1</v>
      </c>
      <c r="Q3957" s="101" t="e">
        <f>IF(E3957&lt;=$Q$1,$S$5,#REF!)</f>
        <v>#REF!</v>
      </c>
    </row>
    <row r="3958" spans="1:17">
      <c r="A3958" s="332" t="s">
        <v>346</v>
      </c>
      <c r="B3958" s="333" t="s">
        <v>553</v>
      </c>
      <c r="C3958" s="333"/>
      <c r="D3958" s="332" t="s">
        <v>552</v>
      </c>
      <c r="E3958" s="333">
        <v>201609</v>
      </c>
      <c r="F3958" s="334">
        <v>-9.07</v>
      </c>
      <c r="G3958" s="332">
        <v>7.5</v>
      </c>
      <c r="H3958" s="381">
        <v>3.1250000000000002E-3</v>
      </c>
      <c r="I3958" s="334">
        <v>-0.21</v>
      </c>
      <c r="J3958" s="334">
        <v>-0.34</v>
      </c>
      <c r="Q3958" s="101" t="e">
        <f>IF(E3958&lt;=$Q$1,$S$5,#REF!)</f>
        <v>#REF!</v>
      </c>
    </row>
    <row r="3959" spans="1:17">
      <c r="A3959" s="426" t="s">
        <v>346</v>
      </c>
      <c r="B3959" s="243" t="s">
        <v>856</v>
      </c>
      <c r="C3959" s="435"/>
      <c r="D3959" s="242" t="s">
        <v>857</v>
      </c>
      <c r="E3959" s="435">
        <v>201609</v>
      </c>
      <c r="F3959" s="427">
        <v>2085.7199999999998</v>
      </c>
      <c r="G3959" s="426">
        <v>7.5</v>
      </c>
      <c r="H3959" s="430">
        <v>3.1250000000000002E-3</v>
      </c>
      <c r="I3959" s="427">
        <v>48.88</v>
      </c>
      <c r="J3959" s="427">
        <v>78.209999999999994</v>
      </c>
      <c r="Q3959" s="101" t="e">
        <f>IF(E3959&lt;=$Q$1,$S$5,#REF!)</f>
        <v>#REF!</v>
      </c>
    </row>
    <row r="3960" spans="1:17">
      <c r="A3960" s="475" t="s">
        <v>346</v>
      </c>
      <c r="B3960" s="476" t="s">
        <v>800</v>
      </c>
      <c r="C3960" s="476"/>
      <c r="D3960" s="475" t="s">
        <v>830</v>
      </c>
      <c r="E3960" s="476">
        <v>201609</v>
      </c>
      <c r="F3960" s="477">
        <v>406.33</v>
      </c>
      <c r="G3960" s="475">
        <v>7.5</v>
      </c>
      <c r="H3960" s="478">
        <v>3.1250000000000002E-3</v>
      </c>
      <c r="I3960" s="477">
        <v>9.52</v>
      </c>
      <c r="J3960" s="477">
        <v>15.24</v>
      </c>
      <c r="Q3960" s="101" t="e">
        <f>IF(E3960&lt;=$Q$1,$S$5,#REF!)</f>
        <v>#REF!</v>
      </c>
    </row>
    <row r="3961" spans="1:17" s="471" customFormat="1">
      <c r="A3961" s="475" t="s">
        <v>346</v>
      </c>
      <c r="B3961" s="476" t="s">
        <v>708</v>
      </c>
      <c r="C3961" s="476"/>
      <c r="D3961" s="475" t="s">
        <v>709</v>
      </c>
      <c r="E3961" s="476">
        <v>201609</v>
      </c>
      <c r="F3961" s="477">
        <v>367.75</v>
      </c>
      <c r="G3961" s="475">
        <v>7.5</v>
      </c>
      <c r="H3961" s="478">
        <v>3.1250000000000002E-3</v>
      </c>
      <c r="I3961" s="477">
        <v>8.6199999999999992</v>
      </c>
      <c r="J3961" s="477">
        <v>13.79</v>
      </c>
    </row>
    <row r="3962" spans="1:17" s="471" customFormat="1">
      <c r="A3962" s="475" t="s">
        <v>346</v>
      </c>
      <c r="B3962" s="476" t="s">
        <v>451</v>
      </c>
      <c r="C3962" s="476"/>
      <c r="D3962" s="475" t="s">
        <v>452</v>
      </c>
      <c r="E3962" s="476">
        <v>201609</v>
      </c>
      <c r="F3962" s="477">
        <v>2.7</v>
      </c>
      <c r="G3962" s="475">
        <v>7.5</v>
      </c>
      <c r="H3962" s="478">
        <v>3.1250000000000002E-3</v>
      </c>
      <c r="I3962" s="477">
        <v>0.06</v>
      </c>
      <c r="J3962" s="477">
        <v>0.1</v>
      </c>
    </row>
    <row r="3963" spans="1:17" s="471" customFormat="1">
      <c r="A3963" s="475" t="s">
        <v>346</v>
      </c>
      <c r="B3963" s="476" t="s">
        <v>645</v>
      </c>
      <c r="C3963" s="476"/>
      <c r="D3963" s="475" t="s">
        <v>646</v>
      </c>
      <c r="E3963" s="476">
        <v>201609</v>
      </c>
      <c r="F3963" s="477">
        <v>-3.98</v>
      </c>
      <c r="G3963" s="475">
        <v>7.5</v>
      </c>
      <c r="H3963" s="478">
        <v>3.1250000000000002E-3</v>
      </c>
      <c r="I3963" s="477">
        <v>-0.09</v>
      </c>
      <c r="J3963" s="477">
        <v>-0.15</v>
      </c>
    </row>
    <row r="3964" spans="1:17" s="471" customFormat="1">
      <c r="A3964" s="475" t="s">
        <v>346</v>
      </c>
      <c r="B3964" s="476" t="s">
        <v>647</v>
      </c>
      <c r="C3964" s="476"/>
      <c r="D3964" s="475" t="s">
        <v>648</v>
      </c>
      <c r="E3964" s="476">
        <v>201609</v>
      </c>
      <c r="F3964" s="477">
        <v>50.13</v>
      </c>
      <c r="G3964" s="475">
        <v>7.5</v>
      </c>
      <c r="H3964" s="478">
        <v>3.1250000000000002E-3</v>
      </c>
      <c r="I3964" s="477">
        <v>1.17</v>
      </c>
      <c r="J3964" s="477">
        <v>1.88</v>
      </c>
    </row>
    <row r="3965" spans="1:17" s="471" customFormat="1">
      <c r="A3965" s="475" t="s">
        <v>346</v>
      </c>
      <c r="B3965" s="476" t="s">
        <v>784</v>
      </c>
      <c r="C3965" s="476"/>
      <c r="D3965" s="475" t="s">
        <v>785</v>
      </c>
      <c r="E3965" s="476">
        <v>201609</v>
      </c>
      <c r="F3965" s="477">
        <v>-175477.65</v>
      </c>
      <c r="G3965" s="475">
        <v>7.5</v>
      </c>
      <c r="H3965" s="478">
        <v>3.1250000000000002E-3</v>
      </c>
      <c r="I3965" s="477">
        <v>-4112.76</v>
      </c>
      <c r="J3965" s="477">
        <v>-6580.41</v>
      </c>
    </row>
    <row r="3966" spans="1:17" s="471" customFormat="1">
      <c r="A3966" s="475" t="s">
        <v>346</v>
      </c>
      <c r="B3966" s="476" t="s">
        <v>629</v>
      </c>
      <c r="C3966" s="476"/>
      <c r="D3966" s="475" t="s">
        <v>630</v>
      </c>
      <c r="E3966" s="476">
        <v>201609</v>
      </c>
      <c r="F3966" s="477">
        <v>2.66</v>
      </c>
      <c r="G3966" s="475">
        <v>7.5</v>
      </c>
      <c r="H3966" s="478">
        <v>3.1250000000000002E-3</v>
      </c>
      <c r="I3966" s="477">
        <v>0.06</v>
      </c>
      <c r="J3966" s="477">
        <v>0.1</v>
      </c>
    </row>
    <row r="3967" spans="1:17" s="471" customFormat="1">
      <c r="A3967" s="475" t="s">
        <v>346</v>
      </c>
      <c r="B3967" s="476" t="s">
        <v>592</v>
      </c>
      <c r="C3967" s="476"/>
      <c r="D3967" s="475" t="s">
        <v>593</v>
      </c>
      <c r="E3967" s="476">
        <v>201609</v>
      </c>
      <c r="F3967" s="477">
        <v>-0.59</v>
      </c>
      <c r="G3967" s="475">
        <v>7.5</v>
      </c>
      <c r="H3967" s="478">
        <v>3.1250000000000002E-3</v>
      </c>
      <c r="I3967" s="477">
        <v>-0.01</v>
      </c>
      <c r="J3967" s="477">
        <v>-0.02</v>
      </c>
    </row>
    <row r="3968" spans="1:17" s="471" customFormat="1">
      <c r="A3968" s="475" t="s">
        <v>346</v>
      </c>
      <c r="B3968" s="476" t="s">
        <v>717</v>
      </c>
      <c r="C3968" s="476"/>
      <c r="D3968" s="475" t="s">
        <v>718</v>
      </c>
      <c r="E3968" s="476">
        <v>201609</v>
      </c>
      <c r="F3968" s="477">
        <v>110.77</v>
      </c>
      <c r="G3968" s="475">
        <v>7.5</v>
      </c>
      <c r="H3968" s="478">
        <v>3.1250000000000002E-3</v>
      </c>
      <c r="I3968" s="477">
        <v>2.6</v>
      </c>
      <c r="J3968" s="477">
        <v>4.1500000000000004</v>
      </c>
    </row>
    <row r="3969" spans="1:10" s="471" customFormat="1">
      <c r="A3969" s="475" t="s">
        <v>346</v>
      </c>
      <c r="B3969" s="476" t="s">
        <v>631</v>
      </c>
      <c r="C3969" s="476"/>
      <c r="D3969" s="475" t="s">
        <v>632</v>
      </c>
      <c r="E3969" s="476">
        <v>201609</v>
      </c>
      <c r="F3969" s="477">
        <v>477630.22</v>
      </c>
      <c r="G3969" s="475">
        <v>7.5</v>
      </c>
      <c r="H3969" s="478">
        <v>3.1250000000000002E-3</v>
      </c>
      <c r="I3969" s="477">
        <v>11194.46</v>
      </c>
      <c r="J3969" s="477">
        <v>17911.13</v>
      </c>
    </row>
    <row r="3970" spans="1:10" s="471" customFormat="1">
      <c r="A3970" s="475" t="s">
        <v>346</v>
      </c>
      <c r="B3970" s="476" t="s">
        <v>649</v>
      </c>
      <c r="C3970" s="476"/>
      <c r="D3970" s="475" t="s">
        <v>650</v>
      </c>
      <c r="E3970" s="476">
        <v>201609</v>
      </c>
      <c r="F3970" s="477">
        <v>4549.45</v>
      </c>
      <c r="G3970" s="475">
        <v>7.5</v>
      </c>
      <c r="H3970" s="478">
        <v>3.1250000000000002E-3</v>
      </c>
      <c r="I3970" s="477">
        <v>106.63</v>
      </c>
      <c r="J3970" s="477">
        <v>170.6</v>
      </c>
    </row>
    <row r="3971" spans="1:10" s="471" customFormat="1">
      <c r="A3971" s="475" t="s">
        <v>346</v>
      </c>
      <c r="B3971" s="476" t="s">
        <v>838</v>
      </c>
      <c r="C3971" s="476"/>
      <c r="D3971" s="475" t="s">
        <v>1015</v>
      </c>
      <c r="E3971" s="476">
        <v>201609</v>
      </c>
      <c r="F3971" s="477">
        <v>3762.96</v>
      </c>
      <c r="G3971" s="475">
        <v>7.5</v>
      </c>
      <c r="H3971" s="478">
        <v>3.1250000000000002E-3</v>
      </c>
      <c r="I3971" s="477">
        <v>88.19</v>
      </c>
      <c r="J3971" s="477">
        <v>141.11000000000001</v>
      </c>
    </row>
    <row r="3972" spans="1:10" s="471" customFormat="1">
      <c r="A3972" s="475" t="s">
        <v>346</v>
      </c>
      <c r="B3972" s="476" t="s">
        <v>911</v>
      </c>
      <c r="C3972" s="476"/>
      <c r="D3972" s="475" t="s">
        <v>903</v>
      </c>
      <c r="E3972" s="476">
        <v>201609</v>
      </c>
      <c r="F3972" s="477">
        <v>1.17</v>
      </c>
      <c r="G3972" s="475">
        <v>7.5</v>
      </c>
      <c r="H3972" s="478">
        <v>3.1250000000000002E-3</v>
      </c>
      <c r="I3972" s="477">
        <v>0.03</v>
      </c>
      <c r="J3972" s="477">
        <v>0.04</v>
      </c>
    </row>
    <row r="3973" spans="1:10" s="471" customFormat="1">
      <c r="A3973" s="475" t="s">
        <v>346</v>
      </c>
      <c r="B3973" s="476" t="s">
        <v>651</v>
      </c>
      <c r="C3973" s="476"/>
      <c r="D3973" s="475" t="s">
        <v>652</v>
      </c>
      <c r="E3973" s="476">
        <v>201609</v>
      </c>
      <c r="F3973" s="477">
        <v>2128.4499999999998</v>
      </c>
      <c r="G3973" s="475">
        <v>7.5</v>
      </c>
      <c r="H3973" s="478">
        <v>3.1250000000000002E-3</v>
      </c>
      <c r="I3973" s="477">
        <v>49.89</v>
      </c>
      <c r="J3973" s="477">
        <v>79.819999999999993</v>
      </c>
    </row>
    <row r="3974" spans="1:10" s="471" customFormat="1">
      <c r="A3974" s="475" t="s">
        <v>346</v>
      </c>
      <c r="B3974" s="476" t="s">
        <v>786</v>
      </c>
      <c r="C3974" s="476"/>
      <c r="D3974" s="475" t="s">
        <v>787</v>
      </c>
      <c r="E3974" s="476">
        <v>201609</v>
      </c>
      <c r="F3974" s="477">
        <v>4163.41</v>
      </c>
      <c r="G3974" s="475">
        <v>7.5</v>
      </c>
      <c r="H3974" s="478">
        <v>3.1250000000000002E-3</v>
      </c>
      <c r="I3974" s="477">
        <v>97.58</v>
      </c>
      <c r="J3974" s="477">
        <v>156.13</v>
      </c>
    </row>
    <row r="3975" spans="1:10" s="471" customFormat="1">
      <c r="A3975" s="475" t="s">
        <v>346</v>
      </c>
      <c r="B3975" s="476" t="s">
        <v>653</v>
      </c>
      <c r="C3975" s="476"/>
      <c r="D3975" s="475" t="s">
        <v>654</v>
      </c>
      <c r="E3975" s="476">
        <v>201609</v>
      </c>
      <c r="F3975" s="477">
        <v>1502.31</v>
      </c>
      <c r="G3975" s="475">
        <v>7.5</v>
      </c>
      <c r="H3975" s="478">
        <v>3.1250000000000002E-3</v>
      </c>
      <c r="I3975" s="477">
        <v>35.21</v>
      </c>
      <c r="J3975" s="477">
        <v>56.34</v>
      </c>
    </row>
    <row r="3976" spans="1:10" s="471" customFormat="1">
      <c r="A3976" s="475" t="s">
        <v>346</v>
      </c>
      <c r="B3976" s="476" t="s">
        <v>912</v>
      </c>
      <c r="C3976" s="476"/>
      <c r="D3976" s="475" t="s">
        <v>904</v>
      </c>
      <c r="E3976" s="476">
        <v>201609</v>
      </c>
      <c r="F3976" s="477">
        <v>102.8</v>
      </c>
      <c r="G3976" s="475">
        <v>7.5</v>
      </c>
      <c r="H3976" s="478">
        <v>3.1250000000000002E-3</v>
      </c>
      <c r="I3976" s="477">
        <v>2.41</v>
      </c>
      <c r="J3976" s="477">
        <v>3.86</v>
      </c>
    </row>
    <row r="3977" spans="1:10" s="471" customFormat="1">
      <c r="A3977" s="475" t="s">
        <v>346</v>
      </c>
      <c r="B3977" s="476" t="s">
        <v>913</v>
      </c>
      <c r="C3977" s="476"/>
      <c r="D3977" s="475" t="s">
        <v>910</v>
      </c>
      <c r="E3977" s="476">
        <v>201609</v>
      </c>
      <c r="F3977" s="477">
        <v>77.56</v>
      </c>
      <c r="G3977" s="475">
        <v>7.5</v>
      </c>
      <c r="H3977" s="478">
        <v>3.1250000000000002E-3</v>
      </c>
      <c r="I3977" s="477">
        <v>1.82</v>
      </c>
      <c r="J3977" s="477">
        <v>2.91</v>
      </c>
    </row>
    <row r="3978" spans="1:10" s="471" customFormat="1">
      <c r="A3978" s="475" t="s">
        <v>346</v>
      </c>
      <c r="B3978" s="476" t="s">
        <v>655</v>
      </c>
      <c r="C3978" s="476"/>
      <c r="D3978" s="475" t="s">
        <v>656</v>
      </c>
      <c r="E3978" s="476">
        <v>201609</v>
      </c>
      <c r="F3978" s="477">
        <v>8.07</v>
      </c>
      <c r="G3978" s="475">
        <v>7.5</v>
      </c>
      <c r="H3978" s="478">
        <v>3.1250000000000002E-3</v>
      </c>
      <c r="I3978" s="477">
        <v>0.19</v>
      </c>
      <c r="J3978" s="477">
        <v>0.3</v>
      </c>
    </row>
    <row r="3979" spans="1:10" s="471" customFormat="1">
      <c r="A3979" s="475" t="s">
        <v>346</v>
      </c>
      <c r="B3979" s="476" t="s">
        <v>594</v>
      </c>
      <c r="C3979" s="476"/>
      <c r="D3979" s="475" t="s">
        <v>595</v>
      </c>
      <c r="E3979" s="476">
        <v>201609</v>
      </c>
      <c r="F3979" s="477">
        <v>1.29</v>
      </c>
      <c r="G3979" s="475">
        <v>7.5</v>
      </c>
      <c r="H3979" s="478">
        <v>3.1250000000000002E-3</v>
      </c>
      <c r="I3979" s="477">
        <v>0.03</v>
      </c>
      <c r="J3979" s="477">
        <v>0.05</v>
      </c>
    </row>
    <row r="3980" spans="1:10" s="471" customFormat="1">
      <c r="A3980" s="475" t="s">
        <v>346</v>
      </c>
      <c r="B3980" s="476" t="s">
        <v>596</v>
      </c>
      <c r="C3980" s="476"/>
      <c r="D3980" s="475" t="s">
        <v>597</v>
      </c>
      <c r="E3980" s="476">
        <v>201609</v>
      </c>
      <c r="F3980" s="477">
        <v>1.1299999999999999</v>
      </c>
      <c r="G3980" s="475">
        <v>7.5</v>
      </c>
      <c r="H3980" s="478">
        <v>3.1250000000000002E-3</v>
      </c>
      <c r="I3980" s="477">
        <v>0.03</v>
      </c>
      <c r="J3980" s="477">
        <v>0.04</v>
      </c>
    </row>
    <row r="3981" spans="1:10" s="471" customFormat="1">
      <c r="A3981" s="475" t="s">
        <v>346</v>
      </c>
      <c r="B3981" s="476" t="s">
        <v>657</v>
      </c>
      <c r="C3981" s="476"/>
      <c r="D3981" s="475" t="s">
        <v>658</v>
      </c>
      <c r="E3981" s="476">
        <v>201609</v>
      </c>
      <c r="F3981" s="477">
        <v>-17.510000000000002</v>
      </c>
      <c r="G3981" s="475">
        <v>7.5</v>
      </c>
      <c r="H3981" s="478">
        <v>3.1250000000000002E-3</v>
      </c>
      <c r="I3981" s="477">
        <v>-0.41</v>
      </c>
      <c r="J3981" s="477">
        <v>-0.66</v>
      </c>
    </row>
    <row r="3982" spans="1:10" s="471" customFormat="1">
      <c r="A3982" s="475" t="s">
        <v>346</v>
      </c>
      <c r="B3982" s="476" t="s">
        <v>659</v>
      </c>
      <c r="C3982" s="476"/>
      <c r="D3982" s="475" t="s">
        <v>660</v>
      </c>
      <c r="E3982" s="476">
        <v>201609</v>
      </c>
      <c r="F3982" s="477">
        <v>-78.930000000000007</v>
      </c>
      <c r="G3982" s="475">
        <v>7.5</v>
      </c>
      <c r="H3982" s="478">
        <v>3.1250000000000002E-3</v>
      </c>
      <c r="I3982" s="477">
        <v>-1.85</v>
      </c>
      <c r="J3982" s="477">
        <v>-2.96</v>
      </c>
    </row>
    <row r="3983" spans="1:10" s="471" customFormat="1">
      <c r="A3983" s="475" t="s">
        <v>346</v>
      </c>
      <c r="B3983" s="476" t="s">
        <v>661</v>
      </c>
      <c r="C3983" s="476"/>
      <c r="D3983" s="475" t="s">
        <v>662</v>
      </c>
      <c r="E3983" s="476">
        <v>201609</v>
      </c>
      <c r="F3983" s="477">
        <v>12438.93</v>
      </c>
      <c r="G3983" s="475">
        <v>7.5</v>
      </c>
      <c r="H3983" s="478">
        <v>3.1250000000000002E-3</v>
      </c>
      <c r="I3983" s="477">
        <v>291.54000000000002</v>
      </c>
      <c r="J3983" s="477">
        <v>466.46</v>
      </c>
    </row>
    <row r="3984" spans="1:10" s="471" customFormat="1">
      <c r="A3984" s="475" t="s">
        <v>346</v>
      </c>
      <c r="B3984" s="476" t="s">
        <v>663</v>
      </c>
      <c r="C3984" s="476"/>
      <c r="D3984" s="475" t="s">
        <v>664</v>
      </c>
      <c r="E3984" s="476">
        <v>201609</v>
      </c>
      <c r="F3984" s="477">
        <v>2286.71</v>
      </c>
      <c r="G3984" s="475">
        <v>7.5</v>
      </c>
      <c r="H3984" s="478">
        <v>3.1250000000000002E-3</v>
      </c>
      <c r="I3984" s="477">
        <v>53.59</v>
      </c>
      <c r="J3984" s="477">
        <v>85.75</v>
      </c>
    </row>
    <row r="3985" spans="1:10" s="471" customFormat="1">
      <c r="A3985" s="475" t="s">
        <v>346</v>
      </c>
      <c r="B3985" s="476" t="s">
        <v>665</v>
      </c>
      <c r="C3985" s="476"/>
      <c r="D3985" s="475" t="s">
        <v>666</v>
      </c>
      <c r="E3985" s="476">
        <v>201609</v>
      </c>
      <c r="F3985" s="477">
        <v>100.78</v>
      </c>
      <c r="G3985" s="475">
        <v>7.5</v>
      </c>
      <c r="H3985" s="478">
        <v>3.1250000000000002E-3</v>
      </c>
      <c r="I3985" s="477">
        <v>2.36</v>
      </c>
      <c r="J3985" s="477">
        <v>3.78</v>
      </c>
    </row>
    <row r="3986" spans="1:10" s="471" customFormat="1">
      <c r="A3986" s="475" t="s">
        <v>346</v>
      </c>
      <c r="B3986" s="476" t="s">
        <v>801</v>
      </c>
      <c r="C3986" s="476"/>
      <c r="D3986" s="475" t="s">
        <v>802</v>
      </c>
      <c r="E3986" s="476">
        <v>201609</v>
      </c>
      <c r="F3986" s="477">
        <v>3576.29</v>
      </c>
      <c r="G3986" s="475">
        <v>7.5</v>
      </c>
      <c r="H3986" s="478">
        <v>3.1250000000000002E-3</v>
      </c>
      <c r="I3986" s="477">
        <v>83.82</v>
      </c>
      <c r="J3986" s="477">
        <v>134.11000000000001</v>
      </c>
    </row>
    <row r="3987" spans="1:10" s="471" customFormat="1">
      <c r="A3987" s="475" t="s">
        <v>346</v>
      </c>
      <c r="B3987" s="476" t="s">
        <v>803</v>
      </c>
      <c r="C3987" s="476"/>
      <c r="D3987" s="475" t="s">
        <v>804</v>
      </c>
      <c r="E3987" s="476">
        <v>201609</v>
      </c>
      <c r="F3987" s="477">
        <v>-108028.18</v>
      </c>
      <c r="G3987" s="475">
        <v>7.5</v>
      </c>
      <c r="H3987" s="478">
        <v>3.1250000000000002E-3</v>
      </c>
      <c r="I3987" s="477">
        <v>-2531.91</v>
      </c>
      <c r="J3987" s="477">
        <v>-4051.06</v>
      </c>
    </row>
    <row r="3988" spans="1:10" s="471" customFormat="1">
      <c r="A3988" s="475" t="s">
        <v>346</v>
      </c>
      <c r="B3988" s="476" t="s">
        <v>805</v>
      </c>
      <c r="C3988" s="476"/>
      <c r="D3988" s="475" t="s">
        <v>806</v>
      </c>
      <c r="E3988" s="476">
        <v>201609</v>
      </c>
      <c r="F3988" s="477">
        <v>-179.57</v>
      </c>
      <c r="G3988" s="475">
        <v>7.5</v>
      </c>
      <c r="H3988" s="478">
        <v>3.1250000000000002E-3</v>
      </c>
      <c r="I3988" s="477">
        <v>-4.21</v>
      </c>
      <c r="J3988" s="477">
        <v>-6.73</v>
      </c>
    </row>
    <row r="3989" spans="1:10" s="471" customFormat="1">
      <c r="A3989" s="475" t="s">
        <v>346</v>
      </c>
      <c r="B3989" s="476" t="s">
        <v>598</v>
      </c>
      <c r="C3989" s="476"/>
      <c r="D3989" s="475" t="s">
        <v>599</v>
      </c>
      <c r="E3989" s="476">
        <v>201609</v>
      </c>
      <c r="F3989" s="477">
        <v>-0.25</v>
      </c>
      <c r="G3989" s="475">
        <v>7.5</v>
      </c>
      <c r="H3989" s="478">
        <v>3.1250000000000002E-3</v>
      </c>
      <c r="I3989" s="477">
        <v>-0.01</v>
      </c>
      <c r="J3989" s="477">
        <v>-0.01</v>
      </c>
    </row>
    <row r="3990" spans="1:10" s="471" customFormat="1">
      <c r="A3990" s="475" t="s">
        <v>346</v>
      </c>
      <c r="B3990" s="476" t="s">
        <v>600</v>
      </c>
      <c r="C3990" s="476"/>
      <c r="D3990" s="475" t="s">
        <v>601</v>
      </c>
      <c r="E3990" s="476">
        <v>201609</v>
      </c>
      <c r="F3990" s="477">
        <v>1.24</v>
      </c>
      <c r="G3990" s="475">
        <v>7.5</v>
      </c>
      <c r="H3990" s="478">
        <v>3.1250000000000002E-3</v>
      </c>
      <c r="I3990" s="477">
        <v>0.03</v>
      </c>
      <c r="J3990" s="477">
        <v>0.05</v>
      </c>
    </row>
    <row r="3991" spans="1:10" s="471" customFormat="1">
      <c r="A3991" s="475" t="s">
        <v>346</v>
      </c>
      <c r="B3991" s="476" t="s">
        <v>554</v>
      </c>
      <c r="C3991" s="476"/>
      <c r="D3991" s="475" t="s">
        <v>555</v>
      </c>
      <c r="E3991" s="476">
        <v>201609</v>
      </c>
      <c r="F3991" s="477">
        <v>0.15</v>
      </c>
      <c r="G3991" s="475">
        <v>7.5</v>
      </c>
      <c r="H3991" s="478">
        <v>3.1250000000000002E-3</v>
      </c>
      <c r="I3991" s="477">
        <v>0</v>
      </c>
      <c r="J3991" s="477">
        <v>0.01</v>
      </c>
    </row>
    <row r="3992" spans="1:10" s="471" customFormat="1">
      <c r="A3992" s="475" t="s">
        <v>346</v>
      </c>
      <c r="B3992" s="476" t="s">
        <v>556</v>
      </c>
      <c r="C3992" s="476"/>
      <c r="D3992" s="475" t="s">
        <v>557</v>
      </c>
      <c r="E3992" s="476">
        <v>201609</v>
      </c>
      <c r="F3992" s="477">
        <v>0.35</v>
      </c>
      <c r="G3992" s="475">
        <v>7.5</v>
      </c>
      <c r="H3992" s="478">
        <v>3.1250000000000002E-3</v>
      </c>
      <c r="I3992" s="477">
        <v>0.01</v>
      </c>
      <c r="J3992" s="477">
        <v>0.01</v>
      </c>
    </row>
    <row r="3993" spans="1:10" s="471" customFormat="1">
      <c r="A3993" s="475" t="s">
        <v>346</v>
      </c>
      <c r="B3993" s="476" t="s">
        <v>558</v>
      </c>
      <c r="C3993" s="476"/>
      <c r="D3993" s="475" t="s">
        <v>559</v>
      </c>
      <c r="E3993" s="476">
        <v>201609</v>
      </c>
      <c r="F3993" s="477">
        <v>-0.26</v>
      </c>
      <c r="G3993" s="475">
        <v>7.5</v>
      </c>
      <c r="H3993" s="478">
        <v>3.1250000000000002E-3</v>
      </c>
      <c r="I3993" s="477">
        <v>-0.01</v>
      </c>
      <c r="J3993" s="477">
        <v>-0.01</v>
      </c>
    </row>
    <row r="3994" spans="1:10" s="471" customFormat="1">
      <c r="A3994" s="475" t="s">
        <v>346</v>
      </c>
      <c r="B3994" s="476" t="s">
        <v>560</v>
      </c>
      <c r="C3994" s="476"/>
      <c r="D3994" s="475" t="s">
        <v>561</v>
      </c>
      <c r="E3994" s="476">
        <v>201609</v>
      </c>
      <c r="F3994" s="477">
        <v>-0.53</v>
      </c>
      <c r="G3994" s="475">
        <v>7.5</v>
      </c>
      <c r="H3994" s="478">
        <v>3.1250000000000002E-3</v>
      </c>
      <c r="I3994" s="477">
        <v>-0.01</v>
      </c>
      <c r="J3994" s="477">
        <v>-0.02</v>
      </c>
    </row>
    <row r="3995" spans="1:10" s="471" customFormat="1">
      <c r="A3995" s="475" t="s">
        <v>346</v>
      </c>
      <c r="B3995" s="476" t="s">
        <v>562</v>
      </c>
      <c r="C3995" s="476"/>
      <c r="D3995" s="475" t="s">
        <v>563</v>
      </c>
      <c r="E3995" s="476">
        <v>201609</v>
      </c>
      <c r="F3995" s="477">
        <v>18.100000000000001</v>
      </c>
      <c r="G3995" s="475">
        <v>7.5</v>
      </c>
      <c r="H3995" s="478">
        <v>3.1250000000000002E-3</v>
      </c>
      <c r="I3995" s="477">
        <v>0.42</v>
      </c>
      <c r="J3995" s="477">
        <v>0.68</v>
      </c>
    </row>
    <row r="3996" spans="1:10" s="471" customFormat="1">
      <c r="A3996" s="475" t="s">
        <v>346</v>
      </c>
      <c r="B3996" s="476" t="s">
        <v>1033</v>
      </c>
      <c r="C3996" s="476"/>
      <c r="D3996" s="475" t="s">
        <v>1034</v>
      </c>
      <c r="E3996" s="476">
        <v>201609</v>
      </c>
      <c r="F3996" s="477">
        <v>201233.26</v>
      </c>
      <c r="G3996" s="475">
        <v>7.5</v>
      </c>
      <c r="H3996" s="478">
        <v>3.1250000000000002E-3</v>
      </c>
      <c r="I3996" s="477">
        <v>4716.3999999999996</v>
      </c>
      <c r="J3996" s="477">
        <v>7546.25</v>
      </c>
    </row>
    <row r="3997" spans="1:10" s="471" customFormat="1">
      <c r="A3997" s="475" t="s">
        <v>346</v>
      </c>
      <c r="B3997" s="476" t="s">
        <v>602</v>
      </c>
      <c r="C3997" s="476"/>
      <c r="D3997" s="475" t="s">
        <v>603</v>
      </c>
      <c r="E3997" s="476">
        <v>201609</v>
      </c>
      <c r="F3997" s="477">
        <v>-16.5</v>
      </c>
      <c r="G3997" s="475">
        <v>7.5</v>
      </c>
      <c r="H3997" s="478">
        <v>3.1250000000000002E-3</v>
      </c>
      <c r="I3997" s="477">
        <v>-0.39</v>
      </c>
      <c r="J3997" s="477">
        <v>-0.62</v>
      </c>
    </row>
    <row r="3998" spans="1:10" s="471" customFormat="1">
      <c r="A3998" s="475" t="s">
        <v>346</v>
      </c>
      <c r="B3998" s="476" t="s">
        <v>810</v>
      </c>
      <c r="C3998" s="476"/>
      <c r="D3998" s="475" t="s">
        <v>811</v>
      </c>
      <c r="E3998" s="476">
        <v>201609</v>
      </c>
      <c r="F3998" s="477">
        <v>2004.18</v>
      </c>
      <c r="G3998" s="475">
        <v>7.5</v>
      </c>
      <c r="H3998" s="478">
        <v>3.1250000000000002E-3</v>
      </c>
      <c r="I3998" s="477">
        <v>46.97</v>
      </c>
      <c r="J3998" s="477">
        <v>75.16</v>
      </c>
    </row>
    <row r="3999" spans="1:10" s="471" customFormat="1">
      <c r="A3999" s="475" t="s">
        <v>346</v>
      </c>
      <c r="B3999" s="476" t="s">
        <v>812</v>
      </c>
      <c r="C3999" s="476"/>
      <c r="D3999" s="475" t="s">
        <v>813</v>
      </c>
      <c r="E3999" s="476">
        <v>201609</v>
      </c>
      <c r="F3999" s="477">
        <v>270707.76</v>
      </c>
      <c r="G3999" s="475">
        <v>7.5</v>
      </c>
      <c r="H3999" s="478">
        <v>3.1250000000000002E-3</v>
      </c>
      <c r="I3999" s="477">
        <v>6344.71</v>
      </c>
      <c r="J3999" s="477">
        <v>10151.540000000001</v>
      </c>
    </row>
    <row r="4000" spans="1:10" s="471" customFormat="1">
      <c r="A4000" s="475" t="s">
        <v>346</v>
      </c>
      <c r="B4000" s="476" t="s">
        <v>788</v>
      </c>
      <c r="C4000" s="476"/>
      <c r="D4000" s="475" t="s">
        <v>789</v>
      </c>
      <c r="E4000" s="476">
        <v>201609</v>
      </c>
      <c r="F4000" s="477">
        <v>2443.2199999999998</v>
      </c>
      <c r="G4000" s="475">
        <v>7.5</v>
      </c>
      <c r="H4000" s="478">
        <v>3.1250000000000002E-3</v>
      </c>
      <c r="I4000" s="477">
        <v>57.26</v>
      </c>
      <c r="J4000" s="477">
        <v>91.62</v>
      </c>
    </row>
    <row r="4001" spans="1:10" s="471" customFormat="1">
      <c r="A4001" s="475" t="s">
        <v>346</v>
      </c>
      <c r="B4001" s="476" t="s">
        <v>564</v>
      </c>
      <c r="C4001" s="476"/>
      <c r="D4001" s="475" t="s">
        <v>669</v>
      </c>
      <c r="E4001" s="476">
        <v>201609</v>
      </c>
      <c r="F4001" s="477">
        <v>-0.33</v>
      </c>
      <c r="G4001" s="475">
        <v>7.5</v>
      </c>
      <c r="H4001" s="478">
        <v>3.1250000000000002E-3</v>
      </c>
      <c r="I4001" s="477">
        <v>-0.01</v>
      </c>
      <c r="J4001" s="477">
        <v>-0.01</v>
      </c>
    </row>
    <row r="4002" spans="1:10" s="471" customFormat="1">
      <c r="A4002" s="475" t="s">
        <v>346</v>
      </c>
      <c r="B4002" s="476" t="s">
        <v>619</v>
      </c>
      <c r="C4002" s="476"/>
      <c r="D4002" s="475" t="s">
        <v>620</v>
      </c>
      <c r="E4002" s="476">
        <v>201609</v>
      </c>
      <c r="F4002" s="477">
        <v>4349.68</v>
      </c>
      <c r="G4002" s="475">
        <v>7.5</v>
      </c>
      <c r="H4002" s="478">
        <v>3.1250000000000002E-3</v>
      </c>
      <c r="I4002" s="477">
        <v>101.95</v>
      </c>
      <c r="J4002" s="477">
        <v>163.11000000000001</v>
      </c>
    </row>
    <row r="4003" spans="1:10" s="471" customFormat="1">
      <c r="A4003" s="475" t="s">
        <v>346</v>
      </c>
      <c r="B4003" s="476" t="s">
        <v>829</v>
      </c>
      <c r="C4003" s="476"/>
      <c r="D4003" s="475" t="s">
        <v>831</v>
      </c>
      <c r="E4003" s="476">
        <v>201609</v>
      </c>
      <c r="F4003" s="477">
        <v>-119356.84</v>
      </c>
      <c r="G4003" s="475">
        <v>7.5</v>
      </c>
      <c r="H4003" s="478">
        <v>3.1250000000000002E-3</v>
      </c>
      <c r="I4003" s="477">
        <v>-2797.43</v>
      </c>
      <c r="J4003" s="477">
        <v>-4475.88</v>
      </c>
    </row>
    <row r="4004" spans="1:10" s="471" customFormat="1">
      <c r="A4004" s="475" t="s">
        <v>346</v>
      </c>
      <c r="B4004" s="476" t="s">
        <v>670</v>
      </c>
      <c r="C4004" s="476"/>
      <c r="D4004" s="475" t="s">
        <v>671</v>
      </c>
      <c r="E4004" s="476">
        <v>201609</v>
      </c>
      <c r="F4004" s="477">
        <v>2266.75</v>
      </c>
      <c r="G4004" s="475">
        <v>7.5</v>
      </c>
      <c r="H4004" s="478">
        <v>3.1250000000000002E-3</v>
      </c>
      <c r="I4004" s="477">
        <v>53.13</v>
      </c>
      <c r="J4004" s="477">
        <v>85</v>
      </c>
    </row>
    <row r="4005" spans="1:10" s="471" customFormat="1">
      <c r="A4005" s="475" t="s">
        <v>346</v>
      </c>
      <c r="B4005" s="476" t="s">
        <v>606</v>
      </c>
      <c r="C4005" s="476"/>
      <c r="D4005" s="475" t="s">
        <v>607</v>
      </c>
      <c r="E4005" s="476">
        <v>201609</v>
      </c>
      <c r="F4005" s="477">
        <v>4.21</v>
      </c>
      <c r="G4005" s="475">
        <v>7.5</v>
      </c>
      <c r="H4005" s="478">
        <v>3.1250000000000002E-3</v>
      </c>
      <c r="I4005" s="477">
        <v>0.1</v>
      </c>
      <c r="J4005" s="477">
        <v>0.16</v>
      </c>
    </row>
    <row r="4006" spans="1:10" s="471" customFormat="1">
      <c r="A4006" s="475" t="s">
        <v>346</v>
      </c>
      <c r="B4006" s="476" t="s">
        <v>947</v>
      </c>
      <c r="C4006" s="476"/>
      <c r="D4006" s="475" t="s">
        <v>948</v>
      </c>
      <c r="E4006" s="476">
        <v>201609</v>
      </c>
      <c r="F4006" s="477">
        <v>3713.3</v>
      </c>
      <c r="G4006" s="475">
        <v>7.5</v>
      </c>
      <c r="H4006" s="478">
        <v>3.1250000000000002E-3</v>
      </c>
      <c r="I4006" s="477">
        <v>87.03</v>
      </c>
      <c r="J4006" s="477">
        <v>139.25</v>
      </c>
    </row>
    <row r="4007" spans="1:10" s="471" customFormat="1">
      <c r="A4007" s="475" t="s">
        <v>346</v>
      </c>
      <c r="B4007" s="476" t="s">
        <v>949</v>
      </c>
      <c r="C4007" s="476"/>
      <c r="D4007" s="475" t="s">
        <v>950</v>
      </c>
      <c r="E4007" s="476">
        <v>201609</v>
      </c>
      <c r="F4007" s="477">
        <v>4607.49</v>
      </c>
      <c r="G4007" s="475">
        <v>7.5</v>
      </c>
      <c r="H4007" s="478">
        <v>3.1250000000000002E-3</v>
      </c>
      <c r="I4007" s="477">
        <v>107.99</v>
      </c>
      <c r="J4007" s="477">
        <v>172.78</v>
      </c>
    </row>
    <row r="4008" spans="1:10" s="471" customFormat="1">
      <c r="A4008" s="475" t="s">
        <v>346</v>
      </c>
      <c r="B4008" s="476" t="s">
        <v>951</v>
      </c>
      <c r="C4008" s="476"/>
      <c r="D4008" s="475" t="s">
        <v>952</v>
      </c>
      <c r="E4008" s="476">
        <v>201609</v>
      </c>
      <c r="F4008" s="477">
        <v>2493.58</v>
      </c>
      <c r="G4008" s="475">
        <v>7.5</v>
      </c>
      <c r="H4008" s="478">
        <v>3.1250000000000002E-3</v>
      </c>
      <c r="I4008" s="477">
        <v>58.44</v>
      </c>
      <c r="J4008" s="477">
        <v>93.51</v>
      </c>
    </row>
    <row r="4009" spans="1:10" s="471" customFormat="1">
      <c r="A4009" s="475" t="s">
        <v>346</v>
      </c>
      <c r="B4009" s="476" t="s">
        <v>953</v>
      </c>
      <c r="C4009" s="476"/>
      <c r="D4009" s="475" t="s">
        <v>954</v>
      </c>
      <c r="E4009" s="476">
        <v>201609</v>
      </c>
      <c r="F4009" s="477">
        <v>1257.21</v>
      </c>
      <c r="G4009" s="475">
        <v>7.5</v>
      </c>
      <c r="H4009" s="478">
        <v>3.1250000000000002E-3</v>
      </c>
      <c r="I4009" s="477">
        <v>29.47</v>
      </c>
      <c r="J4009" s="477">
        <v>47.15</v>
      </c>
    </row>
    <row r="4010" spans="1:10" s="471" customFormat="1">
      <c r="A4010" s="475" t="s">
        <v>346</v>
      </c>
      <c r="B4010" s="476" t="s">
        <v>955</v>
      </c>
      <c r="C4010" s="476"/>
      <c r="D4010" s="475" t="s">
        <v>956</v>
      </c>
      <c r="E4010" s="476">
        <v>201609</v>
      </c>
      <c r="F4010" s="477">
        <v>2806.53</v>
      </c>
      <c r="G4010" s="475">
        <v>7.5</v>
      </c>
      <c r="H4010" s="478">
        <v>3.1250000000000002E-3</v>
      </c>
      <c r="I4010" s="477">
        <v>65.78</v>
      </c>
      <c r="J4010" s="477">
        <v>105.24</v>
      </c>
    </row>
    <row r="4011" spans="1:10" s="471" customFormat="1">
      <c r="A4011" s="475" t="s">
        <v>346</v>
      </c>
      <c r="B4011" s="476" t="s">
        <v>957</v>
      </c>
      <c r="C4011" s="476"/>
      <c r="D4011" s="475" t="s">
        <v>958</v>
      </c>
      <c r="E4011" s="476">
        <v>201609</v>
      </c>
      <c r="F4011" s="477">
        <v>3786.26</v>
      </c>
      <c r="G4011" s="475">
        <v>7.5</v>
      </c>
      <c r="H4011" s="478">
        <v>3.1250000000000002E-3</v>
      </c>
      <c r="I4011" s="477">
        <v>88.74</v>
      </c>
      <c r="J4011" s="477">
        <v>141.97999999999999</v>
      </c>
    </row>
    <row r="4012" spans="1:10" s="471" customFormat="1">
      <c r="A4012" s="475" t="s">
        <v>346</v>
      </c>
      <c r="B4012" s="476" t="s">
        <v>959</v>
      </c>
      <c r="C4012" s="476"/>
      <c r="D4012" s="475" t="s">
        <v>960</v>
      </c>
      <c r="E4012" s="476">
        <v>201609</v>
      </c>
      <c r="F4012" s="477">
        <v>3139.86</v>
      </c>
      <c r="G4012" s="475">
        <v>7.5</v>
      </c>
      <c r="H4012" s="478">
        <v>3.1250000000000002E-3</v>
      </c>
      <c r="I4012" s="477">
        <v>73.59</v>
      </c>
      <c r="J4012" s="477">
        <v>117.74</v>
      </c>
    </row>
    <row r="4013" spans="1:10" s="471" customFormat="1">
      <c r="A4013" s="475" t="s">
        <v>346</v>
      </c>
      <c r="B4013" s="476" t="s">
        <v>608</v>
      </c>
      <c r="C4013" s="476"/>
      <c r="D4013" s="475" t="s">
        <v>609</v>
      </c>
      <c r="E4013" s="476">
        <v>201609</v>
      </c>
      <c r="F4013" s="477">
        <v>0.13</v>
      </c>
      <c r="G4013" s="475">
        <v>7.5</v>
      </c>
      <c r="H4013" s="478">
        <v>3.1250000000000002E-3</v>
      </c>
      <c r="I4013" s="477">
        <v>0</v>
      </c>
      <c r="J4013" s="477">
        <v>0</v>
      </c>
    </row>
    <row r="4014" spans="1:10" s="471" customFormat="1">
      <c r="A4014" s="475" t="s">
        <v>346</v>
      </c>
      <c r="B4014" s="476" t="s">
        <v>565</v>
      </c>
      <c r="C4014" s="476"/>
      <c r="D4014" s="475" t="s">
        <v>566</v>
      </c>
      <c r="E4014" s="476">
        <v>201609</v>
      </c>
      <c r="F4014" s="477">
        <v>0.04</v>
      </c>
      <c r="G4014" s="475">
        <v>7.5</v>
      </c>
      <c r="H4014" s="478">
        <v>3.1250000000000002E-3</v>
      </c>
      <c r="I4014" s="477">
        <v>0</v>
      </c>
      <c r="J4014" s="477">
        <v>0</v>
      </c>
    </row>
    <row r="4015" spans="1:10" s="471" customFormat="1">
      <c r="A4015" s="475" t="s">
        <v>346</v>
      </c>
      <c r="B4015" s="476" t="s">
        <v>610</v>
      </c>
      <c r="C4015" s="476"/>
      <c r="D4015" s="475" t="s">
        <v>611</v>
      </c>
      <c r="E4015" s="476">
        <v>201609</v>
      </c>
      <c r="F4015" s="477">
        <v>1.69</v>
      </c>
      <c r="G4015" s="475">
        <v>7.5</v>
      </c>
      <c r="H4015" s="478">
        <v>3.1250000000000002E-3</v>
      </c>
      <c r="I4015" s="477">
        <v>0.04</v>
      </c>
      <c r="J4015" s="477">
        <v>0.06</v>
      </c>
    </row>
    <row r="4016" spans="1:10" s="471" customFormat="1">
      <c r="A4016" s="475" t="s">
        <v>346</v>
      </c>
      <c r="B4016" s="476" t="s">
        <v>567</v>
      </c>
      <c r="C4016" s="476"/>
      <c r="D4016" s="475" t="s">
        <v>568</v>
      </c>
      <c r="E4016" s="476">
        <v>201609</v>
      </c>
      <c r="F4016" s="477">
        <v>0.92</v>
      </c>
      <c r="G4016" s="475">
        <v>7.5</v>
      </c>
      <c r="H4016" s="478">
        <v>3.1250000000000002E-3</v>
      </c>
      <c r="I4016" s="477">
        <v>0.02</v>
      </c>
      <c r="J4016" s="477">
        <v>0.03</v>
      </c>
    </row>
    <row r="4017" spans="1:10" s="471" customFormat="1">
      <c r="A4017" s="475" t="s">
        <v>346</v>
      </c>
      <c r="B4017" s="476" t="s">
        <v>814</v>
      </c>
      <c r="C4017" s="476"/>
      <c r="D4017" s="475" t="s">
        <v>815</v>
      </c>
      <c r="E4017" s="476">
        <v>201609</v>
      </c>
      <c r="F4017" s="477">
        <v>3056.99</v>
      </c>
      <c r="G4017" s="475">
        <v>7.5</v>
      </c>
      <c r="H4017" s="478">
        <v>3.1250000000000002E-3</v>
      </c>
      <c r="I4017" s="477">
        <v>71.650000000000006</v>
      </c>
      <c r="J4017" s="477">
        <v>114.64</v>
      </c>
    </row>
    <row r="4018" spans="1:10" s="471" customFormat="1">
      <c r="A4018" s="475" t="s">
        <v>346</v>
      </c>
      <c r="B4018" s="476" t="s">
        <v>674</v>
      </c>
      <c r="C4018" s="476"/>
      <c r="D4018" s="475" t="s">
        <v>675</v>
      </c>
      <c r="E4018" s="476">
        <v>201609</v>
      </c>
      <c r="F4018" s="477">
        <v>130.35</v>
      </c>
      <c r="G4018" s="475">
        <v>7.5</v>
      </c>
      <c r="H4018" s="478">
        <v>3.1250000000000002E-3</v>
      </c>
      <c r="I4018" s="477">
        <v>3.06</v>
      </c>
      <c r="J4018" s="477">
        <v>4.8899999999999997</v>
      </c>
    </row>
    <row r="4019" spans="1:10" s="471" customFormat="1">
      <c r="A4019" s="475" t="s">
        <v>346</v>
      </c>
      <c r="B4019" s="476" t="s">
        <v>790</v>
      </c>
      <c r="C4019" s="476"/>
      <c r="D4019" s="475" t="s">
        <v>791</v>
      </c>
      <c r="E4019" s="476">
        <v>201609</v>
      </c>
      <c r="F4019" s="477">
        <v>1859.66</v>
      </c>
      <c r="G4019" s="475">
        <v>7.5</v>
      </c>
      <c r="H4019" s="478">
        <v>3.1250000000000002E-3</v>
      </c>
      <c r="I4019" s="477">
        <v>43.59</v>
      </c>
      <c r="J4019" s="477">
        <v>69.739999999999995</v>
      </c>
    </row>
    <row r="4020" spans="1:10" s="471" customFormat="1">
      <c r="A4020" s="475" t="s">
        <v>346</v>
      </c>
      <c r="B4020" s="476" t="s">
        <v>840</v>
      </c>
      <c r="C4020" s="476"/>
      <c r="D4020" s="475" t="s">
        <v>841</v>
      </c>
      <c r="E4020" s="476">
        <v>201609</v>
      </c>
      <c r="F4020" s="477">
        <v>6355.57</v>
      </c>
      <c r="G4020" s="475">
        <v>7.5</v>
      </c>
      <c r="H4020" s="478">
        <v>3.1250000000000002E-3</v>
      </c>
      <c r="I4020" s="477">
        <v>148.96</v>
      </c>
      <c r="J4020" s="477">
        <v>238.33</v>
      </c>
    </row>
    <row r="4021" spans="1:10" s="471" customFormat="1">
      <c r="A4021" s="475" t="s">
        <v>346</v>
      </c>
      <c r="B4021" s="476" t="s">
        <v>961</v>
      </c>
      <c r="C4021" s="476"/>
      <c r="D4021" s="475" t="s">
        <v>962</v>
      </c>
      <c r="E4021" s="476">
        <v>201609</v>
      </c>
      <c r="F4021" s="477">
        <v>4803.17</v>
      </c>
      <c r="G4021" s="475">
        <v>7.5</v>
      </c>
      <c r="H4021" s="478">
        <v>3.1250000000000002E-3</v>
      </c>
      <c r="I4021" s="477">
        <v>112.57</v>
      </c>
      <c r="J4021" s="477">
        <v>180.12</v>
      </c>
    </row>
    <row r="4022" spans="1:10" s="471" customFormat="1">
      <c r="A4022" s="475" t="s">
        <v>346</v>
      </c>
      <c r="B4022" s="476" t="s">
        <v>963</v>
      </c>
      <c r="C4022" s="476"/>
      <c r="D4022" s="475" t="s">
        <v>964</v>
      </c>
      <c r="E4022" s="476">
        <v>201609</v>
      </c>
      <c r="F4022" s="477">
        <v>680.03</v>
      </c>
      <c r="G4022" s="475">
        <v>7.5</v>
      </c>
      <c r="H4022" s="478">
        <v>3.1250000000000002E-3</v>
      </c>
      <c r="I4022" s="477">
        <v>15.94</v>
      </c>
      <c r="J4022" s="477">
        <v>25.5</v>
      </c>
    </row>
    <row r="4023" spans="1:10" s="471" customFormat="1">
      <c r="A4023" s="475" t="s">
        <v>346</v>
      </c>
      <c r="B4023" s="476" t="s">
        <v>965</v>
      </c>
      <c r="C4023" s="476"/>
      <c r="D4023" s="475" t="s">
        <v>966</v>
      </c>
      <c r="E4023" s="476">
        <v>201609</v>
      </c>
      <c r="F4023" s="477">
        <v>-1130.29</v>
      </c>
      <c r="G4023" s="475">
        <v>7.5</v>
      </c>
      <c r="H4023" s="478">
        <v>3.1250000000000002E-3</v>
      </c>
      <c r="I4023" s="477">
        <v>-26.49</v>
      </c>
      <c r="J4023" s="477">
        <v>-42.39</v>
      </c>
    </row>
    <row r="4024" spans="1:10" s="471" customFormat="1">
      <c r="A4024" s="475" t="s">
        <v>346</v>
      </c>
      <c r="B4024" s="476" t="s">
        <v>842</v>
      </c>
      <c r="C4024" s="476"/>
      <c r="D4024" s="475" t="s">
        <v>843</v>
      </c>
      <c r="E4024" s="476">
        <v>201609</v>
      </c>
      <c r="F4024" s="477">
        <v>3.53</v>
      </c>
      <c r="G4024" s="475">
        <v>7.5</v>
      </c>
      <c r="H4024" s="478">
        <v>3.1250000000000002E-3</v>
      </c>
      <c r="I4024" s="477">
        <v>0.08</v>
      </c>
      <c r="J4024" s="477">
        <v>0.13</v>
      </c>
    </row>
    <row r="4025" spans="1:10" s="471" customFormat="1">
      <c r="A4025" s="475" t="s">
        <v>346</v>
      </c>
      <c r="B4025" s="476" t="s">
        <v>723</v>
      </c>
      <c r="C4025" s="476"/>
      <c r="D4025" s="475" t="s">
        <v>724</v>
      </c>
      <c r="E4025" s="476">
        <v>201609</v>
      </c>
      <c r="F4025" s="477">
        <v>0.49</v>
      </c>
      <c r="G4025" s="475">
        <v>7.5</v>
      </c>
      <c r="H4025" s="478">
        <v>3.1250000000000002E-3</v>
      </c>
      <c r="I4025" s="477">
        <v>0.01</v>
      </c>
      <c r="J4025" s="477">
        <v>0.02</v>
      </c>
    </row>
    <row r="4026" spans="1:10" s="471" customFormat="1">
      <c r="A4026" s="475" t="s">
        <v>346</v>
      </c>
      <c r="B4026" s="476" t="s">
        <v>860</v>
      </c>
      <c r="C4026" s="476"/>
      <c r="D4026" s="475" t="s">
        <v>861</v>
      </c>
      <c r="E4026" s="476">
        <v>201609</v>
      </c>
      <c r="F4026" s="477">
        <v>6740.04</v>
      </c>
      <c r="G4026" s="475">
        <v>7.5</v>
      </c>
      <c r="H4026" s="478">
        <v>3.1250000000000002E-3</v>
      </c>
      <c r="I4026" s="477">
        <v>157.97</v>
      </c>
      <c r="J4026" s="477">
        <v>252.75</v>
      </c>
    </row>
    <row r="4027" spans="1:10" s="471" customFormat="1">
      <c r="A4027" s="475" t="s">
        <v>346</v>
      </c>
      <c r="B4027" s="476" t="s">
        <v>678</v>
      </c>
      <c r="C4027" s="476"/>
      <c r="D4027" s="475" t="s">
        <v>679</v>
      </c>
      <c r="E4027" s="476">
        <v>201609</v>
      </c>
      <c r="F4027" s="477">
        <v>1490.12</v>
      </c>
      <c r="G4027" s="475">
        <v>7.5</v>
      </c>
      <c r="H4027" s="478">
        <v>3.1250000000000002E-3</v>
      </c>
      <c r="I4027" s="477">
        <v>34.92</v>
      </c>
      <c r="J4027" s="477">
        <v>55.88</v>
      </c>
    </row>
    <row r="4028" spans="1:10" s="471" customFormat="1">
      <c r="A4028" s="475" t="s">
        <v>346</v>
      </c>
      <c r="B4028" s="476" t="s">
        <v>862</v>
      </c>
      <c r="C4028" s="476"/>
      <c r="D4028" s="475" t="s">
        <v>863</v>
      </c>
      <c r="E4028" s="476">
        <v>201609</v>
      </c>
      <c r="F4028" s="477">
        <v>6419.15</v>
      </c>
      <c r="G4028" s="475">
        <v>7.5</v>
      </c>
      <c r="H4028" s="478">
        <v>3.1250000000000002E-3</v>
      </c>
      <c r="I4028" s="477">
        <v>150.44999999999999</v>
      </c>
      <c r="J4028" s="477">
        <v>240.72</v>
      </c>
    </row>
    <row r="4029" spans="1:10" s="471" customFormat="1">
      <c r="A4029" s="475" t="s">
        <v>346</v>
      </c>
      <c r="B4029" s="476" t="s">
        <v>680</v>
      </c>
      <c r="C4029" s="476"/>
      <c r="D4029" s="475" t="s">
        <v>681</v>
      </c>
      <c r="E4029" s="476">
        <v>201609</v>
      </c>
      <c r="F4029" s="477">
        <v>-36220.17</v>
      </c>
      <c r="G4029" s="475">
        <v>7.5</v>
      </c>
      <c r="H4029" s="478">
        <v>3.1250000000000002E-3</v>
      </c>
      <c r="I4029" s="477">
        <v>-848.91</v>
      </c>
      <c r="J4029" s="477">
        <v>-1358.26</v>
      </c>
    </row>
    <row r="4030" spans="1:10" s="471" customFormat="1">
      <c r="A4030" s="475" t="s">
        <v>346</v>
      </c>
      <c r="B4030" s="476" t="s">
        <v>967</v>
      </c>
      <c r="C4030" s="476"/>
      <c r="D4030" s="475" t="s">
        <v>968</v>
      </c>
      <c r="E4030" s="476">
        <v>201609</v>
      </c>
      <c r="F4030" s="477">
        <v>6607.52</v>
      </c>
      <c r="G4030" s="475">
        <v>7.5</v>
      </c>
      <c r="H4030" s="478">
        <v>3.1250000000000002E-3</v>
      </c>
      <c r="I4030" s="477">
        <v>154.86000000000001</v>
      </c>
      <c r="J4030" s="477">
        <v>247.78</v>
      </c>
    </row>
    <row r="4031" spans="1:10" s="471" customFormat="1">
      <c r="A4031" s="475" t="s">
        <v>346</v>
      </c>
      <c r="B4031" s="476" t="s">
        <v>682</v>
      </c>
      <c r="C4031" s="476"/>
      <c r="D4031" s="475" t="s">
        <v>683</v>
      </c>
      <c r="E4031" s="476">
        <v>201609</v>
      </c>
      <c r="F4031" s="477">
        <v>36799.800000000003</v>
      </c>
      <c r="G4031" s="475">
        <v>7.5</v>
      </c>
      <c r="H4031" s="478">
        <v>3.1250000000000002E-3</v>
      </c>
      <c r="I4031" s="477">
        <v>862.5</v>
      </c>
      <c r="J4031" s="477">
        <v>1379.99</v>
      </c>
    </row>
    <row r="4032" spans="1:10" s="471" customFormat="1">
      <c r="A4032" s="475" t="s">
        <v>346</v>
      </c>
      <c r="B4032" s="476" t="s">
        <v>623</v>
      </c>
      <c r="C4032" s="476"/>
      <c r="D4032" s="475" t="s">
        <v>624</v>
      </c>
      <c r="E4032" s="476">
        <v>201609</v>
      </c>
      <c r="F4032" s="477">
        <v>43847.1</v>
      </c>
      <c r="G4032" s="475">
        <v>7.5</v>
      </c>
      <c r="H4032" s="478">
        <v>3.1250000000000002E-3</v>
      </c>
      <c r="I4032" s="477">
        <v>1027.67</v>
      </c>
      <c r="J4032" s="477">
        <v>1644.27</v>
      </c>
    </row>
    <row r="4033" spans="1:10" s="471" customFormat="1">
      <c r="A4033" s="475" t="s">
        <v>346</v>
      </c>
      <c r="B4033" s="476" t="s">
        <v>846</v>
      </c>
      <c r="C4033" s="476"/>
      <c r="D4033" s="475" t="s">
        <v>847</v>
      </c>
      <c r="E4033" s="476">
        <v>201609</v>
      </c>
      <c r="F4033" s="477">
        <v>3074.41</v>
      </c>
      <c r="G4033" s="475">
        <v>7.5</v>
      </c>
      <c r="H4033" s="478">
        <v>3.1250000000000002E-3</v>
      </c>
      <c r="I4033" s="477">
        <v>72.06</v>
      </c>
      <c r="J4033" s="477">
        <v>115.29</v>
      </c>
    </row>
    <row r="4034" spans="1:10" s="471" customFormat="1">
      <c r="A4034" s="475" t="s">
        <v>346</v>
      </c>
      <c r="B4034" s="476" t="s">
        <v>684</v>
      </c>
      <c r="C4034" s="476"/>
      <c r="D4034" s="475" t="s">
        <v>685</v>
      </c>
      <c r="E4034" s="476">
        <v>201609</v>
      </c>
      <c r="F4034" s="477">
        <v>-10.02</v>
      </c>
      <c r="G4034" s="475">
        <v>7.5</v>
      </c>
      <c r="H4034" s="478">
        <v>3.1250000000000002E-3</v>
      </c>
      <c r="I4034" s="477">
        <v>-0.23</v>
      </c>
      <c r="J4034" s="477">
        <v>-0.38</v>
      </c>
    </row>
    <row r="4035" spans="1:10" s="471" customFormat="1">
      <c r="A4035" s="475" t="s">
        <v>346</v>
      </c>
      <c r="B4035" s="476" t="s">
        <v>710</v>
      </c>
      <c r="C4035" s="476"/>
      <c r="D4035" s="475" t="s">
        <v>711</v>
      </c>
      <c r="E4035" s="476">
        <v>201609</v>
      </c>
      <c r="F4035" s="477">
        <v>0.11</v>
      </c>
      <c r="G4035" s="475">
        <v>7.5</v>
      </c>
      <c r="H4035" s="478">
        <v>3.1250000000000002E-3</v>
      </c>
      <c r="I4035" s="477">
        <v>0</v>
      </c>
      <c r="J4035" s="477">
        <v>0</v>
      </c>
    </row>
    <row r="4036" spans="1:10" s="471" customFormat="1">
      <c r="A4036" s="475" t="s">
        <v>346</v>
      </c>
      <c r="B4036" s="476" t="s">
        <v>712</v>
      </c>
      <c r="C4036" s="476"/>
      <c r="D4036" s="475" t="s">
        <v>713</v>
      </c>
      <c r="E4036" s="476">
        <v>201609</v>
      </c>
      <c r="F4036" s="477">
        <v>202.54</v>
      </c>
      <c r="G4036" s="475">
        <v>7.5</v>
      </c>
      <c r="H4036" s="478">
        <v>3.1250000000000002E-3</v>
      </c>
      <c r="I4036" s="477">
        <v>4.75</v>
      </c>
      <c r="J4036" s="477">
        <v>7.6</v>
      </c>
    </row>
    <row r="4037" spans="1:10" s="471" customFormat="1">
      <c r="A4037" s="475" t="s">
        <v>346</v>
      </c>
      <c r="B4037" s="476" t="s">
        <v>822</v>
      </c>
      <c r="C4037" s="476"/>
      <c r="D4037" s="475" t="s">
        <v>823</v>
      </c>
      <c r="E4037" s="476">
        <v>201609</v>
      </c>
      <c r="F4037" s="477">
        <v>-109979.52</v>
      </c>
      <c r="G4037" s="475">
        <v>7.5</v>
      </c>
      <c r="H4037" s="478">
        <v>3.1250000000000002E-3</v>
      </c>
      <c r="I4037" s="477">
        <v>-2577.65</v>
      </c>
      <c r="J4037" s="477">
        <v>-4124.2299999999996</v>
      </c>
    </row>
    <row r="4038" spans="1:10" s="471" customFormat="1">
      <c r="A4038" s="475" t="s">
        <v>346</v>
      </c>
      <c r="B4038" s="476" t="s">
        <v>690</v>
      </c>
      <c r="C4038" s="476"/>
      <c r="D4038" s="475" t="s">
        <v>691</v>
      </c>
      <c r="E4038" s="476">
        <v>201609</v>
      </c>
      <c r="F4038" s="477">
        <v>2281.4299999999998</v>
      </c>
      <c r="G4038" s="475">
        <v>7.5</v>
      </c>
      <c r="H4038" s="478">
        <v>3.1250000000000002E-3</v>
      </c>
      <c r="I4038" s="477">
        <v>53.47</v>
      </c>
      <c r="J4038" s="477">
        <v>85.55</v>
      </c>
    </row>
    <row r="4039" spans="1:10" s="471" customFormat="1">
      <c r="A4039" s="475" t="s">
        <v>346</v>
      </c>
      <c r="B4039" s="476" t="s">
        <v>973</v>
      </c>
      <c r="C4039" s="476"/>
      <c r="D4039" s="475" t="s">
        <v>974</v>
      </c>
      <c r="E4039" s="476">
        <v>201609</v>
      </c>
      <c r="F4039" s="477">
        <v>4833.63</v>
      </c>
      <c r="G4039" s="475">
        <v>7.5</v>
      </c>
      <c r="H4039" s="478">
        <v>3.1250000000000002E-3</v>
      </c>
      <c r="I4039" s="477">
        <v>113.29</v>
      </c>
      <c r="J4039" s="477">
        <v>181.26</v>
      </c>
    </row>
    <row r="4040" spans="1:10" s="471" customFormat="1">
      <c r="A4040" s="475" t="s">
        <v>346</v>
      </c>
      <c r="B4040" s="476" t="s">
        <v>868</v>
      </c>
      <c r="C4040" s="476"/>
      <c r="D4040" s="475" t="s">
        <v>869</v>
      </c>
      <c r="E4040" s="476">
        <v>201609</v>
      </c>
      <c r="F4040" s="477">
        <v>5530.4</v>
      </c>
      <c r="G4040" s="475">
        <v>7.5</v>
      </c>
      <c r="H4040" s="478">
        <v>3.1250000000000002E-3</v>
      </c>
      <c r="I4040" s="477">
        <v>129.62</v>
      </c>
      <c r="J4040" s="477">
        <v>207.39</v>
      </c>
    </row>
    <row r="4041" spans="1:10" s="471" customFormat="1">
      <c r="A4041" s="475" t="s">
        <v>346</v>
      </c>
      <c r="B4041" s="476" t="s">
        <v>692</v>
      </c>
      <c r="C4041" s="476"/>
      <c r="D4041" s="475" t="s">
        <v>693</v>
      </c>
      <c r="E4041" s="476">
        <v>201609</v>
      </c>
      <c r="F4041" s="477">
        <v>14.98</v>
      </c>
      <c r="G4041" s="475">
        <v>7.5</v>
      </c>
      <c r="H4041" s="478">
        <v>3.1250000000000002E-3</v>
      </c>
      <c r="I4041" s="477">
        <v>0.35</v>
      </c>
      <c r="J4041" s="477">
        <v>0.56000000000000005</v>
      </c>
    </row>
    <row r="4042" spans="1:10" s="471" customFormat="1">
      <c r="A4042" s="475" t="s">
        <v>346</v>
      </c>
      <c r="B4042" s="476" t="s">
        <v>694</v>
      </c>
      <c r="C4042" s="476"/>
      <c r="D4042" s="475" t="s">
        <v>695</v>
      </c>
      <c r="E4042" s="476">
        <v>201609</v>
      </c>
      <c r="F4042" s="477">
        <v>1.72</v>
      </c>
      <c r="G4042" s="475">
        <v>7.5</v>
      </c>
      <c r="H4042" s="478">
        <v>3.1250000000000002E-3</v>
      </c>
      <c r="I4042" s="477">
        <v>0.04</v>
      </c>
      <c r="J4042" s="477">
        <v>0.06</v>
      </c>
    </row>
    <row r="4043" spans="1:10" s="471" customFormat="1">
      <c r="A4043" s="475" t="s">
        <v>346</v>
      </c>
      <c r="B4043" s="476" t="s">
        <v>696</v>
      </c>
      <c r="C4043" s="476"/>
      <c r="D4043" s="475" t="s">
        <v>697</v>
      </c>
      <c r="E4043" s="476">
        <v>201609</v>
      </c>
      <c r="F4043" s="477">
        <v>-0.23</v>
      </c>
      <c r="G4043" s="475">
        <v>7.5</v>
      </c>
      <c r="H4043" s="478">
        <v>3.1250000000000002E-3</v>
      </c>
      <c r="I4043" s="477">
        <v>-0.01</v>
      </c>
      <c r="J4043" s="477">
        <v>-0.01</v>
      </c>
    </row>
    <row r="4044" spans="1:10" s="471" customFormat="1">
      <c r="A4044" s="475" t="s">
        <v>346</v>
      </c>
      <c r="B4044" s="476" t="s">
        <v>700</v>
      </c>
      <c r="C4044" s="476"/>
      <c r="D4044" s="475" t="s">
        <v>701</v>
      </c>
      <c r="E4044" s="476">
        <v>201609</v>
      </c>
      <c r="F4044" s="477">
        <v>399.86</v>
      </c>
      <c r="G4044" s="475">
        <v>7.5</v>
      </c>
      <c r="H4044" s="478">
        <v>3.1250000000000002E-3</v>
      </c>
      <c r="I4044" s="477">
        <v>9.3699999999999992</v>
      </c>
      <c r="J4044" s="477">
        <v>14.99</v>
      </c>
    </row>
    <row r="4045" spans="1:10" s="471" customFormat="1">
      <c r="A4045" s="475" t="s">
        <v>346</v>
      </c>
      <c r="B4045" s="476" t="s">
        <v>794</v>
      </c>
      <c r="C4045" s="476"/>
      <c r="D4045" s="475" t="s">
        <v>795</v>
      </c>
      <c r="E4045" s="476">
        <v>201609</v>
      </c>
      <c r="F4045" s="477">
        <v>535.54999999999995</v>
      </c>
      <c r="G4045" s="475">
        <v>7.5</v>
      </c>
      <c r="H4045" s="478">
        <v>3.1250000000000002E-3</v>
      </c>
      <c r="I4045" s="477">
        <v>12.55</v>
      </c>
      <c r="J4045" s="477">
        <v>20.079999999999998</v>
      </c>
    </row>
    <row r="4046" spans="1:10" s="471" customFormat="1">
      <c r="A4046" s="475" t="s">
        <v>346</v>
      </c>
      <c r="B4046" s="476" t="s">
        <v>702</v>
      </c>
      <c r="C4046" s="476"/>
      <c r="D4046" s="475" t="s">
        <v>703</v>
      </c>
      <c r="E4046" s="476">
        <v>201609</v>
      </c>
      <c r="F4046" s="477">
        <v>3.66</v>
      </c>
      <c r="G4046" s="475">
        <v>7.5</v>
      </c>
      <c r="H4046" s="478">
        <v>3.1250000000000002E-3</v>
      </c>
      <c r="I4046" s="477">
        <v>0.09</v>
      </c>
      <c r="J4046" s="477">
        <v>0.14000000000000001</v>
      </c>
    </row>
    <row r="4047" spans="1:10" s="471" customFormat="1">
      <c r="A4047" s="475" t="s">
        <v>346</v>
      </c>
      <c r="B4047" s="476" t="s">
        <v>975</v>
      </c>
      <c r="C4047" s="476"/>
      <c r="D4047" s="475" t="s">
        <v>976</v>
      </c>
      <c r="E4047" s="476">
        <v>201609</v>
      </c>
      <c r="F4047" s="477">
        <v>3181.73</v>
      </c>
      <c r="G4047" s="475">
        <v>7.5</v>
      </c>
      <c r="H4047" s="478">
        <v>3.1250000000000002E-3</v>
      </c>
      <c r="I4047" s="477">
        <v>74.569999999999993</v>
      </c>
      <c r="J4047" s="477">
        <v>119.31</v>
      </c>
    </row>
    <row r="4048" spans="1:10" s="471" customFormat="1">
      <c r="A4048" s="475" t="s">
        <v>346</v>
      </c>
      <c r="B4048" s="476" t="s">
        <v>852</v>
      </c>
      <c r="C4048" s="476"/>
      <c r="D4048" s="475" t="s">
        <v>853</v>
      </c>
      <c r="E4048" s="476">
        <v>201609</v>
      </c>
      <c r="F4048" s="477">
        <v>883.4</v>
      </c>
      <c r="G4048" s="475">
        <v>7.5</v>
      </c>
      <c r="H4048" s="478">
        <v>3.1250000000000002E-3</v>
      </c>
      <c r="I4048" s="477">
        <v>20.7</v>
      </c>
      <c r="J4048" s="477">
        <v>33.130000000000003</v>
      </c>
    </row>
    <row r="4049" spans="1:10" s="471" customFormat="1">
      <c r="A4049" s="475" t="s">
        <v>346</v>
      </c>
      <c r="B4049" s="476" t="s">
        <v>870</v>
      </c>
      <c r="C4049" s="476"/>
      <c r="D4049" s="475" t="s">
        <v>871</v>
      </c>
      <c r="E4049" s="476">
        <v>201609</v>
      </c>
      <c r="F4049" s="477">
        <v>112.02</v>
      </c>
      <c r="G4049" s="475">
        <v>7.5</v>
      </c>
      <c r="H4049" s="478">
        <v>3.1250000000000002E-3</v>
      </c>
      <c r="I4049" s="477">
        <v>2.63</v>
      </c>
      <c r="J4049" s="477">
        <v>4.2</v>
      </c>
    </row>
    <row r="4050" spans="1:10" s="471" customFormat="1">
      <c r="A4050" s="475" t="s">
        <v>346</v>
      </c>
      <c r="B4050" s="476" t="s">
        <v>1039</v>
      </c>
      <c r="C4050" s="476"/>
      <c r="D4050" s="475" t="s">
        <v>1040</v>
      </c>
      <c r="E4050" s="476">
        <v>201609</v>
      </c>
      <c r="F4050" s="477">
        <v>206508.61</v>
      </c>
      <c r="G4050" s="475">
        <v>7.5</v>
      </c>
      <c r="H4050" s="478">
        <v>3.1250000000000002E-3</v>
      </c>
      <c r="I4050" s="477">
        <v>4840.05</v>
      </c>
      <c r="J4050" s="477">
        <v>7744.07</v>
      </c>
    </row>
    <row r="4051" spans="1:10" s="471" customFormat="1">
      <c r="A4051" s="475" t="s">
        <v>346</v>
      </c>
      <c r="B4051" s="476" t="s">
        <v>872</v>
      </c>
      <c r="C4051" s="476"/>
      <c r="D4051" s="475" t="s">
        <v>873</v>
      </c>
      <c r="E4051" s="476">
        <v>201609</v>
      </c>
      <c r="F4051" s="477">
        <v>1697.57</v>
      </c>
      <c r="G4051" s="475">
        <v>7.5</v>
      </c>
      <c r="H4051" s="478">
        <v>3.1250000000000002E-3</v>
      </c>
      <c r="I4051" s="477">
        <v>39.79</v>
      </c>
      <c r="J4051" s="477">
        <v>63.66</v>
      </c>
    </row>
    <row r="4052" spans="1:10" s="471" customFormat="1">
      <c r="A4052" s="475" t="s">
        <v>346</v>
      </c>
      <c r="B4052" s="476" t="s">
        <v>977</v>
      </c>
      <c r="C4052" s="476"/>
      <c r="D4052" s="475" t="s">
        <v>978</v>
      </c>
      <c r="E4052" s="476">
        <v>201609</v>
      </c>
      <c r="F4052" s="477">
        <v>1168.21</v>
      </c>
      <c r="G4052" s="475">
        <v>7.5</v>
      </c>
      <c r="H4052" s="478">
        <v>3.1250000000000002E-3</v>
      </c>
      <c r="I4052" s="477">
        <v>27.38</v>
      </c>
      <c r="J4052" s="477">
        <v>43.81</v>
      </c>
    </row>
    <row r="4053" spans="1:10" s="471" customFormat="1">
      <c r="A4053" s="475" t="s">
        <v>346</v>
      </c>
      <c r="B4053" s="476" t="s">
        <v>826</v>
      </c>
      <c r="C4053" s="476"/>
      <c r="D4053" s="475" t="s">
        <v>827</v>
      </c>
      <c r="E4053" s="476">
        <v>201609</v>
      </c>
      <c r="F4053" s="477">
        <v>46521.53</v>
      </c>
      <c r="G4053" s="475">
        <v>7.5</v>
      </c>
      <c r="H4053" s="478">
        <v>3.1250000000000002E-3</v>
      </c>
      <c r="I4053" s="477">
        <v>1090.3499999999999</v>
      </c>
      <c r="J4053" s="477">
        <v>1744.56</v>
      </c>
    </row>
    <row r="4054" spans="1:10" s="471" customFormat="1">
      <c r="A4054" s="475" t="s">
        <v>346</v>
      </c>
      <c r="B4054" s="476" t="s">
        <v>1041</v>
      </c>
      <c r="C4054" s="476"/>
      <c r="D4054" s="475" t="s">
        <v>1042</v>
      </c>
      <c r="E4054" s="476">
        <v>201609</v>
      </c>
      <c r="F4054" s="477">
        <v>77634.69</v>
      </c>
      <c r="G4054" s="475">
        <v>7.5</v>
      </c>
      <c r="H4054" s="478">
        <v>3.1250000000000002E-3</v>
      </c>
      <c r="I4054" s="477">
        <v>1819.56</v>
      </c>
      <c r="J4054" s="477">
        <v>2911.3</v>
      </c>
    </row>
    <row r="4055" spans="1:10" s="471" customFormat="1">
      <c r="A4055" s="475" t="s">
        <v>346</v>
      </c>
      <c r="B4055" s="476" t="s">
        <v>979</v>
      </c>
      <c r="C4055" s="476"/>
      <c r="D4055" s="475" t="s">
        <v>980</v>
      </c>
      <c r="E4055" s="476">
        <v>201609</v>
      </c>
      <c r="F4055" s="477">
        <v>2583.19</v>
      </c>
      <c r="G4055" s="475">
        <v>7.5</v>
      </c>
      <c r="H4055" s="478">
        <v>3.1250000000000002E-3</v>
      </c>
      <c r="I4055" s="477">
        <v>60.54</v>
      </c>
      <c r="J4055" s="477">
        <v>96.87</v>
      </c>
    </row>
    <row r="4056" spans="1:10" s="471" customFormat="1">
      <c r="A4056" s="475" t="s">
        <v>346</v>
      </c>
      <c r="B4056" s="476" t="s">
        <v>981</v>
      </c>
      <c r="C4056" s="476"/>
      <c r="D4056" s="475" t="s">
        <v>1014</v>
      </c>
      <c r="E4056" s="476">
        <v>201609</v>
      </c>
      <c r="F4056" s="477">
        <v>3480.14</v>
      </c>
      <c r="G4056" s="475">
        <v>7.5</v>
      </c>
      <c r="H4056" s="478">
        <v>3.1250000000000002E-3</v>
      </c>
      <c r="I4056" s="477">
        <v>81.569999999999993</v>
      </c>
      <c r="J4056" s="477">
        <v>130.51</v>
      </c>
    </row>
    <row r="4057" spans="1:10" s="471" customFormat="1">
      <c r="A4057" s="475" t="s">
        <v>346</v>
      </c>
      <c r="B4057" s="476" t="s">
        <v>874</v>
      </c>
      <c r="C4057" s="476"/>
      <c r="D4057" s="475" t="s">
        <v>875</v>
      </c>
      <c r="E4057" s="476">
        <v>201609</v>
      </c>
      <c r="F4057" s="477">
        <v>2580.54</v>
      </c>
      <c r="G4057" s="475">
        <v>7.5</v>
      </c>
      <c r="H4057" s="478">
        <v>3.1250000000000002E-3</v>
      </c>
      <c r="I4057" s="477">
        <v>60.48</v>
      </c>
      <c r="J4057" s="477">
        <v>96.77</v>
      </c>
    </row>
    <row r="4058" spans="1:10" s="471" customFormat="1">
      <c r="A4058" s="475" t="s">
        <v>346</v>
      </c>
      <c r="B4058" s="476" t="s">
        <v>983</v>
      </c>
      <c r="C4058" s="476"/>
      <c r="D4058" s="475" t="s">
        <v>984</v>
      </c>
      <c r="E4058" s="476">
        <v>201609</v>
      </c>
      <c r="F4058" s="477">
        <v>4039.43</v>
      </c>
      <c r="G4058" s="475">
        <v>7.5</v>
      </c>
      <c r="H4058" s="478">
        <v>3.1250000000000002E-3</v>
      </c>
      <c r="I4058" s="477">
        <v>94.67</v>
      </c>
      <c r="J4058" s="477">
        <v>151.47999999999999</v>
      </c>
    </row>
    <row r="4059" spans="1:10" s="471" customFormat="1">
      <c r="A4059" s="475" t="s">
        <v>346</v>
      </c>
      <c r="B4059" s="476" t="s">
        <v>1043</v>
      </c>
      <c r="C4059" s="476"/>
      <c r="D4059" s="475" t="s">
        <v>1044</v>
      </c>
      <c r="E4059" s="476">
        <v>201609</v>
      </c>
      <c r="F4059" s="477">
        <v>10283.74</v>
      </c>
      <c r="G4059" s="475">
        <v>7.5</v>
      </c>
      <c r="H4059" s="478">
        <v>3.1250000000000002E-3</v>
      </c>
      <c r="I4059" s="477">
        <v>241.03</v>
      </c>
      <c r="J4059" s="477">
        <v>385.64</v>
      </c>
    </row>
    <row r="4060" spans="1:10" s="471" customFormat="1">
      <c r="A4060" s="475" t="s">
        <v>346</v>
      </c>
      <c r="B4060" s="476" t="s">
        <v>876</v>
      </c>
      <c r="C4060" s="476"/>
      <c r="D4060" s="475" t="s">
        <v>877</v>
      </c>
      <c r="E4060" s="476">
        <v>201609</v>
      </c>
      <c r="F4060" s="477">
        <v>4694.5</v>
      </c>
      <c r="G4060" s="475">
        <v>7.5</v>
      </c>
      <c r="H4060" s="478">
        <v>3.1250000000000002E-3</v>
      </c>
      <c r="I4060" s="477">
        <v>110.03</v>
      </c>
      <c r="J4060" s="477">
        <v>176.04</v>
      </c>
    </row>
    <row r="4061" spans="1:10" s="471" customFormat="1">
      <c r="A4061" s="475" t="s">
        <v>346</v>
      </c>
      <c r="B4061" s="476" t="s">
        <v>1045</v>
      </c>
      <c r="C4061" s="476"/>
      <c r="D4061" s="475" t="s">
        <v>1046</v>
      </c>
      <c r="E4061" s="476">
        <v>201609</v>
      </c>
      <c r="F4061" s="477">
        <v>134364.26</v>
      </c>
      <c r="G4061" s="475">
        <v>7.5</v>
      </c>
      <c r="H4061" s="478">
        <v>3.1250000000000002E-3</v>
      </c>
      <c r="I4061" s="477">
        <v>3149.16</v>
      </c>
      <c r="J4061" s="477">
        <v>5038.66</v>
      </c>
    </row>
    <row r="4062" spans="1:10" s="471" customFormat="1">
      <c r="A4062" s="475" t="s">
        <v>346</v>
      </c>
      <c r="B4062" s="476" t="s">
        <v>985</v>
      </c>
      <c r="C4062" s="476"/>
      <c r="D4062" s="475" t="s">
        <v>986</v>
      </c>
      <c r="E4062" s="476">
        <v>201609</v>
      </c>
      <c r="F4062" s="477">
        <v>484.65</v>
      </c>
      <c r="G4062" s="475">
        <v>7.5</v>
      </c>
      <c r="H4062" s="478">
        <v>3.1250000000000002E-3</v>
      </c>
      <c r="I4062" s="477">
        <v>11.36</v>
      </c>
      <c r="J4062" s="477">
        <v>18.170000000000002</v>
      </c>
    </row>
    <row r="4063" spans="1:10" s="471" customFormat="1">
      <c r="A4063" s="475" t="s">
        <v>346</v>
      </c>
      <c r="B4063" s="476" t="s">
        <v>878</v>
      </c>
      <c r="C4063" s="476"/>
      <c r="D4063" s="475" t="s">
        <v>879</v>
      </c>
      <c r="E4063" s="476">
        <v>201609</v>
      </c>
      <c r="F4063" s="477">
        <v>2484.58</v>
      </c>
      <c r="G4063" s="475">
        <v>7.5</v>
      </c>
      <c r="H4063" s="478">
        <v>3.1250000000000002E-3</v>
      </c>
      <c r="I4063" s="477">
        <v>58.23</v>
      </c>
      <c r="J4063" s="477">
        <v>93.17</v>
      </c>
    </row>
    <row r="4064" spans="1:10" s="471" customFormat="1">
      <c r="A4064" s="475" t="s">
        <v>346</v>
      </c>
      <c r="B4064" s="476" t="s">
        <v>987</v>
      </c>
      <c r="C4064" s="476"/>
      <c r="D4064" s="475" t="s">
        <v>988</v>
      </c>
      <c r="E4064" s="476">
        <v>201609</v>
      </c>
      <c r="F4064" s="477">
        <v>-3613.94</v>
      </c>
      <c r="G4064" s="475">
        <v>7.5</v>
      </c>
      <c r="H4064" s="478">
        <v>3.1250000000000002E-3</v>
      </c>
      <c r="I4064" s="477">
        <v>-84.7</v>
      </c>
      <c r="J4064" s="477">
        <v>-135.52000000000001</v>
      </c>
    </row>
    <row r="4065" spans="1:10" s="471" customFormat="1">
      <c r="A4065" s="475" t="s">
        <v>346</v>
      </c>
      <c r="B4065" s="476" t="s">
        <v>989</v>
      </c>
      <c r="C4065" s="476"/>
      <c r="D4065" s="475" t="s">
        <v>990</v>
      </c>
      <c r="E4065" s="476">
        <v>201609</v>
      </c>
      <c r="F4065" s="477">
        <v>3165.47</v>
      </c>
      <c r="G4065" s="475">
        <v>7.5</v>
      </c>
      <c r="H4065" s="478">
        <v>3.1250000000000002E-3</v>
      </c>
      <c r="I4065" s="477">
        <v>74.19</v>
      </c>
      <c r="J4065" s="477">
        <v>118.71</v>
      </c>
    </row>
    <row r="4066" spans="1:10" s="471" customFormat="1">
      <c r="A4066" s="475" t="s">
        <v>346</v>
      </c>
      <c r="B4066" s="476" t="s">
        <v>991</v>
      </c>
      <c r="C4066" s="476"/>
      <c r="D4066" s="475" t="s">
        <v>992</v>
      </c>
      <c r="E4066" s="476">
        <v>201609</v>
      </c>
      <c r="F4066" s="477">
        <v>516.29</v>
      </c>
      <c r="G4066" s="475">
        <v>7.5</v>
      </c>
      <c r="H4066" s="478">
        <v>3.1250000000000002E-3</v>
      </c>
      <c r="I4066" s="477">
        <v>12.1</v>
      </c>
      <c r="J4066" s="477">
        <v>19.36</v>
      </c>
    </row>
    <row r="4067" spans="1:10" s="471" customFormat="1">
      <c r="A4067" s="475" t="s">
        <v>346</v>
      </c>
      <c r="B4067" s="476" t="s">
        <v>880</v>
      </c>
      <c r="C4067" s="476"/>
      <c r="D4067" s="475" t="s">
        <v>881</v>
      </c>
      <c r="E4067" s="476">
        <v>201609</v>
      </c>
      <c r="F4067" s="477">
        <v>1794.58</v>
      </c>
      <c r="G4067" s="475">
        <v>7.5</v>
      </c>
      <c r="H4067" s="478">
        <v>3.1250000000000002E-3</v>
      </c>
      <c r="I4067" s="477">
        <v>42.06</v>
      </c>
      <c r="J4067" s="477">
        <v>67.3</v>
      </c>
    </row>
    <row r="4068" spans="1:10" s="471" customFormat="1">
      <c r="A4068" s="475" t="s">
        <v>346</v>
      </c>
      <c r="B4068" s="476" t="s">
        <v>993</v>
      </c>
      <c r="C4068" s="476"/>
      <c r="D4068" s="475" t="s">
        <v>994</v>
      </c>
      <c r="E4068" s="476">
        <v>201609</v>
      </c>
      <c r="F4068" s="477">
        <v>8131.63</v>
      </c>
      <c r="G4068" s="475">
        <v>7.5</v>
      </c>
      <c r="H4068" s="478">
        <v>3.1250000000000002E-3</v>
      </c>
      <c r="I4068" s="477">
        <v>190.59</v>
      </c>
      <c r="J4068" s="477">
        <v>304.94</v>
      </c>
    </row>
    <row r="4069" spans="1:10" s="471" customFormat="1">
      <c r="A4069" s="475" t="s">
        <v>346</v>
      </c>
      <c r="B4069" s="476" t="s">
        <v>882</v>
      </c>
      <c r="C4069" s="476"/>
      <c r="D4069" s="475" t="s">
        <v>995</v>
      </c>
      <c r="E4069" s="476">
        <v>201609</v>
      </c>
      <c r="F4069" s="477">
        <v>1780.93</v>
      </c>
      <c r="G4069" s="475">
        <v>7.5</v>
      </c>
      <c r="H4069" s="478">
        <v>3.1250000000000002E-3</v>
      </c>
      <c r="I4069" s="477">
        <v>41.74</v>
      </c>
      <c r="J4069" s="477">
        <v>66.78</v>
      </c>
    </row>
    <row r="4070" spans="1:10" s="471" customFormat="1">
      <c r="A4070" s="475" t="s">
        <v>346</v>
      </c>
      <c r="B4070" s="476" t="s">
        <v>996</v>
      </c>
      <c r="C4070" s="476"/>
      <c r="D4070" s="475" t="s">
        <v>997</v>
      </c>
      <c r="E4070" s="476">
        <v>201609</v>
      </c>
      <c r="F4070" s="477">
        <v>10753.94</v>
      </c>
      <c r="G4070" s="475">
        <v>7.5</v>
      </c>
      <c r="H4070" s="478">
        <v>3.1250000000000002E-3</v>
      </c>
      <c r="I4070" s="477">
        <v>252.05</v>
      </c>
      <c r="J4070" s="477">
        <v>403.27</v>
      </c>
    </row>
    <row r="4071" spans="1:10" s="471" customFormat="1">
      <c r="A4071" s="475" t="s">
        <v>346</v>
      </c>
      <c r="B4071" s="476" t="s">
        <v>854</v>
      </c>
      <c r="C4071" s="476"/>
      <c r="D4071" s="475" t="s">
        <v>855</v>
      </c>
      <c r="E4071" s="476">
        <v>201609</v>
      </c>
      <c r="F4071" s="477">
        <v>4998.07</v>
      </c>
      <c r="G4071" s="475">
        <v>7.5</v>
      </c>
      <c r="H4071" s="478">
        <v>3.1250000000000002E-3</v>
      </c>
      <c r="I4071" s="477">
        <v>117.14</v>
      </c>
      <c r="J4071" s="477">
        <v>187.43</v>
      </c>
    </row>
    <row r="4072" spans="1:10" s="471" customFormat="1">
      <c r="A4072" s="475" t="s">
        <v>346</v>
      </c>
      <c r="B4072" s="476" t="s">
        <v>1055</v>
      </c>
      <c r="C4072" s="476"/>
      <c r="D4072" s="475" t="s">
        <v>1056</v>
      </c>
      <c r="E4072" s="476">
        <v>201609</v>
      </c>
      <c r="F4072" s="477">
        <v>18656.09</v>
      </c>
      <c r="G4072" s="475">
        <v>7.5</v>
      </c>
      <c r="H4072" s="478">
        <v>3.1250000000000002E-3</v>
      </c>
      <c r="I4072" s="477">
        <v>437.25</v>
      </c>
      <c r="J4072" s="477">
        <v>699.6</v>
      </c>
    </row>
    <row r="4073" spans="1:10" s="471" customFormat="1">
      <c r="A4073" s="475" t="s">
        <v>346</v>
      </c>
      <c r="B4073" s="476" t="s">
        <v>729</v>
      </c>
      <c r="C4073" s="476"/>
      <c r="D4073" s="475" t="s">
        <v>730</v>
      </c>
      <c r="E4073" s="476">
        <v>201609</v>
      </c>
      <c r="F4073" s="477">
        <v>49.67</v>
      </c>
      <c r="G4073" s="475">
        <v>7.5</v>
      </c>
      <c r="H4073" s="478">
        <v>3.1250000000000002E-3</v>
      </c>
      <c r="I4073" s="477">
        <v>1.1599999999999999</v>
      </c>
      <c r="J4073" s="477">
        <v>1.86</v>
      </c>
    </row>
    <row r="4074" spans="1:10" s="471" customFormat="1">
      <c r="A4074" s="475" t="s">
        <v>346</v>
      </c>
      <c r="B4074" s="476" t="s">
        <v>887</v>
      </c>
      <c r="C4074" s="476"/>
      <c r="D4074" s="475" t="s">
        <v>888</v>
      </c>
      <c r="E4074" s="476">
        <v>201609</v>
      </c>
      <c r="F4074" s="477">
        <v>169.43</v>
      </c>
      <c r="G4074" s="475">
        <v>7.5</v>
      </c>
      <c r="H4074" s="478">
        <v>3.1250000000000002E-3</v>
      </c>
      <c r="I4074" s="477">
        <v>3.97</v>
      </c>
      <c r="J4074" s="477">
        <v>6.35</v>
      </c>
    </row>
    <row r="4075" spans="1:10" s="471" customFormat="1">
      <c r="A4075" s="475" t="s">
        <v>346</v>
      </c>
      <c r="B4075" s="476" t="s">
        <v>1004</v>
      </c>
      <c r="C4075" s="476"/>
      <c r="D4075" s="475" t="s">
        <v>1005</v>
      </c>
      <c r="E4075" s="476">
        <v>201609</v>
      </c>
      <c r="F4075" s="477">
        <v>27.44</v>
      </c>
      <c r="G4075" s="475">
        <v>7.5</v>
      </c>
      <c r="H4075" s="478">
        <v>3.1250000000000002E-3</v>
      </c>
      <c r="I4075" s="477">
        <v>0.64</v>
      </c>
      <c r="J4075" s="477">
        <v>1.03</v>
      </c>
    </row>
    <row r="4076" spans="1:10" s="471" customFormat="1">
      <c r="A4076" s="472" t="s">
        <v>346</v>
      </c>
      <c r="B4076" s="473" t="s">
        <v>1051</v>
      </c>
      <c r="C4076" s="473"/>
      <c r="D4076" s="472" t="s">
        <v>1052</v>
      </c>
      <c r="E4076" s="473">
        <v>201609</v>
      </c>
      <c r="F4076" s="474">
        <v>25964.84</v>
      </c>
      <c r="G4076" s="475">
        <v>7.5</v>
      </c>
      <c r="H4076" s="478">
        <v>3.1250000000000002E-3</v>
      </c>
      <c r="I4076" s="477">
        <v>608.54999999999995</v>
      </c>
      <c r="J4076" s="477">
        <v>973.68</v>
      </c>
    </row>
    <row r="4077" spans="1:10" s="471" customFormat="1">
      <c r="A4077" s="475" t="s">
        <v>346</v>
      </c>
      <c r="B4077" s="476" t="s">
        <v>889</v>
      </c>
      <c r="C4077" s="476"/>
      <c r="D4077" s="475" t="s">
        <v>890</v>
      </c>
      <c r="E4077" s="476">
        <v>201609</v>
      </c>
      <c r="F4077" s="477">
        <v>79.91</v>
      </c>
      <c r="G4077" s="475">
        <v>7.5</v>
      </c>
      <c r="H4077" s="478">
        <v>3.1250000000000002E-3</v>
      </c>
      <c r="I4077" s="477">
        <v>1.87</v>
      </c>
      <c r="J4077" s="477">
        <v>3</v>
      </c>
    </row>
    <row r="4078" spans="1:10" s="471" customFormat="1">
      <c r="A4078" s="475" t="s">
        <v>346</v>
      </c>
      <c r="B4078" s="476" t="s">
        <v>1006</v>
      </c>
      <c r="C4078" s="476"/>
      <c r="D4078" s="475" t="s">
        <v>1007</v>
      </c>
      <c r="E4078" s="476">
        <v>201609</v>
      </c>
      <c r="F4078" s="477">
        <v>-410.38</v>
      </c>
      <c r="G4078" s="475">
        <v>7.5</v>
      </c>
      <c r="H4078" s="478">
        <v>3.1250000000000002E-3</v>
      </c>
      <c r="I4078" s="477">
        <v>-9.6199999999999992</v>
      </c>
      <c r="J4078" s="477">
        <v>-15.39</v>
      </c>
    </row>
    <row r="4079" spans="1:10" s="471" customFormat="1">
      <c r="A4079" s="475" t="s">
        <v>346</v>
      </c>
      <c r="B4079" s="476" t="s">
        <v>1057</v>
      </c>
      <c r="C4079" s="476"/>
      <c r="D4079" s="475" t="s">
        <v>1058</v>
      </c>
      <c r="E4079" s="476">
        <v>201609</v>
      </c>
      <c r="F4079" s="477">
        <v>2894.9</v>
      </c>
      <c r="G4079" s="475">
        <v>7.5</v>
      </c>
      <c r="H4079" s="478">
        <v>3.1250000000000002E-3</v>
      </c>
      <c r="I4079" s="477">
        <v>67.849999999999994</v>
      </c>
      <c r="J4079" s="477">
        <v>108.56</v>
      </c>
    </row>
    <row r="4080" spans="1:10" s="471" customFormat="1">
      <c r="A4080" s="475" t="s">
        <v>346</v>
      </c>
      <c r="B4080" s="476" t="s">
        <v>1049</v>
      </c>
      <c r="C4080" s="476"/>
      <c r="D4080" s="475" t="s">
        <v>1050</v>
      </c>
      <c r="E4080" s="476">
        <v>201609</v>
      </c>
      <c r="F4080" s="477">
        <v>4902.54</v>
      </c>
      <c r="G4080" s="475">
        <v>7.5</v>
      </c>
      <c r="H4080" s="478">
        <v>3.1250000000000002E-3</v>
      </c>
      <c r="I4080" s="477">
        <v>114.9</v>
      </c>
      <c r="J4080" s="477">
        <v>183.85</v>
      </c>
    </row>
    <row r="4081" spans="1:10" s="471" customFormat="1">
      <c r="A4081" s="475" t="s">
        <v>346</v>
      </c>
      <c r="B4081" s="476" t="s">
        <v>731</v>
      </c>
      <c r="C4081" s="476"/>
      <c r="D4081" s="475" t="s">
        <v>732</v>
      </c>
      <c r="E4081" s="476">
        <v>201610</v>
      </c>
      <c r="F4081" s="477">
        <v>459.68</v>
      </c>
      <c r="G4081" s="475">
        <v>6.5</v>
      </c>
      <c r="H4081" s="478">
        <v>3.1250000000000002E-3</v>
      </c>
      <c r="I4081" s="477">
        <v>9.34</v>
      </c>
      <c r="J4081" s="477">
        <v>17.239999999999998</v>
      </c>
    </row>
    <row r="4082" spans="1:10" s="471" customFormat="1">
      <c r="A4082" s="475" t="s">
        <v>346</v>
      </c>
      <c r="B4082" s="476" t="s">
        <v>347</v>
      </c>
      <c r="C4082" s="476"/>
      <c r="D4082" s="475" t="s">
        <v>348</v>
      </c>
      <c r="E4082" s="476">
        <v>201610</v>
      </c>
      <c r="F4082" s="477">
        <v>863014.51</v>
      </c>
      <c r="G4082" s="475">
        <v>6.5</v>
      </c>
      <c r="H4082" s="478">
        <v>3.1250000000000002E-3</v>
      </c>
      <c r="I4082" s="477">
        <v>17529.98</v>
      </c>
      <c r="J4082" s="477">
        <v>32363.040000000001</v>
      </c>
    </row>
    <row r="4083" spans="1:10" s="471" customFormat="1">
      <c r="A4083" s="475" t="s">
        <v>346</v>
      </c>
      <c r="B4083" s="476" t="s">
        <v>349</v>
      </c>
      <c r="C4083" s="476"/>
      <c r="D4083" s="475" t="s">
        <v>350</v>
      </c>
      <c r="E4083" s="476">
        <v>201610</v>
      </c>
      <c r="F4083" s="477">
        <v>4929.25</v>
      </c>
      <c r="G4083" s="475">
        <v>6.5</v>
      </c>
      <c r="H4083" s="478">
        <v>3.1250000000000002E-3</v>
      </c>
      <c r="I4083" s="477">
        <v>100.13</v>
      </c>
      <c r="J4083" s="477">
        <v>184.85</v>
      </c>
    </row>
    <row r="4084" spans="1:10" s="471" customFormat="1">
      <c r="A4084" s="475" t="s">
        <v>346</v>
      </c>
      <c r="B4084" s="476" t="s">
        <v>353</v>
      </c>
      <c r="C4084" s="476"/>
      <c r="D4084" s="475" t="s">
        <v>354</v>
      </c>
      <c r="E4084" s="476">
        <v>201610</v>
      </c>
      <c r="F4084" s="477">
        <v>-7357.5</v>
      </c>
      <c r="G4084" s="475">
        <v>6.5</v>
      </c>
      <c r="H4084" s="478">
        <v>3.1250000000000002E-3</v>
      </c>
      <c r="I4084" s="477">
        <v>-149.44999999999999</v>
      </c>
      <c r="J4084" s="477">
        <v>-275.91000000000003</v>
      </c>
    </row>
    <row r="4085" spans="1:10" s="471" customFormat="1">
      <c r="A4085" s="475" t="s">
        <v>346</v>
      </c>
      <c r="B4085" s="476" t="s">
        <v>355</v>
      </c>
      <c r="C4085" s="476"/>
      <c r="D4085" s="475" t="s">
        <v>356</v>
      </c>
      <c r="E4085" s="476">
        <v>201610</v>
      </c>
      <c r="F4085" s="477">
        <v>79819.350000000006</v>
      </c>
      <c r="G4085" s="475">
        <v>6.5</v>
      </c>
      <c r="H4085" s="478">
        <v>3.1250000000000002E-3</v>
      </c>
      <c r="I4085" s="477">
        <v>1621.33</v>
      </c>
      <c r="J4085" s="477">
        <v>2993.23</v>
      </c>
    </row>
    <row r="4086" spans="1:10" s="471" customFormat="1">
      <c r="A4086" s="475" t="s">
        <v>346</v>
      </c>
      <c r="B4086" s="476" t="s">
        <v>357</v>
      </c>
      <c r="C4086" s="476"/>
      <c r="D4086" s="475" t="s">
        <v>358</v>
      </c>
      <c r="E4086" s="476">
        <v>201610</v>
      </c>
      <c r="F4086" s="477">
        <v>7326.2</v>
      </c>
      <c r="G4086" s="475">
        <v>6.5</v>
      </c>
      <c r="H4086" s="478">
        <v>3.1250000000000002E-3</v>
      </c>
      <c r="I4086" s="477">
        <v>148.81</v>
      </c>
      <c r="J4086" s="477">
        <v>274.73</v>
      </c>
    </row>
    <row r="4087" spans="1:10" s="471" customFormat="1">
      <c r="A4087" s="475" t="s">
        <v>346</v>
      </c>
      <c r="B4087" s="476" t="s">
        <v>359</v>
      </c>
      <c r="C4087" s="476"/>
      <c r="D4087" s="475" t="s">
        <v>360</v>
      </c>
      <c r="E4087" s="476">
        <v>201610</v>
      </c>
      <c r="F4087" s="477">
        <v>-371.83</v>
      </c>
      <c r="G4087" s="475">
        <v>6.5</v>
      </c>
      <c r="H4087" s="478">
        <v>3.1250000000000002E-3</v>
      </c>
      <c r="I4087" s="477">
        <v>-7.55</v>
      </c>
      <c r="J4087" s="477">
        <v>-13.94</v>
      </c>
    </row>
    <row r="4088" spans="1:10" s="471" customFormat="1">
      <c r="A4088" s="475" t="s">
        <v>346</v>
      </c>
      <c r="B4088" s="476" t="s">
        <v>361</v>
      </c>
      <c r="C4088" s="476"/>
      <c r="D4088" s="475" t="s">
        <v>362</v>
      </c>
      <c r="E4088" s="476">
        <v>201610</v>
      </c>
      <c r="F4088" s="477">
        <v>6629.78</v>
      </c>
      <c r="G4088" s="475">
        <v>6.5</v>
      </c>
      <c r="H4088" s="478">
        <v>3.1250000000000002E-3</v>
      </c>
      <c r="I4088" s="477">
        <v>134.66999999999999</v>
      </c>
      <c r="J4088" s="477">
        <v>248.62</v>
      </c>
    </row>
    <row r="4089" spans="1:10" s="471" customFormat="1">
      <c r="A4089" s="475" t="s">
        <v>346</v>
      </c>
      <c r="B4089" s="476" t="s">
        <v>365</v>
      </c>
      <c r="C4089" s="476"/>
      <c r="D4089" s="475" t="s">
        <v>366</v>
      </c>
      <c r="E4089" s="476">
        <v>201610</v>
      </c>
      <c r="F4089" s="477">
        <v>-594.6</v>
      </c>
      <c r="G4089" s="475">
        <v>6.5</v>
      </c>
      <c r="H4089" s="478">
        <v>3.1250000000000002E-3</v>
      </c>
      <c r="I4089" s="477">
        <v>-12.08</v>
      </c>
      <c r="J4089" s="477">
        <v>-22.3</v>
      </c>
    </row>
    <row r="4090" spans="1:10" s="471" customFormat="1">
      <c r="A4090" s="475" t="s">
        <v>346</v>
      </c>
      <c r="B4090" s="476" t="s">
        <v>367</v>
      </c>
      <c r="C4090" s="476"/>
      <c r="D4090" s="475" t="s">
        <v>368</v>
      </c>
      <c r="E4090" s="476">
        <v>201610</v>
      </c>
      <c r="F4090" s="477">
        <v>701.18</v>
      </c>
      <c r="G4090" s="475">
        <v>6.5</v>
      </c>
      <c r="H4090" s="478">
        <v>3.1250000000000002E-3</v>
      </c>
      <c r="I4090" s="477">
        <v>14.24</v>
      </c>
      <c r="J4090" s="477">
        <v>26.29</v>
      </c>
    </row>
    <row r="4091" spans="1:10" s="471" customFormat="1">
      <c r="A4091" s="475" t="s">
        <v>346</v>
      </c>
      <c r="B4091" s="476" t="s">
        <v>585</v>
      </c>
      <c r="C4091" s="476"/>
      <c r="D4091" s="475" t="s">
        <v>586</v>
      </c>
      <c r="E4091" s="476">
        <v>201610</v>
      </c>
      <c r="F4091" s="477">
        <v>-7437.37</v>
      </c>
      <c r="G4091" s="475">
        <v>6.5</v>
      </c>
      <c r="H4091" s="478">
        <v>3.1250000000000002E-3</v>
      </c>
      <c r="I4091" s="477">
        <v>-151.07</v>
      </c>
      <c r="J4091" s="477">
        <v>-278.89999999999998</v>
      </c>
    </row>
    <row r="4092" spans="1:10" s="471" customFormat="1">
      <c r="A4092" s="475" t="s">
        <v>346</v>
      </c>
      <c r="B4092" s="476" t="s">
        <v>369</v>
      </c>
      <c r="C4092" s="476"/>
      <c r="D4092" s="475" t="s">
        <v>370</v>
      </c>
      <c r="E4092" s="476">
        <v>201610</v>
      </c>
      <c r="F4092" s="477">
        <v>13465.17</v>
      </c>
      <c r="G4092" s="475">
        <v>6.5</v>
      </c>
      <c r="H4092" s="478">
        <v>3.1250000000000002E-3</v>
      </c>
      <c r="I4092" s="477">
        <v>273.51</v>
      </c>
      <c r="J4092" s="477">
        <v>504.94</v>
      </c>
    </row>
    <row r="4093" spans="1:10" s="471" customFormat="1">
      <c r="A4093" s="475" t="s">
        <v>346</v>
      </c>
      <c r="B4093" s="476" t="s">
        <v>375</v>
      </c>
      <c r="C4093" s="476"/>
      <c r="D4093" s="475" t="s">
        <v>376</v>
      </c>
      <c r="E4093" s="476">
        <v>201610</v>
      </c>
      <c r="F4093" s="477">
        <v>-10628.08</v>
      </c>
      <c r="G4093" s="475">
        <v>6.5</v>
      </c>
      <c r="H4093" s="478">
        <v>3.1250000000000002E-3</v>
      </c>
      <c r="I4093" s="477">
        <v>-215.88</v>
      </c>
      <c r="J4093" s="477">
        <v>-398.55</v>
      </c>
    </row>
    <row r="4094" spans="1:10" s="471" customFormat="1">
      <c r="A4094" s="475" t="s">
        <v>346</v>
      </c>
      <c r="B4094" s="476" t="s">
        <v>377</v>
      </c>
      <c r="C4094" s="476"/>
      <c r="D4094" s="475" t="s">
        <v>378</v>
      </c>
      <c r="E4094" s="476">
        <v>201610</v>
      </c>
      <c r="F4094" s="477">
        <v>82719.33</v>
      </c>
      <c r="G4094" s="475">
        <v>6.5</v>
      </c>
      <c r="H4094" s="478">
        <v>3.1250000000000002E-3</v>
      </c>
      <c r="I4094" s="477">
        <v>1680.24</v>
      </c>
      <c r="J4094" s="477">
        <v>3101.97</v>
      </c>
    </row>
    <row r="4095" spans="1:10" s="471" customFormat="1">
      <c r="A4095" s="475" t="s">
        <v>346</v>
      </c>
      <c r="B4095" s="476" t="s">
        <v>379</v>
      </c>
      <c r="C4095" s="476"/>
      <c r="D4095" s="475" t="s">
        <v>380</v>
      </c>
      <c r="E4095" s="476">
        <v>201610</v>
      </c>
      <c r="F4095" s="477">
        <v>4700.0600000000004</v>
      </c>
      <c r="G4095" s="475">
        <v>6.5</v>
      </c>
      <c r="H4095" s="478">
        <v>3.1250000000000002E-3</v>
      </c>
      <c r="I4095" s="477">
        <v>95.47</v>
      </c>
      <c r="J4095" s="477">
        <v>176.25</v>
      </c>
    </row>
    <row r="4096" spans="1:10" s="471" customFormat="1">
      <c r="A4096" s="475" t="s">
        <v>346</v>
      </c>
      <c r="B4096" s="476" t="s">
        <v>383</v>
      </c>
      <c r="C4096" s="476"/>
      <c r="D4096" s="475" t="s">
        <v>384</v>
      </c>
      <c r="E4096" s="476">
        <v>201610</v>
      </c>
      <c r="F4096" s="477">
        <v>-1800</v>
      </c>
      <c r="G4096" s="475">
        <v>6.5</v>
      </c>
      <c r="H4096" s="478">
        <v>3.1250000000000002E-3</v>
      </c>
      <c r="I4096" s="477">
        <v>-36.56</v>
      </c>
      <c r="J4096" s="477">
        <v>-67.5</v>
      </c>
    </row>
    <row r="4097" spans="1:10" s="471" customFormat="1">
      <c r="A4097" s="475" t="s">
        <v>346</v>
      </c>
      <c r="B4097" s="476" t="s">
        <v>385</v>
      </c>
      <c r="C4097" s="476"/>
      <c r="D4097" s="475" t="s">
        <v>386</v>
      </c>
      <c r="E4097" s="476">
        <v>201610</v>
      </c>
      <c r="F4097" s="477">
        <v>414097.29</v>
      </c>
      <c r="G4097" s="475">
        <v>6.5</v>
      </c>
      <c r="H4097" s="478">
        <v>3.1250000000000002E-3</v>
      </c>
      <c r="I4097" s="477">
        <v>8411.35</v>
      </c>
      <c r="J4097" s="477">
        <v>15528.65</v>
      </c>
    </row>
    <row r="4098" spans="1:10" s="471" customFormat="1">
      <c r="A4098" s="475" t="s">
        <v>346</v>
      </c>
      <c r="B4098" s="476" t="s">
        <v>387</v>
      </c>
      <c r="C4098" s="476"/>
      <c r="D4098" s="475" t="s">
        <v>388</v>
      </c>
      <c r="E4098" s="476">
        <v>201610</v>
      </c>
      <c r="F4098" s="477">
        <v>187447.54</v>
      </c>
      <c r="G4098" s="475">
        <v>6.5</v>
      </c>
      <c r="H4098" s="478">
        <v>3.1250000000000002E-3</v>
      </c>
      <c r="I4098" s="477">
        <v>3807.53</v>
      </c>
      <c r="J4098" s="477">
        <v>7029.28</v>
      </c>
    </row>
    <row r="4099" spans="1:10" s="471" customFormat="1">
      <c r="A4099" s="475" t="s">
        <v>346</v>
      </c>
      <c r="B4099" s="476" t="s">
        <v>389</v>
      </c>
      <c r="C4099" s="476"/>
      <c r="D4099" s="475" t="s">
        <v>390</v>
      </c>
      <c r="E4099" s="476">
        <v>201610</v>
      </c>
      <c r="F4099" s="477">
        <v>-106.21</v>
      </c>
      <c r="G4099" s="475">
        <v>6.5</v>
      </c>
      <c r="H4099" s="478">
        <v>3.1250000000000002E-3</v>
      </c>
      <c r="I4099" s="477">
        <v>-2.16</v>
      </c>
      <c r="J4099" s="477">
        <v>-3.98</v>
      </c>
    </row>
    <row r="4100" spans="1:10" s="471" customFormat="1">
      <c r="A4100" s="475" t="s">
        <v>346</v>
      </c>
      <c r="B4100" s="476" t="s">
        <v>391</v>
      </c>
      <c r="C4100" s="476"/>
      <c r="D4100" s="475" t="s">
        <v>392</v>
      </c>
      <c r="E4100" s="476">
        <v>201610</v>
      </c>
      <c r="F4100" s="477">
        <v>-3042.65</v>
      </c>
      <c r="G4100" s="475">
        <v>6.5</v>
      </c>
      <c r="H4100" s="478">
        <v>3.1250000000000002E-3</v>
      </c>
      <c r="I4100" s="477">
        <v>-61.8</v>
      </c>
      <c r="J4100" s="477">
        <v>-114.1</v>
      </c>
    </row>
    <row r="4101" spans="1:10" s="471" customFormat="1">
      <c r="A4101" s="475" t="s">
        <v>346</v>
      </c>
      <c r="B4101" s="476" t="s">
        <v>393</v>
      </c>
      <c r="C4101" s="476"/>
      <c r="D4101" s="475" t="s">
        <v>394</v>
      </c>
      <c r="E4101" s="476">
        <v>201610</v>
      </c>
      <c r="F4101" s="477">
        <v>-12170.88</v>
      </c>
      <c r="G4101" s="475">
        <v>6.5</v>
      </c>
      <c r="H4101" s="478">
        <v>3.1250000000000002E-3</v>
      </c>
      <c r="I4101" s="477">
        <v>-247.22</v>
      </c>
      <c r="J4101" s="477">
        <v>-456.41</v>
      </c>
    </row>
    <row r="4102" spans="1:10" s="471" customFormat="1">
      <c r="A4102" s="475" t="s">
        <v>346</v>
      </c>
      <c r="B4102" s="476" t="s">
        <v>395</v>
      </c>
      <c r="C4102" s="476"/>
      <c r="D4102" s="475" t="s">
        <v>396</v>
      </c>
      <c r="E4102" s="476">
        <v>201610</v>
      </c>
      <c r="F4102" s="477">
        <v>-58625.93</v>
      </c>
      <c r="G4102" s="475">
        <v>6.5</v>
      </c>
      <c r="H4102" s="478">
        <v>3.1250000000000002E-3</v>
      </c>
      <c r="I4102" s="477">
        <v>-1190.8399999999999</v>
      </c>
      <c r="J4102" s="477">
        <v>-2198.4699999999998</v>
      </c>
    </row>
    <row r="4103" spans="1:10" s="471" customFormat="1">
      <c r="A4103" s="475" t="s">
        <v>346</v>
      </c>
      <c r="B4103" s="476" t="s">
        <v>643</v>
      </c>
      <c r="C4103" s="476"/>
      <c r="D4103" s="475" t="s">
        <v>644</v>
      </c>
      <c r="E4103" s="476">
        <v>201610</v>
      </c>
      <c r="F4103" s="477">
        <v>-134498.74</v>
      </c>
      <c r="G4103" s="475">
        <v>6.5</v>
      </c>
      <c r="H4103" s="478">
        <v>3.1250000000000002E-3</v>
      </c>
      <c r="I4103" s="477">
        <v>-2732.01</v>
      </c>
      <c r="J4103" s="477">
        <v>-5043.7</v>
      </c>
    </row>
    <row r="4104" spans="1:10" s="471" customFormat="1">
      <c r="A4104" s="475" t="s">
        <v>346</v>
      </c>
      <c r="B4104" s="476" t="s">
        <v>856</v>
      </c>
      <c r="C4104" s="476"/>
      <c r="D4104" s="475" t="s">
        <v>857</v>
      </c>
      <c r="E4104" s="476">
        <v>201610</v>
      </c>
      <c r="F4104" s="477">
        <v>3.83</v>
      </c>
      <c r="G4104" s="475">
        <v>6.5</v>
      </c>
      <c r="H4104" s="478">
        <v>3.1250000000000002E-3</v>
      </c>
      <c r="I4104" s="477">
        <v>0.08</v>
      </c>
      <c r="J4104" s="477">
        <v>0.14000000000000001</v>
      </c>
    </row>
    <row r="4105" spans="1:10" s="471" customFormat="1">
      <c r="A4105" s="475" t="s">
        <v>346</v>
      </c>
      <c r="B4105" s="476" t="s">
        <v>800</v>
      </c>
      <c r="C4105" s="476"/>
      <c r="D4105" s="475" t="s">
        <v>830</v>
      </c>
      <c r="E4105" s="476">
        <v>201610</v>
      </c>
      <c r="F4105" s="477">
        <v>-338.32</v>
      </c>
      <c r="G4105" s="475">
        <v>6.5</v>
      </c>
      <c r="H4105" s="478">
        <v>3.1250000000000002E-3</v>
      </c>
      <c r="I4105" s="477">
        <v>-6.87</v>
      </c>
      <c r="J4105" s="477">
        <v>-12.69</v>
      </c>
    </row>
    <row r="4106" spans="1:10" s="471" customFormat="1">
      <c r="A4106" s="475" t="s">
        <v>346</v>
      </c>
      <c r="B4106" s="476" t="s">
        <v>629</v>
      </c>
      <c r="C4106" s="476"/>
      <c r="D4106" s="475" t="s">
        <v>630</v>
      </c>
      <c r="E4106" s="476">
        <v>201610</v>
      </c>
      <c r="F4106" s="477">
        <v>279.42</v>
      </c>
      <c r="G4106" s="475">
        <v>6.5</v>
      </c>
      <c r="H4106" s="478">
        <v>3.1250000000000002E-3</v>
      </c>
      <c r="I4106" s="477">
        <v>5.68</v>
      </c>
      <c r="J4106" s="477">
        <v>10.48</v>
      </c>
    </row>
    <row r="4107" spans="1:10" s="471" customFormat="1">
      <c r="A4107" s="475" t="s">
        <v>346</v>
      </c>
      <c r="B4107" s="476" t="s">
        <v>631</v>
      </c>
      <c r="C4107" s="476"/>
      <c r="D4107" s="475" t="s">
        <v>632</v>
      </c>
      <c r="E4107" s="476">
        <v>201610</v>
      </c>
      <c r="F4107" s="477">
        <v>4.09</v>
      </c>
      <c r="G4107" s="475">
        <v>6.5</v>
      </c>
      <c r="H4107" s="478">
        <v>3.1250000000000002E-3</v>
      </c>
      <c r="I4107" s="477">
        <v>0.08</v>
      </c>
      <c r="J4107" s="477">
        <v>0.15</v>
      </c>
    </row>
    <row r="4108" spans="1:10" s="471" customFormat="1">
      <c r="A4108" s="475" t="s">
        <v>346</v>
      </c>
      <c r="B4108" s="476" t="s">
        <v>805</v>
      </c>
      <c r="C4108" s="476"/>
      <c r="D4108" s="475" t="s">
        <v>806</v>
      </c>
      <c r="E4108" s="476">
        <v>201610</v>
      </c>
      <c r="F4108" s="477">
        <v>34.869999999999997</v>
      </c>
      <c r="G4108" s="475">
        <v>6.5</v>
      </c>
      <c r="H4108" s="478">
        <v>3.1250000000000002E-3</v>
      </c>
      <c r="I4108" s="477">
        <v>0.71</v>
      </c>
      <c r="J4108" s="477">
        <v>1.31</v>
      </c>
    </row>
    <row r="4109" spans="1:10" s="471" customFormat="1">
      <c r="A4109" s="475" t="s">
        <v>346</v>
      </c>
      <c r="B4109" s="476" t="s">
        <v>1033</v>
      </c>
      <c r="C4109" s="476"/>
      <c r="D4109" s="475" t="s">
        <v>1034</v>
      </c>
      <c r="E4109" s="476">
        <v>201610</v>
      </c>
      <c r="F4109" s="477">
        <v>6653.19</v>
      </c>
      <c r="G4109" s="475">
        <v>6.5</v>
      </c>
      <c r="H4109" s="478">
        <v>3.1250000000000002E-3</v>
      </c>
      <c r="I4109" s="477">
        <v>135.13999999999999</v>
      </c>
      <c r="J4109" s="477">
        <v>249.49</v>
      </c>
    </row>
    <row r="4110" spans="1:10" s="471" customFormat="1">
      <c r="A4110" s="475" t="s">
        <v>346</v>
      </c>
      <c r="B4110" s="476" t="s">
        <v>812</v>
      </c>
      <c r="C4110" s="476"/>
      <c r="D4110" s="475" t="s">
        <v>813</v>
      </c>
      <c r="E4110" s="476">
        <v>201610</v>
      </c>
      <c r="F4110" s="477">
        <v>12.67</v>
      </c>
      <c r="G4110" s="475">
        <v>6.5</v>
      </c>
      <c r="H4110" s="478">
        <v>3.1250000000000002E-3</v>
      </c>
      <c r="I4110" s="477">
        <v>0.26</v>
      </c>
      <c r="J4110" s="477">
        <v>0.48</v>
      </c>
    </row>
    <row r="4111" spans="1:10" s="471" customFormat="1">
      <c r="A4111" s="475" t="s">
        <v>346</v>
      </c>
      <c r="B4111" s="476" t="s">
        <v>619</v>
      </c>
      <c r="C4111" s="476"/>
      <c r="D4111" s="475" t="s">
        <v>620</v>
      </c>
      <c r="E4111" s="476">
        <v>201610</v>
      </c>
      <c r="F4111" s="477">
        <v>10.72</v>
      </c>
      <c r="G4111" s="475">
        <v>6.5</v>
      </c>
      <c r="H4111" s="478">
        <v>3.1250000000000002E-3</v>
      </c>
      <c r="I4111" s="477">
        <v>0.22</v>
      </c>
      <c r="J4111" s="477">
        <v>0.4</v>
      </c>
    </row>
    <row r="4112" spans="1:10" s="471" customFormat="1">
      <c r="A4112" s="475" t="s">
        <v>346</v>
      </c>
      <c r="B4112" s="476" t="s">
        <v>829</v>
      </c>
      <c r="C4112" s="476"/>
      <c r="D4112" s="475" t="s">
        <v>831</v>
      </c>
      <c r="E4112" s="476">
        <v>201610</v>
      </c>
      <c r="F4112" s="477">
        <v>1187.6400000000001</v>
      </c>
      <c r="G4112" s="475">
        <v>6.5</v>
      </c>
      <c r="H4112" s="478">
        <v>3.1250000000000002E-3</v>
      </c>
      <c r="I4112" s="477">
        <v>24.12</v>
      </c>
      <c r="J4112" s="477">
        <v>44.54</v>
      </c>
    </row>
    <row r="4113" spans="1:10" s="471" customFormat="1">
      <c r="A4113" s="475" t="s">
        <v>346</v>
      </c>
      <c r="B4113" s="476" t="s">
        <v>947</v>
      </c>
      <c r="C4113" s="476"/>
      <c r="D4113" s="475" t="s">
        <v>948</v>
      </c>
      <c r="E4113" s="476">
        <v>201610</v>
      </c>
      <c r="F4113" s="477">
        <v>12518.12</v>
      </c>
      <c r="G4113" s="475">
        <v>6.5</v>
      </c>
      <c r="H4113" s="478">
        <v>3.1250000000000002E-3</v>
      </c>
      <c r="I4113" s="477">
        <v>254.27</v>
      </c>
      <c r="J4113" s="477">
        <v>469.43</v>
      </c>
    </row>
    <row r="4114" spans="1:10" s="471" customFormat="1">
      <c r="A4114" s="475" t="s">
        <v>346</v>
      </c>
      <c r="B4114" s="476" t="s">
        <v>951</v>
      </c>
      <c r="C4114" s="476"/>
      <c r="D4114" s="475" t="s">
        <v>952</v>
      </c>
      <c r="E4114" s="476">
        <v>201610</v>
      </c>
      <c r="F4114" s="477">
        <v>792.39</v>
      </c>
      <c r="G4114" s="475">
        <v>6.5</v>
      </c>
      <c r="H4114" s="478">
        <v>3.1250000000000002E-3</v>
      </c>
      <c r="I4114" s="477">
        <v>16.100000000000001</v>
      </c>
      <c r="J4114" s="477">
        <v>29.71</v>
      </c>
    </row>
    <row r="4115" spans="1:10" s="471" customFormat="1">
      <c r="A4115" s="475" t="s">
        <v>346</v>
      </c>
      <c r="B4115" s="476" t="s">
        <v>955</v>
      </c>
      <c r="C4115" s="476"/>
      <c r="D4115" s="475" t="s">
        <v>956</v>
      </c>
      <c r="E4115" s="476">
        <v>201610</v>
      </c>
      <c r="F4115" s="477">
        <v>9250.82</v>
      </c>
      <c r="G4115" s="475">
        <v>6.5</v>
      </c>
      <c r="H4115" s="478">
        <v>3.1250000000000002E-3</v>
      </c>
      <c r="I4115" s="477">
        <v>187.91</v>
      </c>
      <c r="J4115" s="477">
        <v>346.91</v>
      </c>
    </row>
    <row r="4116" spans="1:10" s="471" customFormat="1">
      <c r="A4116" s="475" t="s">
        <v>346</v>
      </c>
      <c r="B4116" s="476" t="s">
        <v>963</v>
      </c>
      <c r="C4116" s="476"/>
      <c r="D4116" s="475" t="s">
        <v>964</v>
      </c>
      <c r="E4116" s="476">
        <v>201610</v>
      </c>
      <c r="F4116" s="477">
        <v>181.98</v>
      </c>
      <c r="G4116" s="475">
        <v>6.5</v>
      </c>
      <c r="H4116" s="478">
        <v>3.1250000000000002E-3</v>
      </c>
      <c r="I4116" s="477">
        <v>3.7</v>
      </c>
      <c r="J4116" s="477">
        <v>6.82</v>
      </c>
    </row>
    <row r="4117" spans="1:10" s="471" customFormat="1">
      <c r="A4117" s="475" t="s">
        <v>346</v>
      </c>
      <c r="B4117" s="476" t="s">
        <v>862</v>
      </c>
      <c r="C4117" s="476"/>
      <c r="D4117" s="475" t="s">
        <v>863</v>
      </c>
      <c r="E4117" s="476">
        <v>201610</v>
      </c>
      <c r="F4117" s="477">
        <v>258.76</v>
      </c>
      <c r="G4117" s="475">
        <v>6.5</v>
      </c>
      <c r="H4117" s="478">
        <v>3.1250000000000002E-3</v>
      </c>
      <c r="I4117" s="477">
        <v>5.26</v>
      </c>
      <c r="J4117" s="477">
        <v>9.6999999999999993</v>
      </c>
    </row>
    <row r="4118" spans="1:10" s="471" customFormat="1">
      <c r="A4118" s="475" t="s">
        <v>346</v>
      </c>
      <c r="B4118" s="476" t="s">
        <v>680</v>
      </c>
      <c r="C4118" s="476"/>
      <c r="D4118" s="475" t="s">
        <v>681</v>
      </c>
      <c r="E4118" s="476">
        <v>201610</v>
      </c>
      <c r="F4118" s="477">
        <v>1.1399999999999999</v>
      </c>
      <c r="G4118" s="475">
        <v>6.5</v>
      </c>
      <c r="H4118" s="478">
        <v>3.1250000000000002E-3</v>
      </c>
      <c r="I4118" s="477">
        <v>0.02</v>
      </c>
      <c r="J4118" s="477">
        <v>0.04</v>
      </c>
    </row>
    <row r="4119" spans="1:10" s="471" customFormat="1">
      <c r="A4119" s="475" t="s">
        <v>346</v>
      </c>
      <c r="B4119" s="476" t="s">
        <v>967</v>
      </c>
      <c r="C4119" s="476"/>
      <c r="D4119" s="475" t="s">
        <v>968</v>
      </c>
      <c r="E4119" s="476">
        <v>201610</v>
      </c>
      <c r="F4119" s="477">
        <v>412.06</v>
      </c>
      <c r="G4119" s="475">
        <v>6.5</v>
      </c>
      <c r="H4119" s="478">
        <v>3.1250000000000002E-3</v>
      </c>
      <c r="I4119" s="477">
        <v>8.3699999999999992</v>
      </c>
      <c r="J4119" s="477">
        <v>15.45</v>
      </c>
    </row>
    <row r="4120" spans="1:10" s="471" customFormat="1">
      <c r="A4120" s="475" t="s">
        <v>346</v>
      </c>
      <c r="B4120" s="476" t="s">
        <v>682</v>
      </c>
      <c r="C4120" s="476"/>
      <c r="D4120" s="475" t="s">
        <v>683</v>
      </c>
      <c r="E4120" s="476">
        <v>201610</v>
      </c>
      <c r="F4120" s="477">
        <v>34623.93</v>
      </c>
      <c r="G4120" s="475">
        <v>6.5</v>
      </c>
      <c r="H4120" s="478">
        <v>3.1250000000000002E-3</v>
      </c>
      <c r="I4120" s="477">
        <v>703.3</v>
      </c>
      <c r="J4120" s="477">
        <v>1298.4000000000001</v>
      </c>
    </row>
    <row r="4121" spans="1:10" s="471" customFormat="1">
      <c r="A4121" s="475" t="s">
        <v>346</v>
      </c>
      <c r="B4121" s="476" t="s">
        <v>822</v>
      </c>
      <c r="C4121" s="476"/>
      <c r="D4121" s="475" t="s">
        <v>823</v>
      </c>
      <c r="E4121" s="476">
        <v>201610</v>
      </c>
      <c r="F4121" s="477">
        <v>523.91999999999996</v>
      </c>
      <c r="G4121" s="475">
        <v>6.5</v>
      </c>
      <c r="H4121" s="478">
        <v>3.1250000000000002E-3</v>
      </c>
      <c r="I4121" s="477">
        <v>10.64</v>
      </c>
      <c r="J4121" s="477">
        <v>19.649999999999999</v>
      </c>
    </row>
    <row r="4122" spans="1:10" s="471" customFormat="1">
      <c r="A4122" s="475" t="s">
        <v>346</v>
      </c>
      <c r="B4122" s="476" t="s">
        <v>973</v>
      </c>
      <c r="C4122" s="476"/>
      <c r="D4122" s="475" t="s">
        <v>974</v>
      </c>
      <c r="E4122" s="476">
        <v>201610</v>
      </c>
      <c r="F4122" s="477">
        <v>35.64</v>
      </c>
      <c r="G4122" s="475">
        <v>6.5</v>
      </c>
      <c r="H4122" s="478">
        <v>3.1250000000000002E-3</v>
      </c>
      <c r="I4122" s="477">
        <v>0.72</v>
      </c>
      <c r="J4122" s="477">
        <v>1.34</v>
      </c>
    </row>
    <row r="4123" spans="1:10" s="471" customFormat="1">
      <c r="A4123" s="475" t="s">
        <v>346</v>
      </c>
      <c r="B4123" s="476" t="s">
        <v>868</v>
      </c>
      <c r="C4123" s="476"/>
      <c r="D4123" s="475" t="s">
        <v>869</v>
      </c>
      <c r="E4123" s="476">
        <v>201610</v>
      </c>
      <c r="F4123" s="477">
        <v>25.21</v>
      </c>
      <c r="G4123" s="475">
        <v>6.5</v>
      </c>
      <c r="H4123" s="478">
        <v>3.1250000000000002E-3</v>
      </c>
      <c r="I4123" s="477">
        <v>0.51</v>
      </c>
      <c r="J4123" s="477">
        <v>0.95</v>
      </c>
    </row>
    <row r="4124" spans="1:10" s="471" customFormat="1">
      <c r="A4124" s="475" t="s">
        <v>346</v>
      </c>
      <c r="B4124" s="476" t="s">
        <v>870</v>
      </c>
      <c r="C4124" s="476"/>
      <c r="D4124" s="475" t="s">
        <v>871</v>
      </c>
      <c r="E4124" s="476">
        <v>201610</v>
      </c>
      <c r="F4124" s="477">
        <v>-373.61</v>
      </c>
      <c r="G4124" s="475">
        <v>6.5</v>
      </c>
      <c r="H4124" s="478">
        <v>3.1250000000000002E-3</v>
      </c>
      <c r="I4124" s="477">
        <v>-7.59</v>
      </c>
      <c r="J4124" s="477">
        <v>-14.01</v>
      </c>
    </row>
    <row r="4125" spans="1:10" s="471" customFormat="1">
      <c r="A4125" s="475" t="s">
        <v>346</v>
      </c>
      <c r="B4125" s="476" t="s">
        <v>1039</v>
      </c>
      <c r="C4125" s="476"/>
      <c r="D4125" s="475" t="s">
        <v>1040</v>
      </c>
      <c r="E4125" s="476">
        <v>201610</v>
      </c>
      <c r="F4125" s="477">
        <v>-1080.78</v>
      </c>
      <c r="G4125" s="475">
        <v>6.5</v>
      </c>
      <c r="H4125" s="478">
        <v>3.1250000000000002E-3</v>
      </c>
      <c r="I4125" s="477">
        <v>-21.95</v>
      </c>
      <c r="J4125" s="477">
        <v>-40.53</v>
      </c>
    </row>
    <row r="4126" spans="1:10" s="471" customFormat="1">
      <c r="A4126" s="475" t="s">
        <v>346</v>
      </c>
      <c r="B4126" s="476" t="s">
        <v>872</v>
      </c>
      <c r="C4126" s="476"/>
      <c r="D4126" s="475" t="s">
        <v>873</v>
      </c>
      <c r="E4126" s="476">
        <v>201610</v>
      </c>
      <c r="F4126" s="477">
        <v>30.97</v>
      </c>
      <c r="G4126" s="475">
        <v>6.5</v>
      </c>
      <c r="H4126" s="478">
        <v>3.1250000000000002E-3</v>
      </c>
      <c r="I4126" s="477">
        <v>0.63</v>
      </c>
      <c r="J4126" s="477">
        <v>1.1599999999999999</v>
      </c>
    </row>
    <row r="4127" spans="1:10" s="471" customFormat="1">
      <c r="A4127" s="475" t="s">
        <v>346</v>
      </c>
      <c r="B4127" s="476" t="s">
        <v>977</v>
      </c>
      <c r="C4127" s="476"/>
      <c r="D4127" s="475" t="s">
        <v>978</v>
      </c>
      <c r="E4127" s="476">
        <v>201610</v>
      </c>
      <c r="F4127" s="477">
        <v>76.88</v>
      </c>
      <c r="G4127" s="475">
        <v>6.5</v>
      </c>
      <c r="H4127" s="478">
        <v>3.1250000000000002E-3</v>
      </c>
      <c r="I4127" s="477">
        <v>1.56</v>
      </c>
      <c r="J4127" s="477">
        <v>2.88</v>
      </c>
    </row>
    <row r="4128" spans="1:10" s="471" customFormat="1">
      <c r="A4128" s="475" t="s">
        <v>346</v>
      </c>
      <c r="B4128" s="476" t="s">
        <v>826</v>
      </c>
      <c r="C4128" s="476"/>
      <c r="D4128" s="475" t="s">
        <v>827</v>
      </c>
      <c r="E4128" s="476">
        <v>201610</v>
      </c>
      <c r="F4128" s="477">
        <v>319.10000000000002</v>
      </c>
      <c r="G4128" s="475">
        <v>6.5</v>
      </c>
      <c r="H4128" s="478">
        <v>3.1250000000000002E-3</v>
      </c>
      <c r="I4128" s="477">
        <v>6.48</v>
      </c>
      <c r="J4128" s="477">
        <v>11.97</v>
      </c>
    </row>
    <row r="4129" spans="1:10" s="471" customFormat="1">
      <c r="A4129" s="475" t="s">
        <v>346</v>
      </c>
      <c r="B4129" s="476" t="s">
        <v>1041</v>
      </c>
      <c r="C4129" s="476"/>
      <c r="D4129" s="475" t="s">
        <v>1042</v>
      </c>
      <c r="E4129" s="476">
        <v>201610</v>
      </c>
      <c r="F4129" s="477">
        <v>-1755.08</v>
      </c>
      <c r="G4129" s="475">
        <v>6.5</v>
      </c>
      <c r="H4129" s="478">
        <v>3.1250000000000002E-3</v>
      </c>
      <c r="I4129" s="477">
        <v>-35.65</v>
      </c>
      <c r="J4129" s="477">
        <v>-65.819999999999993</v>
      </c>
    </row>
    <row r="4130" spans="1:10" s="471" customFormat="1">
      <c r="A4130" s="475" t="s">
        <v>346</v>
      </c>
      <c r="B4130" s="476" t="s">
        <v>979</v>
      </c>
      <c r="C4130" s="476"/>
      <c r="D4130" s="475" t="s">
        <v>980</v>
      </c>
      <c r="E4130" s="476">
        <v>201610</v>
      </c>
      <c r="F4130" s="477">
        <v>57.46</v>
      </c>
      <c r="G4130" s="475">
        <v>6.5</v>
      </c>
      <c r="H4130" s="478">
        <v>3.1250000000000002E-3</v>
      </c>
      <c r="I4130" s="477">
        <v>1.17</v>
      </c>
      <c r="J4130" s="477">
        <v>2.15</v>
      </c>
    </row>
    <row r="4131" spans="1:10" s="471" customFormat="1">
      <c r="A4131" s="475" t="s">
        <v>346</v>
      </c>
      <c r="B4131" s="476" t="s">
        <v>981</v>
      </c>
      <c r="C4131" s="476"/>
      <c r="D4131" s="475" t="s">
        <v>1014</v>
      </c>
      <c r="E4131" s="476">
        <v>201610</v>
      </c>
      <c r="F4131" s="477">
        <v>540.25</v>
      </c>
      <c r="G4131" s="475">
        <v>6.5</v>
      </c>
      <c r="H4131" s="478">
        <v>3.1250000000000002E-3</v>
      </c>
      <c r="I4131" s="477">
        <v>10.97</v>
      </c>
      <c r="J4131" s="477">
        <v>20.260000000000002</v>
      </c>
    </row>
    <row r="4132" spans="1:10" s="471" customFormat="1">
      <c r="A4132" s="475" t="s">
        <v>346</v>
      </c>
      <c r="B4132" s="476" t="s">
        <v>983</v>
      </c>
      <c r="C4132" s="476"/>
      <c r="D4132" s="475" t="s">
        <v>984</v>
      </c>
      <c r="E4132" s="476">
        <v>201610</v>
      </c>
      <c r="F4132" s="477">
        <v>58.45</v>
      </c>
      <c r="G4132" s="475">
        <v>6.5</v>
      </c>
      <c r="H4132" s="478">
        <v>3.1250000000000002E-3</v>
      </c>
      <c r="I4132" s="477">
        <v>1.19</v>
      </c>
      <c r="J4132" s="477">
        <v>2.19</v>
      </c>
    </row>
    <row r="4133" spans="1:10" s="471" customFormat="1">
      <c r="A4133" s="475" t="s">
        <v>346</v>
      </c>
      <c r="B4133" s="476" t="s">
        <v>1043</v>
      </c>
      <c r="C4133" s="476"/>
      <c r="D4133" s="475" t="s">
        <v>1044</v>
      </c>
      <c r="E4133" s="476">
        <v>201610</v>
      </c>
      <c r="F4133" s="477">
        <v>-286.61</v>
      </c>
      <c r="G4133" s="475">
        <v>6.5</v>
      </c>
      <c r="H4133" s="478">
        <v>3.1250000000000002E-3</v>
      </c>
      <c r="I4133" s="477">
        <v>-5.82</v>
      </c>
      <c r="J4133" s="477">
        <v>-10.75</v>
      </c>
    </row>
    <row r="4134" spans="1:10" s="471" customFormat="1">
      <c r="A4134" s="475" t="s">
        <v>346</v>
      </c>
      <c r="B4134" s="476" t="s">
        <v>876</v>
      </c>
      <c r="C4134" s="476"/>
      <c r="D4134" s="475" t="s">
        <v>877</v>
      </c>
      <c r="E4134" s="476">
        <v>201610</v>
      </c>
      <c r="F4134" s="477">
        <v>1012.13</v>
      </c>
      <c r="G4134" s="475">
        <v>6.5</v>
      </c>
      <c r="H4134" s="478">
        <v>3.1250000000000002E-3</v>
      </c>
      <c r="I4134" s="477">
        <v>20.56</v>
      </c>
      <c r="J4134" s="477">
        <v>37.950000000000003</v>
      </c>
    </row>
    <row r="4135" spans="1:10" s="471" customFormat="1">
      <c r="A4135" s="475" t="s">
        <v>346</v>
      </c>
      <c r="B4135" s="476" t="s">
        <v>1045</v>
      </c>
      <c r="C4135" s="476"/>
      <c r="D4135" s="475" t="s">
        <v>1046</v>
      </c>
      <c r="E4135" s="476">
        <v>201610</v>
      </c>
      <c r="F4135" s="477">
        <v>-754.88</v>
      </c>
      <c r="G4135" s="475">
        <v>6.5</v>
      </c>
      <c r="H4135" s="478">
        <v>3.1250000000000002E-3</v>
      </c>
      <c r="I4135" s="477">
        <v>-15.33</v>
      </c>
      <c r="J4135" s="477">
        <v>-28.31</v>
      </c>
    </row>
    <row r="4136" spans="1:10" s="471" customFormat="1">
      <c r="A4136" s="475" t="s">
        <v>346</v>
      </c>
      <c r="B4136" s="476" t="s">
        <v>878</v>
      </c>
      <c r="C4136" s="476"/>
      <c r="D4136" s="475" t="s">
        <v>879</v>
      </c>
      <c r="E4136" s="476">
        <v>201610</v>
      </c>
      <c r="F4136" s="477">
        <v>204.84</v>
      </c>
      <c r="G4136" s="475">
        <v>6.5</v>
      </c>
      <c r="H4136" s="478">
        <v>3.1250000000000002E-3</v>
      </c>
      <c r="I4136" s="477">
        <v>4.16</v>
      </c>
      <c r="J4136" s="477">
        <v>7.68</v>
      </c>
    </row>
    <row r="4137" spans="1:10" s="471" customFormat="1">
      <c r="A4137" s="475" t="s">
        <v>346</v>
      </c>
      <c r="B4137" s="476" t="s">
        <v>987</v>
      </c>
      <c r="C4137" s="476"/>
      <c r="D4137" s="475" t="s">
        <v>988</v>
      </c>
      <c r="E4137" s="476">
        <v>201610</v>
      </c>
      <c r="F4137" s="477">
        <v>2610.59</v>
      </c>
      <c r="G4137" s="475">
        <v>6.5</v>
      </c>
      <c r="H4137" s="478">
        <v>3.1250000000000002E-3</v>
      </c>
      <c r="I4137" s="477">
        <v>53.03</v>
      </c>
      <c r="J4137" s="477">
        <v>97.9</v>
      </c>
    </row>
    <row r="4138" spans="1:10" s="471" customFormat="1">
      <c r="A4138" s="475" t="s">
        <v>346</v>
      </c>
      <c r="B4138" s="476" t="s">
        <v>880</v>
      </c>
      <c r="C4138" s="476"/>
      <c r="D4138" s="475" t="s">
        <v>881</v>
      </c>
      <c r="E4138" s="476">
        <v>201610</v>
      </c>
      <c r="F4138" s="477">
        <v>2532.34</v>
      </c>
      <c r="G4138" s="475">
        <v>6.5</v>
      </c>
      <c r="H4138" s="478">
        <v>3.1250000000000002E-3</v>
      </c>
      <c r="I4138" s="477">
        <v>51.44</v>
      </c>
      <c r="J4138" s="477">
        <v>94.96</v>
      </c>
    </row>
    <row r="4139" spans="1:10" s="471" customFormat="1">
      <c r="A4139" s="475" t="s">
        <v>346</v>
      </c>
      <c r="B4139" s="476" t="s">
        <v>993</v>
      </c>
      <c r="C4139" s="476"/>
      <c r="D4139" s="475" t="s">
        <v>994</v>
      </c>
      <c r="E4139" s="476">
        <v>201610</v>
      </c>
      <c r="F4139" s="477">
        <v>35.78</v>
      </c>
      <c r="G4139" s="475">
        <v>6.5</v>
      </c>
      <c r="H4139" s="478">
        <v>3.1250000000000002E-3</v>
      </c>
      <c r="I4139" s="477">
        <v>0.73</v>
      </c>
      <c r="J4139" s="477">
        <v>1.34</v>
      </c>
    </row>
    <row r="4140" spans="1:10" s="471" customFormat="1">
      <c r="A4140" s="475" t="s">
        <v>346</v>
      </c>
      <c r="B4140" s="476" t="s">
        <v>996</v>
      </c>
      <c r="C4140" s="476"/>
      <c r="D4140" s="475" t="s">
        <v>997</v>
      </c>
      <c r="E4140" s="476">
        <v>201610</v>
      </c>
      <c r="F4140" s="477">
        <v>4350.72</v>
      </c>
      <c r="G4140" s="475">
        <v>6.5</v>
      </c>
      <c r="H4140" s="478">
        <v>3.1250000000000002E-3</v>
      </c>
      <c r="I4140" s="477">
        <v>88.37</v>
      </c>
      <c r="J4140" s="477">
        <v>163.15</v>
      </c>
    </row>
    <row r="4141" spans="1:10" s="471" customFormat="1">
      <c r="A4141" s="475" t="s">
        <v>346</v>
      </c>
      <c r="B4141" s="476" t="s">
        <v>1055</v>
      </c>
      <c r="C4141" s="476"/>
      <c r="D4141" s="475" t="s">
        <v>1056</v>
      </c>
      <c r="E4141" s="476">
        <v>201610</v>
      </c>
      <c r="F4141" s="477">
        <v>-200.92</v>
      </c>
      <c r="G4141" s="475">
        <v>6.5</v>
      </c>
      <c r="H4141" s="478">
        <v>3.1250000000000002E-3</v>
      </c>
      <c r="I4141" s="477">
        <v>-4.08</v>
      </c>
      <c r="J4141" s="477">
        <v>-7.53</v>
      </c>
    </row>
    <row r="4142" spans="1:10" s="471" customFormat="1">
      <c r="A4142" s="475" t="s">
        <v>346</v>
      </c>
      <c r="B4142" s="476" t="s">
        <v>887</v>
      </c>
      <c r="C4142" s="476"/>
      <c r="D4142" s="475" t="s">
        <v>888</v>
      </c>
      <c r="E4142" s="476">
        <v>201610</v>
      </c>
      <c r="F4142" s="477">
        <v>-875.34</v>
      </c>
      <c r="G4142" s="475">
        <v>6.5</v>
      </c>
      <c r="H4142" s="478">
        <v>3.1250000000000002E-3</v>
      </c>
      <c r="I4142" s="477">
        <v>-17.78</v>
      </c>
      <c r="J4142" s="477">
        <v>-32.83</v>
      </c>
    </row>
    <row r="4143" spans="1:10" s="471" customFormat="1">
      <c r="A4143" s="475" t="s">
        <v>346</v>
      </c>
      <c r="B4143" s="476" t="s">
        <v>1006</v>
      </c>
      <c r="C4143" s="476"/>
      <c r="D4143" s="475" t="s">
        <v>1007</v>
      </c>
      <c r="E4143" s="476">
        <v>201610</v>
      </c>
      <c r="F4143" s="477">
        <v>241.47</v>
      </c>
      <c r="G4143" s="475">
        <v>6.5</v>
      </c>
      <c r="H4143" s="478">
        <v>3.1250000000000002E-3</v>
      </c>
      <c r="I4143" s="477">
        <v>4.9000000000000004</v>
      </c>
      <c r="J4143" s="477">
        <v>9.06</v>
      </c>
    </row>
    <row r="4144" spans="1:10" s="471" customFormat="1">
      <c r="A4144" s="475" t="s">
        <v>346</v>
      </c>
      <c r="B4144" s="476" t="s">
        <v>1057</v>
      </c>
      <c r="C4144" s="476"/>
      <c r="D4144" s="475" t="s">
        <v>1058</v>
      </c>
      <c r="E4144" s="476">
        <v>201610</v>
      </c>
      <c r="F4144" s="477">
        <v>1266.53</v>
      </c>
      <c r="G4144" s="475">
        <v>6.5</v>
      </c>
      <c r="H4144" s="478">
        <v>3.1250000000000002E-3</v>
      </c>
      <c r="I4144" s="477">
        <v>25.73</v>
      </c>
      <c r="J4144" s="477">
        <v>47.49</v>
      </c>
    </row>
    <row r="4145" spans="1:10" s="471" customFormat="1">
      <c r="A4145" s="475" t="s">
        <v>346</v>
      </c>
      <c r="B4145" s="476" t="s">
        <v>1049</v>
      </c>
      <c r="C4145" s="476"/>
      <c r="D4145" s="475" t="s">
        <v>1050</v>
      </c>
      <c r="E4145" s="476">
        <v>201610</v>
      </c>
      <c r="F4145" s="477">
        <v>-126.46</v>
      </c>
      <c r="G4145" s="475">
        <v>6.5</v>
      </c>
      <c r="H4145" s="478">
        <v>3.1250000000000002E-3</v>
      </c>
      <c r="I4145" s="477">
        <v>-2.57</v>
      </c>
      <c r="J4145" s="477">
        <v>-4.74</v>
      </c>
    </row>
    <row r="4146" spans="1:10" s="471" customFormat="1">
      <c r="A4146" s="475" t="s">
        <v>346</v>
      </c>
      <c r="B4146" s="476" t="s">
        <v>1077</v>
      </c>
      <c r="C4146" s="476"/>
      <c r="D4146" s="475" t="s">
        <v>1078</v>
      </c>
      <c r="E4146" s="476">
        <v>201610</v>
      </c>
      <c r="F4146" s="477">
        <v>16412.28</v>
      </c>
      <c r="G4146" s="475">
        <v>6.5</v>
      </c>
      <c r="H4146" s="478">
        <v>3.1250000000000002E-3</v>
      </c>
      <c r="I4146" s="477">
        <v>333.37</v>
      </c>
      <c r="J4146" s="477">
        <v>615.46</v>
      </c>
    </row>
    <row r="4147" spans="1:10" s="471" customFormat="1">
      <c r="A4147" s="475" t="s">
        <v>346</v>
      </c>
      <c r="B4147" s="476" t="s">
        <v>1079</v>
      </c>
      <c r="C4147" s="476"/>
      <c r="D4147" s="475" t="s">
        <v>1080</v>
      </c>
      <c r="E4147" s="476">
        <v>201610</v>
      </c>
      <c r="F4147" s="477">
        <v>44870.82</v>
      </c>
      <c r="G4147" s="475">
        <v>6.5</v>
      </c>
      <c r="H4147" s="478">
        <v>3.1250000000000002E-3</v>
      </c>
      <c r="I4147" s="477">
        <v>911.44</v>
      </c>
      <c r="J4147" s="477">
        <v>1682.66</v>
      </c>
    </row>
    <row r="4148" spans="1:10" s="471" customFormat="1">
      <c r="A4148" s="475" t="s">
        <v>346</v>
      </c>
      <c r="B4148" s="476" t="s">
        <v>880</v>
      </c>
      <c r="C4148" s="476"/>
      <c r="D4148" s="475" t="s">
        <v>881</v>
      </c>
      <c r="E4148" s="476">
        <v>201611</v>
      </c>
      <c r="F4148" s="477">
        <v>-101474.25</v>
      </c>
      <c r="G4148" s="475">
        <v>5.5</v>
      </c>
      <c r="H4148" s="478">
        <v>3.1250000000000002E-3</v>
      </c>
      <c r="I4148" s="477">
        <v>-1744.09</v>
      </c>
      <c r="J4148" s="477">
        <v>-3805.28</v>
      </c>
    </row>
    <row r="4149" spans="1:10" s="471" customFormat="1">
      <c r="A4149" s="475" t="s">
        <v>346</v>
      </c>
      <c r="B4149" s="476" t="s">
        <v>979</v>
      </c>
      <c r="C4149" s="476"/>
      <c r="D4149" s="475" t="s">
        <v>980</v>
      </c>
      <c r="E4149" s="476">
        <v>201611</v>
      </c>
      <c r="F4149" s="477">
        <v>27.42</v>
      </c>
      <c r="G4149" s="475">
        <v>5.5</v>
      </c>
      <c r="H4149" s="478">
        <v>3.1250000000000002E-3</v>
      </c>
      <c r="I4149" s="477">
        <v>0.47</v>
      </c>
      <c r="J4149" s="477">
        <v>1.03</v>
      </c>
    </row>
    <row r="4150" spans="1:10" s="471" customFormat="1">
      <c r="A4150" s="475" t="s">
        <v>346</v>
      </c>
      <c r="B4150" s="476" t="s">
        <v>973</v>
      </c>
      <c r="C4150" s="476"/>
      <c r="D4150" s="475" t="s">
        <v>974</v>
      </c>
      <c r="E4150" s="476">
        <v>201611</v>
      </c>
      <c r="F4150" s="477">
        <v>-1.88</v>
      </c>
      <c r="G4150" s="475">
        <v>5.5</v>
      </c>
      <c r="H4150" s="478">
        <v>3.1250000000000002E-3</v>
      </c>
      <c r="I4150" s="477">
        <v>-0.03</v>
      </c>
      <c r="J4150" s="477">
        <v>-7.0000000000000007E-2</v>
      </c>
    </row>
    <row r="4151" spans="1:10" s="471" customFormat="1">
      <c r="A4151" s="475" t="s">
        <v>346</v>
      </c>
      <c r="B4151" s="476" t="s">
        <v>1057</v>
      </c>
      <c r="C4151" s="476"/>
      <c r="D4151" s="475" t="s">
        <v>1058</v>
      </c>
      <c r="E4151" s="476">
        <v>201611</v>
      </c>
      <c r="F4151" s="477">
        <v>540.54</v>
      </c>
      <c r="G4151" s="475">
        <v>5.5</v>
      </c>
      <c r="H4151" s="478">
        <v>3.1250000000000002E-3</v>
      </c>
      <c r="I4151" s="477">
        <v>9.2899999999999991</v>
      </c>
      <c r="J4151" s="477">
        <v>20.27</v>
      </c>
    </row>
    <row r="4152" spans="1:10" s="471" customFormat="1">
      <c r="A4152" s="475" t="s">
        <v>346</v>
      </c>
      <c r="B4152" s="476" t="s">
        <v>1077</v>
      </c>
      <c r="C4152" s="476"/>
      <c r="D4152" s="475" t="s">
        <v>1078</v>
      </c>
      <c r="E4152" s="476">
        <v>201611</v>
      </c>
      <c r="F4152" s="477">
        <v>-364.26</v>
      </c>
      <c r="G4152" s="475">
        <v>5.5</v>
      </c>
      <c r="H4152" s="478">
        <v>3.1250000000000002E-3</v>
      </c>
      <c r="I4152" s="477">
        <v>-6.26</v>
      </c>
      <c r="J4152" s="477">
        <v>-13.66</v>
      </c>
    </row>
    <row r="4153" spans="1:10" s="471" customFormat="1">
      <c r="A4153" s="475" t="s">
        <v>346</v>
      </c>
      <c r="B4153" s="476" t="s">
        <v>389</v>
      </c>
      <c r="C4153" s="476"/>
      <c r="D4153" s="475" t="s">
        <v>390</v>
      </c>
      <c r="E4153" s="476">
        <v>201611</v>
      </c>
      <c r="F4153" s="477">
        <v>1.78</v>
      </c>
      <c r="G4153" s="475">
        <v>5.5</v>
      </c>
      <c r="H4153" s="478">
        <v>3.1250000000000002E-3</v>
      </c>
      <c r="I4153" s="477">
        <v>0.03</v>
      </c>
      <c r="J4153" s="477">
        <v>7.0000000000000007E-2</v>
      </c>
    </row>
    <row r="4154" spans="1:10" s="471" customFormat="1">
      <c r="A4154" s="475" t="s">
        <v>346</v>
      </c>
      <c r="B4154" s="476" t="s">
        <v>367</v>
      </c>
      <c r="C4154" s="476"/>
      <c r="D4154" s="475" t="s">
        <v>368</v>
      </c>
      <c r="E4154" s="476">
        <v>201611</v>
      </c>
      <c r="F4154" s="477">
        <v>10836.2</v>
      </c>
      <c r="G4154" s="475">
        <v>5.5</v>
      </c>
      <c r="H4154" s="478">
        <v>3.1250000000000002E-3</v>
      </c>
      <c r="I4154" s="477">
        <v>186.25</v>
      </c>
      <c r="J4154" s="477">
        <v>406.36</v>
      </c>
    </row>
    <row r="4155" spans="1:10" s="559" customFormat="1">
      <c r="A4155" s="521" t="s">
        <v>346</v>
      </c>
      <c r="B4155" s="522" t="s">
        <v>357</v>
      </c>
      <c r="C4155" s="522"/>
      <c r="D4155" s="521" t="s">
        <v>358</v>
      </c>
      <c r="E4155" s="522">
        <v>201611</v>
      </c>
      <c r="F4155" s="523">
        <v>3519.42</v>
      </c>
      <c r="G4155" s="521">
        <v>5.5</v>
      </c>
      <c r="H4155" s="486">
        <v>3.1250000000000002E-3</v>
      </c>
      <c r="I4155" s="523">
        <v>60.49</v>
      </c>
      <c r="J4155" s="523">
        <v>131.97999999999999</v>
      </c>
    </row>
    <row r="4156" spans="1:10" s="559" customFormat="1">
      <c r="A4156" s="521" t="s">
        <v>346</v>
      </c>
      <c r="B4156" s="522" t="s">
        <v>731</v>
      </c>
      <c r="C4156" s="522"/>
      <c r="D4156" s="521" t="s">
        <v>732</v>
      </c>
      <c r="E4156" s="522">
        <v>201611</v>
      </c>
      <c r="F4156" s="523">
        <v>-25.09</v>
      </c>
      <c r="G4156" s="521">
        <v>5.5</v>
      </c>
      <c r="H4156" s="486">
        <v>3.1250000000000002E-3</v>
      </c>
      <c r="I4156" s="523">
        <v>-0.43</v>
      </c>
      <c r="J4156" s="523">
        <v>-0.94</v>
      </c>
    </row>
    <row r="4157" spans="1:10" s="559" customFormat="1">
      <c r="A4157" s="521" t="s">
        <v>346</v>
      </c>
      <c r="B4157" s="522" t="s">
        <v>1043</v>
      </c>
      <c r="C4157" s="522"/>
      <c r="D4157" s="521" t="s">
        <v>1044</v>
      </c>
      <c r="E4157" s="522">
        <v>201611</v>
      </c>
      <c r="F4157" s="523">
        <v>37.950000000000003</v>
      </c>
      <c r="G4157" s="521">
        <v>5.5</v>
      </c>
      <c r="H4157" s="486">
        <v>3.1250000000000002E-3</v>
      </c>
      <c r="I4157" s="523">
        <v>0.65</v>
      </c>
      <c r="J4157" s="523">
        <v>1.42</v>
      </c>
    </row>
    <row r="4158" spans="1:10" s="559" customFormat="1">
      <c r="A4158" s="521" t="s">
        <v>346</v>
      </c>
      <c r="B4158" s="522" t="s">
        <v>967</v>
      </c>
      <c r="C4158" s="522"/>
      <c r="D4158" s="521" t="s">
        <v>968</v>
      </c>
      <c r="E4158" s="522">
        <v>201611</v>
      </c>
      <c r="F4158" s="523">
        <v>52.48</v>
      </c>
      <c r="G4158" s="521">
        <v>5.5</v>
      </c>
      <c r="H4158" s="486">
        <v>3.1250000000000002E-3</v>
      </c>
      <c r="I4158" s="523">
        <v>0.9</v>
      </c>
      <c r="J4158" s="523">
        <v>1.97</v>
      </c>
    </row>
    <row r="4159" spans="1:10" s="559" customFormat="1">
      <c r="A4159" s="521" t="s">
        <v>346</v>
      </c>
      <c r="B4159" s="522" t="s">
        <v>1006</v>
      </c>
      <c r="C4159" s="522"/>
      <c r="D4159" s="521" t="s">
        <v>1007</v>
      </c>
      <c r="E4159" s="522">
        <v>201611</v>
      </c>
      <c r="F4159" s="523">
        <v>-11.64</v>
      </c>
      <c r="G4159" s="521">
        <v>5.5</v>
      </c>
      <c r="H4159" s="486">
        <v>3.1250000000000002E-3</v>
      </c>
      <c r="I4159" s="523">
        <v>-0.2</v>
      </c>
      <c r="J4159" s="523">
        <v>-0.44</v>
      </c>
    </row>
    <row r="4160" spans="1:10" s="559" customFormat="1">
      <c r="A4160" s="521" t="s">
        <v>346</v>
      </c>
      <c r="B4160" s="522" t="s">
        <v>862</v>
      </c>
      <c r="C4160" s="522"/>
      <c r="D4160" s="521" t="s">
        <v>863</v>
      </c>
      <c r="E4160" s="522">
        <v>201611</v>
      </c>
      <c r="F4160" s="523">
        <v>-12.13</v>
      </c>
      <c r="G4160" s="521">
        <v>5.5</v>
      </c>
      <c r="H4160" s="486">
        <v>3.1250000000000002E-3</v>
      </c>
      <c r="I4160" s="523">
        <v>-0.21</v>
      </c>
      <c r="J4160" s="523">
        <v>-0.45</v>
      </c>
    </row>
    <row r="4161" spans="1:10" s="559" customFormat="1">
      <c r="A4161" s="521" t="s">
        <v>346</v>
      </c>
      <c r="B4161" s="522" t="s">
        <v>379</v>
      </c>
      <c r="C4161" s="522"/>
      <c r="D4161" s="521" t="s">
        <v>380</v>
      </c>
      <c r="E4161" s="522">
        <v>201611</v>
      </c>
      <c r="F4161" s="523">
        <v>-1435.18</v>
      </c>
      <c r="G4161" s="521">
        <v>5.5</v>
      </c>
      <c r="H4161" s="486">
        <v>3.1250000000000002E-3</v>
      </c>
      <c r="I4161" s="523">
        <v>-24.67</v>
      </c>
      <c r="J4161" s="523">
        <v>-53.82</v>
      </c>
    </row>
    <row r="4162" spans="1:10" s="559" customFormat="1">
      <c r="A4162" s="521" t="s">
        <v>346</v>
      </c>
      <c r="B4162" s="522" t="s">
        <v>375</v>
      </c>
      <c r="C4162" s="522"/>
      <c r="D4162" s="521" t="s">
        <v>376</v>
      </c>
      <c r="E4162" s="522">
        <v>201611</v>
      </c>
      <c r="F4162" s="523">
        <v>-9439</v>
      </c>
      <c r="G4162" s="521">
        <v>5.5</v>
      </c>
      <c r="H4162" s="486">
        <v>3.1250000000000002E-3</v>
      </c>
      <c r="I4162" s="523">
        <v>-162.22999999999999</v>
      </c>
      <c r="J4162" s="523">
        <v>-353.96</v>
      </c>
    </row>
    <row r="4163" spans="1:10" s="559" customFormat="1">
      <c r="A4163" s="521" t="s">
        <v>346</v>
      </c>
      <c r="B4163" s="522" t="s">
        <v>359</v>
      </c>
      <c r="C4163" s="522"/>
      <c r="D4163" s="521" t="s">
        <v>360</v>
      </c>
      <c r="E4163" s="522">
        <v>201611</v>
      </c>
      <c r="F4163" s="523">
        <v>6.3</v>
      </c>
      <c r="G4163" s="521">
        <v>5.5</v>
      </c>
      <c r="H4163" s="486">
        <v>3.1250000000000002E-3</v>
      </c>
      <c r="I4163" s="523">
        <v>0.11</v>
      </c>
      <c r="J4163" s="523">
        <v>0.24</v>
      </c>
    </row>
    <row r="4164" spans="1:10" s="559" customFormat="1">
      <c r="A4164" s="521" t="s">
        <v>346</v>
      </c>
      <c r="B4164" s="522" t="s">
        <v>347</v>
      </c>
      <c r="C4164" s="522"/>
      <c r="D4164" s="521" t="s">
        <v>348</v>
      </c>
      <c r="E4164" s="522">
        <v>201611</v>
      </c>
      <c r="F4164" s="523">
        <v>678141.71</v>
      </c>
      <c r="G4164" s="521">
        <v>5.5</v>
      </c>
      <c r="H4164" s="486">
        <v>3.1250000000000002E-3</v>
      </c>
      <c r="I4164" s="523">
        <v>11655.56</v>
      </c>
      <c r="J4164" s="523">
        <v>25430.31</v>
      </c>
    </row>
    <row r="4165" spans="1:10" s="559" customFormat="1">
      <c r="A4165" s="521" t="s">
        <v>346</v>
      </c>
      <c r="B4165" s="522" t="s">
        <v>856</v>
      </c>
      <c r="C4165" s="522"/>
      <c r="D4165" s="521" t="s">
        <v>857</v>
      </c>
      <c r="E4165" s="522">
        <v>201611</v>
      </c>
      <c r="F4165" s="523">
        <v>-0.3</v>
      </c>
      <c r="G4165" s="521">
        <v>5.5</v>
      </c>
      <c r="H4165" s="486">
        <v>3.1250000000000002E-3</v>
      </c>
      <c r="I4165" s="523">
        <v>-0.01</v>
      </c>
      <c r="J4165" s="523">
        <v>-0.01</v>
      </c>
    </row>
    <row r="4166" spans="1:10" s="559" customFormat="1">
      <c r="A4166" s="521" t="s">
        <v>346</v>
      </c>
      <c r="B4166" s="522" t="s">
        <v>872</v>
      </c>
      <c r="C4166" s="522"/>
      <c r="D4166" s="521" t="s">
        <v>873</v>
      </c>
      <c r="E4166" s="522">
        <v>201611</v>
      </c>
      <c r="F4166" s="523">
        <v>-97591.05</v>
      </c>
      <c r="G4166" s="521">
        <v>5.5</v>
      </c>
      <c r="H4166" s="486">
        <v>3.1250000000000002E-3</v>
      </c>
      <c r="I4166" s="523">
        <v>-1677.35</v>
      </c>
      <c r="J4166" s="523">
        <v>-3659.66</v>
      </c>
    </row>
    <row r="4167" spans="1:10" s="559" customFormat="1">
      <c r="A4167" s="521" t="s">
        <v>346</v>
      </c>
      <c r="B4167" s="522" t="s">
        <v>1045</v>
      </c>
      <c r="C4167" s="522"/>
      <c r="D4167" s="521" t="s">
        <v>1046</v>
      </c>
      <c r="E4167" s="522">
        <v>201611</v>
      </c>
      <c r="F4167" s="523">
        <v>20.28</v>
      </c>
      <c r="G4167" s="521">
        <v>5.5</v>
      </c>
      <c r="H4167" s="486">
        <v>3.1250000000000002E-3</v>
      </c>
      <c r="I4167" s="523">
        <v>0.35</v>
      </c>
      <c r="J4167" s="523">
        <v>0.76</v>
      </c>
    </row>
    <row r="4168" spans="1:10" s="559" customFormat="1">
      <c r="A4168" s="521" t="s">
        <v>346</v>
      </c>
      <c r="B4168" s="522" t="s">
        <v>963</v>
      </c>
      <c r="C4168" s="522"/>
      <c r="D4168" s="521" t="s">
        <v>964</v>
      </c>
      <c r="E4168" s="522">
        <v>201611</v>
      </c>
      <c r="F4168" s="523">
        <v>40.82</v>
      </c>
      <c r="G4168" s="521">
        <v>5.5</v>
      </c>
      <c r="H4168" s="486">
        <v>3.1250000000000002E-3</v>
      </c>
      <c r="I4168" s="523">
        <v>0.7</v>
      </c>
      <c r="J4168" s="523">
        <v>1.53</v>
      </c>
    </row>
    <row r="4169" spans="1:10" s="559" customFormat="1">
      <c r="A4169" s="521" t="s">
        <v>346</v>
      </c>
      <c r="B4169" s="522" t="s">
        <v>991</v>
      </c>
      <c r="C4169" s="522"/>
      <c r="D4169" s="521" t="s">
        <v>992</v>
      </c>
      <c r="E4169" s="522">
        <v>201611</v>
      </c>
      <c r="F4169" s="523">
        <v>-23955.51</v>
      </c>
      <c r="G4169" s="521">
        <v>5.5</v>
      </c>
      <c r="H4169" s="486">
        <v>3.1250000000000002E-3</v>
      </c>
      <c r="I4169" s="523">
        <v>-411.74</v>
      </c>
      <c r="J4169" s="523">
        <v>-898.33</v>
      </c>
    </row>
    <row r="4170" spans="1:10" s="559" customFormat="1">
      <c r="A4170" s="521" t="s">
        <v>346</v>
      </c>
      <c r="B4170" s="522" t="s">
        <v>975</v>
      </c>
      <c r="C4170" s="522"/>
      <c r="D4170" s="521" t="s">
        <v>976</v>
      </c>
      <c r="E4170" s="522">
        <v>201611</v>
      </c>
      <c r="F4170" s="523">
        <v>60.01</v>
      </c>
      <c r="G4170" s="521">
        <v>5.5</v>
      </c>
      <c r="H4170" s="486">
        <v>3.1250000000000002E-3</v>
      </c>
      <c r="I4170" s="523">
        <v>1.03</v>
      </c>
      <c r="J4170" s="523">
        <v>2.25</v>
      </c>
    </row>
    <row r="4171" spans="1:10" s="559" customFormat="1">
      <c r="A4171" s="521" t="s">
        <v>346</v>
      </c>
      <c r="B4171" s="522" t="s">
        <v>1079</v>
      </c>
      <c r="C4171" s="522"/>
      <c r="D4171" s="521" t="s">
        <v>1080</v>
      </c>
      <c r="E4171" s="522">
        <v>201611</v>
      </c>
      <c r="F4171" s="523">
        <v>-2084.75</v>
      </c>
      <c r="G4171" s="521">
        <v>5.5</v>
      </c>
      <c r="H4171" s="486">
        <v>3.1250000000000002E-3</v>
      </c>
      <c r="I4171" s="523">
        <v>-35.83</v>
      </c>
      <c r="J4171" s="523">
        <v>-78.180000000000007</v>
      </c>
    </row>
    <row r="4172" spans="1:10" s="559" customFormat="1">
      <c r="A4172" s="521" t="s">
        <v>346</v>
      </c>
      <c r="B4172" s="522" t="s">
        <v>842</v>
      </c>
      <c r="C4172" s="522"/>
      <c r="D4172" s="521" t="s">
        <v>843</v>
      </c>
      <c r="E4172" s="522">
        <v>201611</v>
      </c>
      <c r="F4172" s="523">
        <v>0.04</v>
      </c>
      <c r="G4172" s="521">
        <v>5.5</v>
      </c>
      <c r="H4172" s="486">
        <v>3.1250000000000002E-3</v>
      </c>
      <c r="I4172" s="523">
        <v>0</v>
      </c>
      <c r="J4172" s="523">
        <v>0</v>
      </c>
    </row>
    <row r="4173" spans="1:10" s="559" customFormat="1">
      <c r="A4173" s="521" t="s">
        <v>346</v>
      </c>
      <c r="B4173" s="522" t="s">
        <v>872</v>
      </c>
      <c r="C4173" s="522"/>
      <c r="D4173" s="521" t="s">
        <v>873</v>
      </c>
      <c r="E4173" s="522">
        <v>201611</v>
      </c>
      <c r="F4173" s="523">
        <v>96070.98</v>
      </c>
      <c r="G4173" s="521">
        <v>5.5</v>
      </c>
      <c r="H4173" s="486">
        <v>3.1250000000000002E-3</v>
      </c>
      <c r="I4173" s="523">
        <v>1651.22</v>
      </c>
      <c r="J4173" s="523">
        <v>3602.66</v>
      </c>
    </row>
    <row r="4174" spans="1:10" s="559" customFormat="1">
      <c r="A4174" s="521" t="s">
        <v>346</v>
      </c>
      <c r="B4174" s="522" t="s">
        <v>991</v>
      </c>
      <c r="C4174" s="522"/>
      <c r="D4174" s="521" t="s">
        <v>992</v>
      </c>
      <c r="E4174" s="522">
        <v>201611</v>
      </c>
      <c r="F4174" s="523">
        <v>24271.49</v>
      </c>
      <c r="G4174" s="521">
        <v>5.5</v>
      </c>
      <c r="H4174" s="486">
        <v>3.1250000000000002E-3</v>
      </c>
      <c r="I4174" s="523">
        <v>417.17</v>
      </c>
      <c r="J4174" s="523">
        <v>910.18</v>
      </c>
    </row>
    <row r="4175" spans="1:10" s="559" customFormat="1">
      <c r="A4175" s="521" t="s">
        <v>346</v>
      </c>
      <c r="B4175" s="522" t="s">
        <v>395</v>
      </c>
      <c r="C4175" s="522"/>
      <c r="D4175" s="521" t="s">
        <v>396</v>
      </c>
      <c r="E4175" s="522">
        <v>201611</v>
      </c>
      <c r="F4175" s="523">
        <v>-43565.09</v>
      </c>
      <c r="G4175" s="521">
        <v>5.5</v>
      </c>
      <c r="H4175" s="486">
        <v>3.1250000000000002E-3</v>
      </c>
      <c r="I4175" s="523">
        <v>-748.77</v>
      </c>
      <c r="J4175" s="523">
        <v>-1633.69</v>
      </c>
    </row>
    <row r="4176" spans="1:10" s="559" customFormat="1">
      <c r="A4176" s="521" t="s">
        <v>346</v>
      </c>
      <c r="B4176" s="522" t="s">
        <v>629</v>
      </c>
      <c r="C4176" s="522"/>
      <c r="D4176" s="521" t="s">
        <v>630</v>
      </c>
      <c r="E4176" s="522">
        <v>201611</v>
      </c>
      <c r="F4176" s="523">
        <v>1.65</v>
      </c>
      <c r="G4176" s="521">
        <v>5.5</v>
      </c>
      <c r="H4176" s="486">
        <v>3.1250000000000002E-3</v>
      </c>
      <c r="I4176" s="523">
        <v>0.03</v>
      </c>
      <c r="J4176" s="523">
        <v>0.06</v>
      </c>
    </row>
    <row r="4177" spans="1:10" s="559" customFormat="1">
      <c r="A4177" s="521" t="s">
        <v>346</v>
      </c>
      <c r="B4177" s="522" t="s">
        <v>876</v>
      </c>
      <c r="C4177" s="522"/>
      <c r="D4177" s="521" t="s">
        <v>877</v>
      </c>
      <c r="E4177" s="522">
        <v>201611</v>
      </c>
      <c r="F4177" s="523">
        <v>-66.17</v>
      </c>
      <c r="G4177" s="521">
        <v>5.5</v>
      </c>
      <c r="H4177" s="486">
        <v>3.1250000000000002E-3</v>
      </c>
      <c r="I4177" s="523">
        <v>-1.1399999999999999</v>
      </c>
      <c r="J4177" s="523">
        <v>-2.48</v>
      </c>
    </row>
    <row r="4178" spans="1:10" s="559" customFormat="1">
      <c r="A4178" s="521" t="s">
        <v>346</v>
      </c>
      <c r="B4178" s="522" t="s">
        <v>800</v>
      </c>
      <c r="C4178" s="522"/>
      <c r="D4178" s="521" t="s">
        <v>830</v>
      </c>
      <c r="E4178" s="522">
        <v>201611</v>
      </c>
      <c r="F4178" s="523">
        <v>25.05</v>
      </c>
      <c r="G4178" s="521">
        <v>5.5</v>
      </c>
      <c r="H4178" s="486">
        <v>3.1250000000000002E-3</v>
      </c>
      <c r="I4178" s="523">
        <v>0.43</v>
      </c>
      <c r="J4178" s="523">
        <v>0.94</v>
      </c>
    </row>
    <row r="4179" spans="1:10" s="559" customFormat="1">
      <c r="A4179" s="521" t="s">
        <v>346</v>
      </c>
      <c r="B4179" s="522" t="s">
        <v>852</v>
      </c>
      <c r="C4179" s="522"/>
      <c r="D4179" s="521" t="s">
        <v>853</v>
      </c>
      <c r="E4179" s="522">
        <v>201611</v>
      </c>
      <c r="F4179" s="523">
        <v>-58524.02</v>
      </c>
      <c r="G4179" s="521">
        <v>5.5</v>
      </c>
      <c r="H4179" s="486">
        <v>3.1250000000000002E-3</v>
      </c>
      <c r="I4179" s="523">
        <v>-1005.88</v>
      </c>
      <c r="J4179" s="523">
        <v>-2194.65</v>
      </c>
    </row>
    <row r="4180" spans="1:10" s="559" customFormat="1">
      <c r="A4180" s="521" t="s">
        <v>346</v>
      </c>
      <c r="B4180" s="522" t="s">
        <v>385</v>
      </c>
      <c r="C4180" s="522"/>
      <c r="D4180" s="521" t="s">
        <v>386</v>
      </c>
      <c r="E4180" s="522">
        <v>201611</v>
      </c>
      <c r="F4180" s="523">
        <v>190255.3</v>
      </c>
      <c r="G4180" s="521">
        <v>5.5</v>
      </c>
      <c r="H4180" s="486">
        <v>3.1250000000000002E-3</v>
      </c>
      <c r="I4180" s="523">
        <v>3270.01</v>
      </c>
      <c r="J4180" s="523">
        <v>7134.57</v>
      </c>
    </row>
    <row r="4181" spans="1:10" s="559" customFormat="1">
      <c r="A4181" s="521" t="s">
        <v>346</v>
      </c>
      <c r="B4181" s="522" t="s">
        <v>874</v>
      </c>
      <c r="C4181" s="522"/>
      <c r="D4181" s="521" t="s">
        <v>875</v>
      </c>
      <c r="E4181" s="522">
        <v>201611</v>
      </c>
      <c r="F4181" s="523">
        <v>112796.06</v>
      </c>
      <c r="G4181" s="521">
        <v>5.5</v>
      </c>
      <c r="H4181" s="486">
        <v>3.1250000000000002E-3</v>
      </c>
      <c r="I4181" s="523">
        <v>1938.68</v>
      </c>
      <c r="J4181" s="523">
        <v>4229.8500000000004</v>
      </c>
    </row>
    <row r="4182" spans="1:10" s="559" customFormat="1">
      <c r="A4182" s="521" t="s">
        <v>346</v>
      </c>
      <c r="B4182" s="522" t="s">
        <v>361</v>
      </c>
      <c r="C4182" s="522"/>
      <c r="D4182" s="521" t="s">
        <v>362</v>
      </c>
      <c r="E4182" s="522">
        <v>201611</v>
      </c>
      <c r="F4182" s="523">
        <v>3325.07</v>
      </c>
      <c r="G4182" s="521">
        <v>5.5</v>
      </c>
      <c r="H4182" s="486">
        <v>3.1250000000000002E-3</v>
      </c>
      <c r="I4182" s="523">
        <v>57.15</v>
      </c>
      <c r="J4182" s="523">
        <v>124.69</v>
      </c>
    </row>
    <row r="4183" spans="1:10" s="559" customFormat="1">
      <c r="A4183" s="521" t="s">
        <v>346</v>
      </c>
      <c r="B4183" s="522" t="s">
        <v>349</v>
      </c>
      <c r="C4183" s="522"/>
      <c r="D4183" s="521" t="s">
        <v>350</v>
      </c>
      <c r="E4183" s="522">
        <v>201611</v>
      </c>
      <c r="F4183" s="523">
        <v>-325.16000000000003</v>
      </c>
      <c r="G4183" s="521">
        <v>5.5</v>
      </c>
      <c r="H4183" s="486">
        <v>3.1250000000000002E-3</v>
      </c>
      <c r="I4183" s="523">
        <v>-5.59</v>
      </c>
      <c r="J4183" s="523">
        <v>-12.19</v>
      </c>
    </row>
    <row r="4184" spans="1:10" s="559" customFormat="1">
      <c r="A4184" s="521" t="s">
        <v>346</v>
      </c>
      <c r="B4184" s="522" t="s">
        <v>874</v>
      </c>
      <c r="C4184" s="522"/>
      <c r="D4184" s="521" t="s">
        <v>875</v>
      </c>
      <c r="E4184" s="522">
        <v>201611</v>
      </c>
      <c r="F4184" s="523">
        <v>-113235.02</v>
      </c>
      <c r="G4184" s="521">
        <v>5.5</v>
      </c>
      <c r="H4184" s="486">
        <v>3.1250000000000002E-3</v>
      </c>
      <c r="I4184" s="523">
        <v>-1946.23</v>
      </c>
      <c r="J4184" s="523">
        <v>-4246.3100000000004</v>
      </c>
    </row>
    <row r="4185" spans="1:10" s="559" customFormat="1">
      <c r="A4185" s="521" t="s">
        <v>346</v>
      </c>
      <c r="B4185" s="522" t="s">
        <v>870</v>
      </c>
      <c r="C4185" s="522"/>
      <c r="D4185" s="521" t="s">
        <v>871</v>
      </c>
      <c r="E4185" s="522">
        <v>201611</v>
      </c>
      <c r="F4185" s="523">
        <v>-15006.66</v>
      </c>
      <c r="G4185" s="521">
        <v>5.5</v>
      </c>
      <c r="H4185" s="486">
        <v>3.1250000000000002E-3</v>
      </c>
      <c r="I4185" s="523">
        <v>-257.93</v>
      </c>
      <c r="J4185" s="523">
        <v>-562.75</v>
      </c>
    </row>
    <row r="4186" spans="1:10" s="559" customFormat="1">
      <c r="A4186" s="521" t="s">
        <v>346</v>
      </c>
      <c r="B4186" s="522" t="s">
        <v>981</v>
      </c>
      <c r="C4186" s="522"/>
      <c r="D4186" s="521" t="s">
        <v>1014</v>
      </c>
      <c r="E4186" s="522">
        <v>201611</v>
      </c>
      <c r="F4186" s="523">
        <v>1000.37</v>
      </c>
      <c r="G4186" s="521">
        <v>5.5</v>
      </c>
      <c r="H4186" s="486">
        <v>3.1250000000000002E-3</v>
      </c>
      <c r="I4186" s="523">
        <v>17.190000000000001</v>
      </c>
      <c r="J4186" s="523">
        <v>37.51</v>
      </c>
    </row>
    <row r="4187" spans="1:10" s="559" customFormat="1">
      <c r="A4187" s="521" t="s">
        <v>346</v>
      </c>
      <c r="B4187" s="522" t="s">
        <v>977</v>
      </c>
      <c r="C4187" s="522"/>
      <c r="D4187" s="521" t="s">
        <v>978</v>
      </c>
      <c r="E4187" s="522">
        <v>201611</v>
      </c>
      <c r="F4187" s="523">
        <v>72.63</v>
      </c>
      <c r="G4187" s="521">
        <v>5.5</v>
      </c>
      <c r="H4187" s="486">
        <v>3.1250000000000002E-3</v>
      </c>
      <c r="I4187" s="523">
        <v>1.25</v>
      </c>
      <c r="J4187" s="523">
        <v>2.72</v>
      </c>
    </row>
    <row r="4188" spans="1:10" s="559" customFormat="1">
      <c r="A4188" s="521" t="s">
        <v>346</v>
      </c>
      <c r="B4188" s="522" t="s">
        <v>1049</v>
      </c>
      <c r="C4188" s="522"/>
      <c r="D4188" s="521" t="s">
        <v>1050</v>
      </c>
      <c r="E4188" s="522">
        <v>201611</v>
      </c>
      <c r="F4188" s="523">
        <v>63.23</v>
      </c>
      <c r="G4188" s="521">
        <v>5.5</v>
      </c>
      <c r="H4188" s="486">
        <v>3.1250000000000002E-3</v>
      </c>
      <c r="I4188" s="523">
        <v>1.0900000000000001</v>
      </c>
      <c r="J4188" s="523">
        <v>2.37</v>
      </c>
    </row>
    <row r="4189" spans="1:10" s="559" customFormat="1">
      <c r="A4189" s="521" t="s">
        <v>346</v>
      </c>
      <c r="B4189" s="522" t="s">
        <v>393</v>
      </c>
      <c r="C4189" s="522"/>
      <c r="D4189" s="521" t="s">
        <v>394</v>
      </c>
      <c r="E4189" s="522">
        <v>201611</v>
      </c>
      <c r="F4189" s="523">
        <v>-12280.45</v>
      </c>
      <c r="G4189" s="521">
        <v>5.5</v>
      </c>
      <c r="H4189" s="486">
        <v>3.1250000000000002E-3</v>
      </c>
      <c r="I4189" s="523">
        <v>-211.07</v>
      </c>
      <c r="J4189" s="523">
        <v>-460.52</v>
      </c>
    </row>
    <row r="4190" spans="1:10" s="559" customFormat="1">
      <c r="A4190" s="521" t="s">
        <v>346</v>
      </c>
      <c r="B4190" s="522" t="s">
        <v>391</v>
      </c>
      <c r="C4190" s="522"/>
      <c r="D4190" s="521" t="s">
        <v>392</v>
      </c>
      <c r="E4190" s="522">
        <v>201611</v>
      </c>
      <c r="F4190" s="523">
        <v>1100.07</v>
      </c>
      <c r="G4190" s="521">
        <v>5.5</v>
      </c>
      <c r="H4190" s="486">
        <v>3.1250000000000002E-3</v>
      </c>
      <c r="I4190" s="523">
        <v>18.91</v>
      </c>
      <c r="J4190" s="523">
        <v>41.25</v>
      </c>
    </row>
    <row r="4191" spans="1:10" s="559" customFormat="1">
      <c r="A4191" s="521" t="s">
        <v>346</v>
      </c>
      <c r="B4191" s="522" t="s">
        <v>852</v>
      </c>
      <c r="C4191" s="522"/>
      <c r="D4191" s="521" t="s">
        <v>853</v>
      </c>
      <c r="E4191" s="522">
        <v>201611</v>
      </c>
      <c r="F4191" s="523">
        <v>53675.199999999997</v>
      </c>
      <c r="G4191" s="521">
        <v>5.5</v>
      </c>
      <c r="H4191" s="486">
        <v>3.1250000000000002E-3</v>
      </c>
      <c r="I4191" s="523">
        <v>922.54</v>
      </c>
      <c r="J4191" s="523">
        <v>2012.82</v>
      </c>
    </row>
    <row r="4192" spans="1:10" s="559" customFormat="1">
      <c r="A4192" s="521" t="s">
        <v>346</v>
      </c>
      <c r="B4192" s="522" t="s">
        <v>365</v>
      </c>
      <c r="C4192" s="522"/>
      <c r="D4192" s="521" t="s">
        <v>366</v>
      </c>
      <c r="E4192" s="522">
        <v>201611</v>
      </c>
      <c r="F4192" s="523">
        <v>-664.84</v>
      </c>
      <c r="G4192" s="521">
        <v>5.5</v>
      </c>
      <c r="H4192" s="486">
        <v>3.1250000000000002E-3</v>
      </c>
      <c r="I4192" s="523">
        <v>-11.43</v>
      </c>
      <c r="J4192" s="523">
        <v>-24.93</v>
      </c>
    </row>
    <row r="4193" spans="1:10" s="559" customFormat="1">
      <c r="A4193" s="521" t="s">
        <v>346</v>
      </c>
      <c r="B4193" s="522" t="s">
        <v>353</v>
      </c>
      <c r="C4193" s="522"/>
      <c r="D4193" s="521" t="s">
        <v>354</v>
      </c>
      <c r="E4193" s="522">
        <v>201611</v>
      </c>
      <c r="F4193" s="523">
        <v>-2477.5</v>
      </c>
      <c r="G4193" s="521">
        <v>5.5</v>
      </c>
      <c r="H4193" s="486">
        <v>3.1250000000000002E-3</v>
      </c>
      <c r="I4193" s="523">
        <v>-42.58</v>
      </c>
      <c r="J4193" s="523">
        <v>-92.91</v>
      </c>
    </row>
    <row r="4194" spans="1:10" s="559" customFormat="1">
      <c r="A4194" s="521" t="s">
        <v>346</v>
      </c>
      <c r="B4194" s="522" t="s">
        <v>351</v>
      </c>
      <c r="C4194" s="522"/>
      <c r="D4194" s="521" t="s">
        <v>352</v>
      </c>
      <c r="E4194" s="522">
        <v>201611</v>
      </c>
      <c r="F4194" s="523">
        <v>1227.44</v>
      </c>
      <c r="G4194" s="521">
        <v>5.5</v>
      </c>
      <c r="H4194" s="486">
        <v>3.1250000000000002E-3</v>
      </c>
      <c r="I4194" s="523">
        <v>21.1</v>
      </c>
      <c r="J4194" s="523">
        <v>46.03</v>
      </c>
    </row>
    <row r="4195" spans="1:10" s="559" customFormat="1">
      <c r="A4195" s="521" t="s">
        <v>346</v>
      </c>
      <c r="B4195" s="522" t="s">
        <v>1033</v>
      </c>
      <c r="C4195" s="522"/>
      <c r="D4195" s="521" t="s">
        <v>1034</v>
      </c>
      <c r="E4195" s="522">
        <v>201611</v>
      </c>
      <c r="F4195" s="523">
        <v>-84.21</v>
      </c>
      <c r="G4195" s="521">
        <v>5.5</v>
      </c>
      <c r="H4195" s="486">
        <v>3.1250000000000002E-3</v>
      </c>
      <c r="I4195" s="523">
        <v>-1.45</v>
      </c>
      <c r="J4195" s="523">
        <v>-3.16</v>
      </c>
    </row>
    <row r="4196" spans="1:10" s="559" customFormat="1">
      <c r="A4196" s="521" t="s">
        <v>346</v>
      </c>
      <c r="B4196" s="522" t="s">
        <v>987</v>
      </c>
      <c r="C4196" s="522"/>
      <c r="D4196" s="521" t="s">
        <v>988</v>
      </c>
      <c r="E4196" s="522">
        <v>201611</v>
      </c>
      <c r="F4196" s="523">
        <v>2.2200000000000002</v>
      </c>
      <c r="G4196" s="521">
        <v>5.5</v>
      </c>
      <c r="H4196" s="486">
        <v>3.1250000000000002E-3</v>
      </c>
      <c r="I4196" s="523">
        <v>0.04</v>
      </c>
      <c r="J4196" s="523">
        <v>0.08</v>
      </c>
    </row>
    <row r="4197" spans="1:10" s="559" customFormat="1">
      <c r="A4197" s="521" t="s">
        <v>346</v>
      </c>
      <c r="B4197" s="522" t="s">
        <v>955</v>
      </c>
      <c r="C4197" s="522"/>
      <c r="D4197" s="521" t="s">
        <v>956</v>
      </c>
      <c r="E4197" s="522">
        <v>201611</v>
      </c>
      <c r="F4197" s="523">
        <v>630.47</v>
      </c>
      <c r="G4197" s="521">
        <v>5.5</v>
      </c>
      <c r="H4197" s="486">
        <v>3.1250000000000002E-3</v>
      </c>
      <c r="I4197" s="523">
        <v>10.84</v>
      </c>
      <c r="J4197" s="523">
        <v>23.64</v>
      </c>
    </row>
    <row r="4198" spans="1:10" s="559" customFormat="1">
      <c r="A4198" s="521" t="s">
        <v>346</v>
      </c>
      <c r="B4198" s="522" t="s">
        <v>846</v>
      </c>
      <c r="C4198" s="522"/>
      <c r="D4198" s="521" t="s">
        <v>847</v>
      </c>
      <c r="E4198" s="522">
        <v>201611</v>
      </c>
      <c r="F4198" s="523">
        <v>-176973.57</v>
      </c>
      <c r="G4198" s="521">
        <v>5.5</v>
      </c>
      <c r="H4198" s="486">
        <v>3.1250000000000002E-3</v>
      </c>
      <c r="I4198" s="523">
        <v>-3041.73</v>
      </c>
      <c r="J4198" s="523">
        <v>-6636.51</v>
      </c>
    </row>
    <row r="4199" spans="1:10" s="559" customFormat="1">
      <c r="A4199" s="521" t="s">
        <v>346</v>
      </c>
      <c r="B4199" s="522" t="s">
        <v>887</v>
      </c>
      <c r="C4199" s="522"/>
      <c r="D4199" s="521" t="s">
        <v>888</v>
      </c>
      <c r="E4199" s="522">
        <v>201611</v>
      </c>
      <c r="F4199" s="523">
        <v>35.270000000000003</v>
      </c>
      <c r="G4199" s="521">
        <v>5.5</v>
      </c>
      <c r="H4199" s="486">
        <v>3.1250000000000002E-3</v>
      </c>
      <c r="I4199" s="523">
        <v>0.61</v>
      </c>
      <c r="J4199" s="523">
        <v>1.32</v>
      </c>
    </row>
    <row r="4200" spans="1:10" s="559" customFormat="1">
      <c r="A4200" s="521" t="s">
        <v>346</v>
      </c>
      <c r="B4200" s="522" t="s">
        <v>805</v>
      </c>
      <c r="C4200" s="522"/>
      <c r="D4200" s="521" t="s">
        <v>806</v>
      </c>
      <c r="E4200" s="522">
        <v>201611</v>
      </c>
      <c r="F4200" s="523">
        <v>-4.68</v>
      </c>
      <c r="G4200" s="521">
        <v>5.5</v>
      </c>
      <c r="H4200" s="486">
        <v>3.1250000000000002E-3</v>
      </c>
      <c r="I4200" s="523">
        <v>-0.08</v>
      </c>
      <c r="J4200" s="523">
        <v>-0.18</v>
      </c>
    </row>
    <row r="4201" spans="1:10" s="559" customFormat="1">
      <c r="A4201" s="521" t="s">
        <v>346</v>
      </c>
      <c r="B4201" s="522" t="s">
        <v>891</v>
      </c>
      <c r="C4201" s="522"/>
      <c r="D4201" s="521" t="s">
        <v>892</v>
      </c>
      <c r="E4201" s="522">
        <v>201611</v>
      </c>
      <c r="F4201" s="523">
        <v>7601.59</v>
      </c>
      <c r="G4201" s="521">
        <v>5.5</v>
      </c>
      <c r="H4201" s="486">
        <v>3.1250000000000002E-3</v>
      </c>
      <c r="I4201" s="523">
        <v>130.65</v>
      </c>
      <c r="J4201" s="523">
        <v>285.06</v>
      </c>
    </row>
    <row r="4202" spans="1:10" s="559" customFormat="1">
      <c r="A4202" s="521" t="s">
        <v>346</v>
      </c>
      <c r="B4202" s="522" t="s">
        <v>868</v>
      </c>
      <c r="C4202" s="522"/>
      <c r="D4202" s="521" t="s">
        <v>869</v>
      </c>
      <c r="E4202" s="522">
        <v>201611</v>
      </c>
      <c r="F4202" s="523">
        <v>275834.86</v>
      </c>
      <c r="G4202" s="521">
        <v>5.5</v>
      </c>
      <c r="H4202" s="486">
        <v>3.1250000000000002E-3</v>
      </c>
      <c r="I4202" s="523">
        <v>4740.91</v>
      </c>
      <c r="J4202" s="523">
        <v>10343.81</v>
      </c>
    </row>
    <row r="4203" spans="1:10" s="559" customFormat="1">
      <c r="A4203" s="521" t="s">
        <v>346</v>
      </c>
      <c r="B4203" s="522" t="s">
        <v>822</v>
      </c>
      <c r="C4203" s="522"/>
      <c r="D4203" s="521" t="s">
        <v>823</v>
      </c>
      <c r="E4203" s="522">
        <v>201611</v>
      </c>
      <c r="F4203" s="523">
        <v>0</v>
      </c>
      <c r="G4203" s="521">
        <v>5.5</v>
      </c>
      <c r="H4203" s="486">
        <v>3.1250000000000002E-3</v>
      </c>
      <c r="I4203" s="523">
        <v>0</v>
      </c>
      <c r="J4203" s="523">
        <v>0</v>
      </c>
    </row>
    <row r="4204" spans="1:10" s="559" customFormat="1">
      <c r="A4204" s="521" t="s">
        <v>346</v>
      </c>
      <c r="B4204" s="522" t="s">
        <v>868</v>
      </c>
      <c r="C4204" s="522"/>
      <c r="D4204" s="521" t="s">
        <v>869</v>
      </c>
      <c r="E4204" s="522">
        <v>201611</v>
      </c>
      <c r="F4204" s="523">
        <v>-312277.46000000002</v>
      </c>
      <c r="G4204" s="521">
        <v>5.5</v>
      </c>
      <c r="H4204" s="486">
        <v>3.1250000000000002E-3</v>
      </c>
      <c r="I4204" s="523">
        <v>-5367.27</v>
      </c>
      <c r="J4204" s="523">
        <v>-11710.4</v>
      </c>
    </row>
    <row r="4205" spans="1:10" s="559" customFormat="1">
      <c r="A4205" s="521" t="s">
        <v>346</v>
      </c>
      <c r="B4205" s="522" t="s">
        <v>889</v>
      </c>
      <c r="C4205" s="522"/>
      <c r="D4205" s="521" t="s">
        <v>890</v>
      </c>
      <c r="E4205" s="522">
        <v>201611</v>
      </c>
      <c r="F4205" s="523">
        <v>2.0099999999999998</v>
      </c>
      <c r="G4205" s="521">
        <v>5.5</v>
      </c>
      <c r="H4205" s="486">
        <v>3.1250000000000002E-3</v>
      </c>
      <c r="I4205" s="523">
        <v>0.03</v>
      </c>
      <c r="J4205" s="523">
        <v>0.08</v>
      </c>
    </row>
    <row r="4206" spans="1:10" s="559" customFormat="1">
      <c r="A4206" s="521" t="s">
        <v>346</v>
      </c>
      <c r="B4206" s="522" t="s">
        <v>1041</v>
      </c>
      <c r="C4206" s="522"/>
      <c r="D4206" s="521" t="s">
        <v>1042</v>
      </c>
      <c r="E4206" s="522">
        <v>201611</v>
      </c>
      <c r="F4206" s="523">
        <v>3987.63</v>
      </c>
      <c r="G4206" s="521">
        <v>5.5</v>
      </c>
      <c r="H4206" s="486">
        <v>3.1250000000000002E-3</v>
      </c>
      <c r="I4206" s="523">
        <v>68.540000000000006</v>
      </c>
      <c r="J4206" s="523">
        <v>149.54</v>
      </c>
    </row>
    <row r="4207" spans="1:10" s="559" customFormat="1">
      <c r="A4207" s="521" t="s">
        <v>346</v>
      </c>
      <c r="B4207" s="522" t="s">
        <v>1039</v>
      </c>
      <c r="C4207" s="522"/>
      <c r="D4207" s="521" t="s">
        <v>1040</v>
      </c>
      <c r="E4207" s="522">
        <v>201611</v>
      </c>
      <c r="F4207" s="523">
        <v>5209.9799999999996</v>
      </c>
      <c r="G4207" s="521">
        <v>5.5</v>
      </c>
      <c r="H4207" s="486">
        <v>3.1250000000000002E-3</v>
      </c>
      <c r="I4207" s="523">
        <v>89.55</v>
      </c>
      <c r="J4207" s="523">
        <v>195.37</v>
      </c>
    </row>
    <row r="4208" spans="1:10" s="559" customFormat="1">
      <c r="A4208" s="521" t="s">
        <v>346</v>
      </c>
      <c r="B4208" s="522" t="s">
        <v>996</v>
      </c>
      <c r="C4208" s="522"/>
      <c r="D4208" s="521" t="s">
        <v>997</v>
      </c>
      <c r="E4208" s="522">
        <v>201611</v>
      </c>
      <c r="F4208" s="523">
        <v>1529.42</v>
      </c>
      <c r="G4208" s="521">
        <v>5.5</v>
      </c>
      <c r="H4208" s="486">
        <v>3.1250000000000002E-3</v>
      </c>
      <c r="I4208" s="523">
        <v>26.29</v>
      </c>
      <c r="J4208" s="523">
        <v>57.35</v>
      </c>
    </row>
    <row r="4209" spans="1:10" s="559" customFormat="1">
      <c r="A4209" s="521" t="s">
        <v>346</v>
      </c>
      <c r="B4209" s="522" t="s">
        <v>1055</v>
      </c>
      <c r="C4209" s="522"/>
      <c r="D4209" s="521" t="s">
        <v>1056</v>
      </c>
      <c r="E4209" s="522">
        <v>201611</v>
      </c>
      <c r="F4209" s="523">
        <v>14.53</v>
      </c>
      <c r="G4209" s="521">
        <v>5.5</v>
      </c>
      <c r="H4209" s="486">
        <v>3.1250000000000002E-3</v>
      </c>
      <c r="I4209" s="523">
        <v>0.25</v>
      </c>
      <c r="J4209" s="523">
        <v>0.54</v>
      </c>
    </row>
    <row r="4210" spans="1:10" s="559" customFormat="1">
      <c r="A4210" s="521" t="s">
        <v>346</v>
      </c>
      <c r="B4210" s="522" t="s">
        <v>880</v>
      </c>
      <c r="C4210" s="522"/>
      <c r="D4210" s="521" t="s">
        <v>881</v>
      </c>
      <c r="E4210" s="522">
        <v>201611</v>
      </c>
      <c r="F4210" s="523">
        <v>79413.95</v>
      </c>
      <c r="G4210" s="521">
        <v>5.5</v>
      </c>
      <c r="H4210" s="486">
        <v>3.1250000000000002E-3</v>
      </c>
      <c r="I4210" s="523">
        <v>1364.93</v>
      </c>
      <c r="J4210" s="523">
        <v>2978.02</v>
      </c>
    </row>
    <row r="4211" spans="1:10" s="559" customFormat="1">
      <c r="A4211" s="521" t="s">
        <v>346</v>
      </c>
      <c r="B4211" s="522" t="s">
        <v>846</v>
      </c>
      <c r="C4211" s="522"/>
      <c r="D4211" s="521" t="s">
        <v>847</v>
      </c>
      <c r="E4211" s="522">
        <v>201611</v>
      </c>
      <c r="F4211" s="523">
        <v>165035.4</v>
      </c>
      <c r="G4211" s="521">
        <v>5.5</v>
      </c>
      <c r="H4211" s="486">
        <v>3.1250000000000002E-3</v>
      </c>
      <c r="I4211" s="523">
        <v>2836.55</v>
      </c>
      <c r="J4211" s="523">
        <v>6188.83</v>
      </c>
    </row>
    <row r="4212" spans="1:10" s="559" customFormat="1">
      <c r="A4212" s="521" t="s">
        <v>346</v>
      </c>
      <c r="B4212" s="522" t="s">
        <v>377</v>
      </c>
      <c r="C4212" s="522"/>
      <c r="D4212" s="521" t="s">
        <v>378</v>
      </c>
      <c r="E4212" s="522">
        <v>201611</v>
      </c>
      <c r="F4212" s="523">
        <v>93289.17</v>
      </c>
      <c r="G4212" s="521">
        <v>5.5</v>
      </c>
      <c r="H4212" s="486">
        <v>3.1250000000000002E-3</v>
      </c>
      <c r="I4212" s="523">
        <v>1603.41</v>
      </c>
      <c r="J4212" s="523">
        <v>3498.34</v>
      </c>
    </row>
    <row r="4213" spans="1:10" s="559" customFormat="1">
      <c r="A4213" s="521" t="s">
        <v>346</v>
      </c>
      <c r="B4213" s="522" t="s">
        <v>401</v>
      </c>
      <c r="C4213" s="522"/>
      <c r="D4213" s="521" t="s">
        <v>402</v>
      </c>
      <c r="E4213" s="522">
        <v>201611</v>
      </c>
      <c r="F4213" s="523">
        <v>0</v>
      </c>
      <c r="G4213" s="521">
        <v>5.5</v>
      </c>
      <c r="H4213" s="486">
        <v>3.1250000000000002E-3</v>
      </c>
      <c r="I4213" s="523">
        <v>0</v>
      </c>
      <c r="J4213" s="523">
        <v>0</v>
      </c>
    </row>
    <row r="4214" spans="1:10" s="559" customFormat="1">
      <c r="A4214" s="521" t="s">
        <v>346</v>
      </c>
      <c r="B4214" s="522" t="s">
        <v>993</v>
      </c>
      <c r="C4214" s="522"/>
      <c r="D4214" s="521" t="s">
        <v>994</v>
      </c>
      <c r="E4214" s="522">
        <v>201611</v>
      </c>
      <c r="F4214" s="523">
        <v>3027.85</v>
      </c>
      <c r="G4214" s="521">
        <v>5.5</v>
      </c>
      <c r="H4214" s="486">
        <v>3.1250000000000002E-3</v>
      </c>
      <c r="I4214" s="523">
        <v>52.04</v>
      </c>
      <c r="J4214" s="523">
        <v>113.54</v>
      </c>
    </row>
    <row r="4215" spans="1:10" s="559" customFormat="1">
      <c r="A4215" s="521" t="s">
        <v>346</v>
      </c>
      <c r="B4215" s="522" t="s">
        <v>983</v>
      </c>
      <c r="C4215" s="522"/>
      <c r="D4215" s="521" t="s">
        <v>984</v>
      </c>
      <c r="E4215" s="522">
        <v>201611</v>
      </c>
      <c r="F4215" s="523">
        <v>48.42</v>
      </c>
      <c r="G4215" s="521">
        <v>5.5</v>
      </c>
      <c r="H4215" s="486">
        <v>3.1250000000000002E-3</v>
      </c>
      <c r="I4215" s="523">
        <v>0.83</v>
      </c>
      <c r="J4215" s="523">
        <v>1.82</v>
      </c>
    </row>
    <row r="4216" spans="1:10" s="559" customFormat="1">
      <c r="A4216" s="521" t="s">
        <v>346</v>
      </c>
      <c r="B4216" s="522" t="s">
        <v>951</v>
      </c>
      <c r="C4216" s="522"/>
      <c r="D4216" s="521" t="s">
        <v>952</v>
      </c>
      <c r="E4216" s="522">
        <v>201611</v>
      </c>
      <c r="F4216" s="523">
        <v>-357.31</v>
      </c>
      <c r="G4216" s="521">
        <v>5.5</v>
      </c>
      <c r="H4216" s="486">
        <v>3.1250000000000002E-3</v>
      </c>
      <c r="I4216" s="523">
        <v>-6.14</v>
      </c>
      <c r="J4216" s="523">
        <v>-13.4</v>
      </c>
    </row>
    <row r="4217" spans="1:10" s="559" customFormat="1">
      <c r="A4217" s="521" t="s">
        <v>346</v>
      </c>
      <c r="B4217" s="522" t="s">
        <v>947</v>
      </c>
      <c r="C4217" s="522"/>
      <c r="D4217" s="521" t="s">
        <v>948</v>
      </c>
      <c r="E4217" s="522">
        <v>201611</v>
      </c>
      <c r="F4217" s="523">
        <v>-83.94</v>
      </c>
      <c r="G4217" s="521">
        <v>5.5</v>
      </c>
      <c r="H4217" s="486">
        <v>3.1250000000000002E-3</v>
      </c>
      <c r="I4217" s="523">
        <v>-1.44</v>
      </c>
      <c r="J4217" s="523">
        <v>-3.15</v>
      </c>
    </row>
    <row r="4218" spans="1:10" s="559" customFormat="1">
      <c r="A4218" s="521" t="s">
        <v>346</v>
      </c>
      <c r="B4218" s="522" t="s">
        <v>682</v>
      </c>
      <c r="C4218" s="522"/>
      <c r="D4218" s="521" t="s">
        <v>683</v>
      </c>
      <c r="E4218" s="522">
        <v>201611</v>
      </c>
      <c r="F4218" s="523">
        <v>6964.23</v>
      </c>
      <c r="G4218" s="521">
        <v>5.5</v>
      </c>
      <c r="H4218" s="486">
        <v>3.1250000000000002E-3</v>
      </c>
      <c r="I4218" s="523">
        <v>119.7</v>
      </c>
      <c r="J4218" s="523">
        <v>261.16000000000003</v>
      </c>
    </row>
    <row r="4219" spans="1:10" s="559" customFormat="1">
      <c r="A4219" s="521" t="s">
        <v>346</v>
      </c>
      <c r="B4219" s="522" t="s">
        <v>870</v>
      </c>
      <c r="C4219" s="522"/>
      <c r="D4219" s="521" t="s">
        <v>871</v>
      </c>
      <c r="E4219" s="522">
        <v>201611</v>
      </c>
      <c r="F4219" s="523">
        <v>16827.009999999998</v>
      </c>
      <c r="G4219" s="521">
        <v>5.5</v>
      </c>
      <c r="H4219" s="486">
        <v>3.1250000000000002E-3</v>
      </c>
      <c r="I4219" s="523">
        <v>289.20999999999998</v>
      </c>
      <c r="J4219" s="523">
        <v>631.01</v>
      </c>
    </row>
    <row r="4220" spans="1:10" s="559" customFormat="1">
      <c r="A4220" s="521" t="s">
        <v>346</v>
      </c>
      <c r="B4220" s="522" t="s">
        <v>387</v>
      </c>
      <c r="C4220" s="522"/>
      <c r="D4220" s="521" t="s">
        <v>388</v>
      </c>
      <c r="E4220" s="522">
        <v>201611</v>
      </c>
      <c r="F4220" s="523">
        <v>226706.24</v>
      </c>
      <c r="G4220" s="521">
        <v>5.5</v>
      </c>
      <c r="H4220" s="486">
        <v>3.1250000000000002E-3</v>
      </c>
      <c r="I4220" s="523">
        <v>3896.51</v>
      </c>
      <c r="J4220" s="523">
        <v>8501.48</v>
      </c>
    </row>
    <row r="4221" spans="1:10" s="559" customFormat="1">
      <c r="A4221" s="521" t="s">
        <v>346</v>
      </c>
      <c r="B4221" s="522" t="s">
        <v>371</v>
      </c>
      <c r="C4221" s="522"/>
      <c r="D4221" s="521" t="s">
        <v>372</v>
      </c>
      <c r="E4221" s="522">
        <v>201611</v>
      </c>
      <c r="F4221" s="523">
        <v>767.97</v>
      </c>
      <c r="G4221" s="521">
        <v>5.5</v>
      </c>
      <c r="H4221" s="486">
        <v>3.1250000000000002E-3</v>
      </c>
      <c r="I4221" s="523">
        <v>13.2</v>
      </c>
      <c r="J4221" s="523">
        <v>28.8</v>
      </c>
    </row>
    <row r="4222" spans="1:10" s="559" customFormat="1">
      <c r="A4222" s="521" t="s">
        <v>346</v>
      </c>
      <c r="B4222" s="522" t="s">
        <v>369</v>
      </c>
      <c r="C4222" s="522"/>
      <c r="D4222" s="521" t="s">
        <v>370</v>
      </c>
      <c r="E4222" s="522">
        <v>201611</v>
      </c>
      <c r="F4222" s="523">
        <v>-3524.91</v>
      </c>
      <c r="G4222" s="521">
        <v>5.5</v>
      </c>
      <c r="H4222" s="486">
        <v>3.1250000000000002E-3</v>
      </c>
      <c r="I4222" s="523">
        <v>-60.58</v>
      </c>
      <c r="J4222" s="523">
        <v>-132.18</v>
      </c>
    </row>
    <row r="4223" spans="1:10" s="559" customFormat="1">
      <c r="A4223" s="521" t="s">
        <v>346</v>
      </c>
      <c r="B4223" s="522" t="s">
        <v>355</v>
      </c>
      <c r="C4223" s="522"/>
      <c r="D4223" s="521" t="s">
        <v>356</v>
      </c>
      <c r="E4223" s="522">
        <v>201611</v>
      </c>
      <c r="F4223" s="523">
        <v>74335.39</v>
      </c>
      <c r="G4223" s="521">
        <v>5.5</v>
      </c>
      <c r="H4223" s="486">
        <v>3.1250000000000002E-3</v>
      </c>
      <c r="I4223" s="523">
        <v>1277.6400000000001</v>
      </c>
      <c r="J4223" s="523">
        <v>2787.58</v>
      </c>
    </row>
    <row r="4224" spans="1:10" s="559" customFormat="1">
      <c r="A4224" s="521" t="s">
        <v>346</v>
      </c>
      <c r="B4224" s="522" t="s">
        <v>878</v>
      </c>
      <c r="C4224" s="522"/>
      <c r="D4224" s="521" t="s">
        <v>879</v>
      </c>
      <c r="E4224" s="522">
        <v>201612</v>
      </c>
      <c r="F4224" s="523">
        <v>-717.19</v>
      </c>
      <c r="G4224" s="521">
        <v>4.5</v>
      </c>
      <c r="H4224" s="486">
        <v>3.1250000000000002E-3</v>
      </c>
      <c r="I4224" s="523">
        <v>-10.09</v>
      </c>
      <c r="J4224" s="523">
        <v>-26.89</v>
      </c>
    </row>
    <row r="4225" spans="1:10" s="559" customFormat="1">
      <c r="A4225" s="521" t="s">
        <v>346</v>
      </c>
      <c r="B4225" s="522" t="s">
        <v>1114</v>
      </c>
      <c r="C4225" s="522"/>
      <c r="D4225" s="521" t="s">
        <v>1115</v>
      </c>
      <c r="E4225" s="522">
        <v>201612</v>
      </c>
      <c r="F4225" s="523">
        <v>100041.53</v>
      </c>
      <c r="G4225" s="521">
        <v>4.5</v>
      </c>
      <c r="H4225" s="486">
        <v>3.1250000000000002E-3</v>
      </c>
      <c r="I4225" s="523">
        <v>1406.83</v>
      </c>
      <c r="J4225" s="523">
        <v>3751.56</v>
      </c>
    </row>
    <row r="4226" spans="1:10" s="559" customFormat="1">
      <c r="A4226" s="521" t="s">
        <v>346</v>
      </c>
      <c r="B4226" s="522" t="s">
        <v>1043</v>
      </c>
      <c r="C4226" s="522"/>
      <c r="D4226" s="521" t="s">
        <v>1044</v>
      </c>
      <c r="E4226" s="522">
        <v>201612</v>
      </c>
      <c r="F4226" s="523">
        <v>-1.02</v>
      </c>
      <c r="G4226" s="521">
        <v>4.5</v>
      </c>
      <c r="H4226" s="486">
        <v>3.1250000000000002E-3</v>
      </c>
      <c r="I4226" s="523">
        <v>-0.01</v>
      </c>
      <c r="J4226" s="523">
        <v>-0.04</v>
      </c>
    </row>
    <row r="4227" spans="1:10" s="559" customFormat="1">
      <c r="A4227" s="521" t="s">
        <v>346</v>
      </c>
      <c r="B4227" s="522" t="s">
        <v>1057</v>
      </c>
      <c r="C4227" s="522"/>
      <c r="D4227" s="521" t="s">
        <v>1058</v>
      </c>
      <c r="E4227" s="522">
        <v>201612</v>
      </c>
      <c r="F4227" s="523">
        <v>743.1</v>
      </c>
      <c r="G4227" s="521">
        <v>4.5</v>
      </c>
      <c r="H4227" s="486">
        <v>3.1250000000000002E-3</v>
      </c>
      <c r="I4227" s="523">
        <v>10.45</v>
      </c>
      <c r="J4227" s="523">
        <v>27.87</v>
      </c>
    </row>
    <row r="4228" spans="1:10" s="559" customFormat="1">
      <c r="A4228" s="521" t="s">
        <v>346</v>
      </c>
      <c r="B4228" s="522" t="s">
        <v>856</v>
      </c>
      <c r="C4228" s="522"/>
      <c r="D4228" s="521" t="s">
        <v>857</v>
      </c>
      <c r="E4228" s="522">
        <v>201612</v>
      </c>
      <c r="F4228" s="523">
        <v>-96997.75</v>
      </c>
      <c r="G4228" s="521">
        <v>4.5</v>
      </c>
      <c r="H4228" s="486">
        <v>3.1250000000000002E-3</v>
      </c>
      <c r="I4228" s="523">
        <v>-1364.03</v>
      </c>
      <c r="J4228" s="523">
        <v>-3637.42</v>
      </c>
    </row>
    <row r="4229" spans="1:10" s="559" customFormat="1">
      <c r="A4229" s="521" t="s">
        <v>346</v>
      </c>
      <c r="B4229" s="522" t="s">
        <v>862</v>
      </c>
      <c r="C4229" s="522"/>
      <c r="D4229" s="521" t="s">
        <v>863</v>
      </c>
      <c r="E4229" s="522">
        <v>201612</v>
      </c>
      <c r="F4229" s="523">
        <v>-256209.41</v>
      </c>
      <c r="G4229" s="521">
        <v>4.5</v>
      </c>
      <c r="H4229" s="486">
        <v>3.1250000000000002E-3</v>
      </c>
      <c r="I4229" s="523">
        <v>-3602.94</v>
      </c>
      <c r="J4229" s="523">
        <v>-9607.85</v>
      </c>
    </row>
    <row r="4230" spans="1:10" s="559" customFormat="1">
      <c r="A4230" s="521" t="s">
        <v>346</v>
      </c>
      <c r="B4230" s="522" t="s">
        <v>880</v>
      </c>
      <c r="C4230" s="522"/>
      <c r="D4230" s="521" t="s">
        <v>881</v>
      </c>
      <c r="E4230" s="522">
        <v>201612</v>
      </c>
      <c r="F4230" s="523">
        <v>740.14</v>
      </c>
      <c r="G4230" s="521">
        <v>4.5</v>
      </c>
      <c r="H4230" s="486">
        <v>3.1250000000000002E-3</v>
      </c>
      <c r="I4230" s="523">
        <v>10.41</v>
      </c>
      <c r="J4230" s="523">
        <v>27.76</v>
      </c>
    </row>
    <row r="4231" spans="1:10" s="559" customFormat="1">
      <c r="A4231" s="521" t="s">
        <v>346</v>
      </c>
      <c r="B4231" s="522" t="s">
        <v>872</v>
      </c>
      <c r="C4231" s="522"/>
      <c r="D4231" s="521" t="s">
        <v>873</v>
      </c>
      <c r="E4231" s="522">
        <v>201612</v>
      </c>
      <c r="F4231" s="523">
        <v>-54.3</v>
      </c>
      <c r="G4231" s="521">
        <v>4.5</v>
      </c>
      <c r="H4231" s="486">
        <v>3.1250000000000002E-3</v>
      </c>
      <c r="I4231" s="523">
        <v>-0.76</v>
      </c>
      <c r="J4231" s="523">
        <v>-2.04</v>
      </c>
    </row>
    <row r="4232" spans="1:10" s="559" customFormat="1">
      <c r="A4232" s="521" t="s">
        <v>346</v>
      </c>
      <c r="B4232" s="522" t="s">
        <v>834</v>
      </c>
      <c r="C4232" s="522"/>
      <c r="D4232" s="521" t="s">
        <v>835</v>
      </c>
      <c r="E4232" s="522">
        <v>201612</v>
      </c>
      <c r="F4232" s="523">
        <v>271653.49</v>
      </c>
      <c r="G4232" s="521">
        <v>4.5</v>
      </c>
      <c r="H4232" s="486">
        <v>3.1250000000000002E-3</v>
      </c>
      <c r="I4232" s="523">
        <v>3820.13</v>
      </c>
      <c r="J4232" s="523">
        <v>10187.01</v>
      </c>
    </row>
    <row r="4233" spans="1:10" s="559" customFormat="1">
      <c r="A4233" s="521" t="s">
        <v>346</v>
      </c>
      <c r="B4233" s="522" t="s">
        <v>379</v>
      </c>
      <c r="C4233" s="522"/>
      <c r="D4233" s="521" t="s">
        <v>380</v>
      </c>
      <c r="E4233" s="522">
        <v>201612</v>
      </c>
      <c r="F4233" s="523">
        <v>1025.3699999999999</v>
      </c>
      <c r="G4233" s="521">
        <v>4.5</v>
      </c>
      <c r="H4233" s="486">
        <v>3.1250000000000002E-3</v>
      </c>
      <c r="I4233" s="523">
        <v>14.42</v>
      </c>
      <c r="J4233" s="523">
        <v>38.450000000000003</v>
      </c>
    </row>
    <row r="4234" spans="1:10" s="559" customFormat="1">
      <c r="A4234" s="521" t="s">
        <v>346</v>
      </c>
      <c r="B4234" s="522" t="s">
        <v>365</v>
      </c>
      <c r="C4234" s="522"/>
      <c r="D4234" s="521" t="s">
        <v>366</v>
      </c>
      <c r="E4234" s="522">
        <v>201612</v>
      </c>
      <c r="F4234" s="523">
        <v>-531.98</v>
      </c>
      <c r="G4234" s="521">
        <v>4.5</v>
      </c>
      <c r="H4234" s="486">
        <v>3.1250000000000002E-3</v>
      </c>
      <c r="I4234" s="523">
        <v>-7.48</v>
      </c>
      <c r="J4234" s="523">
        <v>-19.95</v>
      </c>
    </row>
    <row r="4235" spans="1:10" s="559" customFormat="1">
      <c r="A4235" s="521" t="s">
        <v>346</v>
      </c>
      <c r="B4235" s="522" t="s">
        <v>822</v>
      </c>
      <c r="C4235" s="522"/>
      <c r="D4235" s="521" t="s">
        <v>823</v>
      </c>
      <c r="E4235" s="522">
        <v>201612</v>
      </c>
      <c r="F4235" s="523">
        <v>-27.23</v>
      </c>
      <c r="G4235" s="521">
        <v>4.5</v>
      </c>
      <c r="H4235" s="486">
        <v>3.1250000000000002E-3</v>
      </c>
      <c r="I4235" s="523">
        <v>-0.38</v>
      </c>
      <c r="J4235" s="523">
        <v>-1.02</v>
      </c>
    </row>
    <row r="4236" spans="1:10" s="559" customFormat="1">
      <c r="A4236" s="521" t="s">
        <v>346</v>
      </c>
      <c r="B4236" s="522" t="s">
        <v>361</v>
      </c>
      <c r="C4236" s="522"/>
      <c r="D4236" s="521" t="s">
        <v>362</v>
      </c>
      <c r="E4236" s="522">
        <v>201612</v>
      </c>
      <c r="F4236" s="523">
        <v>849.77</v>
      </c>
      <c r="G4236" s="521">
        <v>4.5</v>
      </c>
      <c r="H4236" s="486">
        <v>3.1250000000000002E-3</v>
      </c>
      <c r="I4236" s="523">
        <v>11.95</v>
      </c>
      <c r="J4236" s="523">
        <v>31.87</v>
      </c>
    </row>
    <row r="4237" spans="1:10" s="559" customFormat="1">
      <c r="A4237" s="521" t="s">
        <v>346</v>
      </c>
      <c r="B4237" s="522" t="s">
        <v>347</v>
      </c>
      <c r="C4237" s="522"/>
      <c r="D4237" s="521" t="s">
        <v>348</v>
      </c>
      <c r="E4237" s="522">
        <v>201612</v>
      </c>
      <c r="F4237" s="523">
        <v>855867.63</v>
      </c>
      <c r="G4237" s="521">
        <v>4.5</v>
      </c>
      <c r="H4237" s="486">
        <v>3.1250000000000002E-3</v>
      </c>
      <c r="I4237" s="523">
        <v>12035.64</v>
      </c>
      <c r="J4237" s="523">
        <v>32095.040000000001</v>
      </c>
    </row>
    <row r="4238" spans="1:10" s="559" customFormat="1">
      <c r="A4238" s="521" t="s">
        <v>346</v>
      </c>
      <c r="B4238" s="522" t="s">
        <v>731</v>
      </c>
      <c r="C4238" s="522"/>
      <c r="D4238" s="521" t="s">
        <v>732</v>
      </c>
      <c r="E4238" s="522">
        <v>201612</v>
      </c>
      <c r="F4238" s="523">
        <v>932.75</v>
      </c>
      <c r="G4238" s="521">
        <v>4.5</v>
      </c>
      <c r="H4238" s="486">
        <v>3.1250000000000002E-3</v>
      </c>
      <c r="I4238" s="523">
        <v>13.12</v>
      </c>
      <c r="J4238" s="523">
        <v>34.979999999999997</v>
      </c>
    </row>
    <row r="4239" spans="1:10" s="559" customFormat="1">
      <c r="A4239" s="521" t="s">
        <v>346</v>
      </c>
      <c r="B4239" s="522" t="s">
        <v>1116</v>
      </c>
      <c r="C4239" s="522"/>
      <c r="D4239" s="521" t="s">
        <v>1117</v>
      </c>
      <c r="E4239" s="522">
        <v>201612</v>
      </c>
      <c r="F4239" s="523">
        <v>10122.799999999999</v>
      </c>
      <c r="G4239" s="521">
        <v>4.5</v>
      </c>
      <c r="H4239" s="486">
        <v>3.1250000000000002E-3</v>
      </c>
      <c r="I4239" s="523">
        <v>142.35</v>
      </c>
      <c r="J4239" s="523">
        <v>379.61</v>
      </c>
    </row>
    <row r="4240" spans="1:10" s="559" customFormat="1">
      <c r="A4240" s="521" t="s">
        <v>346</v>
      </c>
      <c r="B4240" s="522" t="s">
        <v>1039</v>
      </c>
      <c r="C4240" s="522"/>
      <c r="D4240" s="521" t="s">
        <v>1040</v>
      </c>
      <c r="E4240" s="522">
        <v>201612</v>
      </c>
      <c r="F4240" s="523">
        <v>1439.87</v>
      </c>
      <c r="G4240" s="521">
        <v>4.5</v>
      </c>
      <c r="H4240" s="486">
        <v>3.1250000000000002E-3</v>
      </c>
      <c r="I4240" s="523">
        <v>20.25</v>
      </c>
      <c r="J4240" s="523">
        <v>54</v>
      </c>
    </row>
    <row r="4241" spans="1:10" s="559" customFormat="1">
      <c r="A4241" s="521" t="s">
        <v>346</v>
      </c>
      <c r="B4241" s="522" t="s">
        <v>993</v>
      </c>
      <c r="C4241" s="522"/>
      <c r="D4241" s="521" t="s">
        <v>994</v>
      </c>
      <c r="E4241" s="522">
        <v>201612</v>
      </c>
      <c r="F4241" s="523">
        <v>136.18</v>
      </c>
      <c r="G4241" s="521">
        <v>4.5</v>
      </c>
      <c r="H4241" s="486">
        <v>3.1250000000000002E-3</v>
      </c>
      <c r="I4241" s="523">
        <v>1.92</v>
      </c>
      <c r="J4241" s="523">
        <v>5.1100000000000003</v>
      </c>
    </row>
    <row r="4242" spans="1:10" s="559" customFormat="1">
      <c r="A4242" s="521" t="s">
        <v>346</v>
      </c>
      <c r="B4242" s="522" t="s">
        <v>953</v>
      </c>
      <c r="C4242" s="522"/>
      <c r="D4242" s="521" t="s">
        <v>954</v>
      </c>
      <c r="E4242" s="522">
        <v>201612</v>
      </c>
      <c r="F4242" s="523">
        <v>-126629.14</v>
      </c>
      <c r="G4242" s="521">
        <v>4.5</v>
      </c>
      <c r="H4242" s="486">
        <v>3.1250000000000002E-3</v>
      </c>
      <c r="I4242" s="523">
        <v>-1780.72</v>
      </c>
      <c r="J4242" s="523">
        <v>-4748.59</v>
      </c>
    </row>
    <row r="4243" spans="1:10" s="559" customFormat="1">
      <c r="A4243" s="521" t="s">
        <v>346</v>
      </c>
      <c r="B4243" s="522" t="s">
        <v>1055</v>
      </c>
      <c r="C4243" s="522"/>
      <c r="D4243" s="521" t="s">
        <v>1056</v>
      </c>
      <c r="E4243" s="522">
        <v>201612</v>
      </c>
      <c r="F4243" s="523">
        <v>-1.21</v>
      </c>
      <c r="G4243" s="521">
        <v>4.5</v>
      </c>
      <c r="H4243" s="486">
        <v>3.1250000000000002E-3</v>
      </c>
      <c r="I4243" s="523">
        <v>-0.02</v>
      </c>
      <c r="J4243" s="523">
        <v>-0.05</v>
      </c>
    </row>
    <row r="4244" spans="1:10" s="559" customFormat="1">
      <c r="A4244" s="521" t="s">
        <v>346</v>
      </c>
      <c r="B4244" s="522" t="s">
        <v>862</v>
      </c>
      <c r="C4244" s="522"/>
      <c r="D4244" s="521" t="s">
        <v>863</v>
      </c>
      <c r="E4244" s="522">
        <v>201612</v>
      </c>
      <c r="F4244" s="523">
        <v>209466.97</v>
      </c>
      <c r="G4244" s="521">
        <v>4.5</v>
      </c>
      <c r="H4244" s="486">
        <v>3.1250000000000002E-3</v>
      </c>
      <c r="I4244" s="523">
        <v>2945.63</v>
      </c>
      <c r="J4244" s="523">
        <v>7855.01</v>
      </c>
    </row>
    <row r="4245" spans="1:10" s="559" customFormat="1">
      <c r="A4245" s="521" t="s">
        <v>346</v>
      </c>
      <c r="B4245" s="522" t="s">
        <v>391</v>
      </c>
      <c r="C4245" s="522"/>
      <c r="D4245" s="521" t="s">
        <v>392</v>
      </c>
      <c r="E4245" s="522">
        <v>201612</v>
      </c>
      <c r="F4245" s="523">
        <v>141.19999999999999</v>
      </c>
      <c r="G4245" s="521">
        <v>4.5</v>
      </c>
      <c r="H4245" s="486">
        <v>3.1250000000000002E-3</v>
      </c>
      <c r="I4245" s="523">
        <v>1.99</v>
      </c>
      <c r="J4245" s="523">
        <v>5.3</v>
      </c>
    </row>
    <row r="4246" spans="1:10" s="559" customFormat="1">
      <c r="A4246" s="521" t="s">
        <v>346</v>
      </c>
      <c r="B4246" s="522" t="s">
        <v>377</v>
      </c>
      <c r="C4246" s="522"/>
      <c r="D4246" s="521" t="s">
        <v>378</v>
      </c>
      <c r="E4246" s="522">
        <v>201612</v>
      </c>
      <c r="F4246" s="523">
        <v>91879.39</v>
      </c>
      <c r="G4246" s="521">
        <v>4.5</v>
      </c>
      <c r="H4246" s="486">
        <v>3.1250000000000002E-3</v>
      </c>
      <c r="I4246" s="523">
        <v>1292.05</v>
      </c>
      <c r="J4246" s="523">
        <v>3445.48</v>
      </c>
    </row>
    <row r="4247" spans="1:10" s="559" customFormat="1">
      <c r="A4247" s="521" t="s">
        <v>346</v>
      </c>
      <c r="B4247" s="522" t="s">
        <v>371</v>
      </c>
      <c r="C4247" s="522"/>
      <c r="D4247" s="521" t="s">
        <v>372</v>
      </c>
      <c r="E4247" s="522">
        <v>201612</v>
      </c>
      <c r="F4247" s="523">
        <v>25.94</v>
      </c>
      <c r="G4247" s="521">
        <v>4.5</v>
      </c>
      <c r="H4247" s="486">
        <v>3.1250000000000002E-3</v>
      </c>
      <c r="I4247" s="523">
        <v>0.36</v>
      </c>
      <c r="J4247" s="523">
        <v>0.97</v>
      </c>
    </row>
    <row r="4248" spans="1:10" s="559" customFormat="1">
      <c r="A4248" s="521" t="s">
        <v>346</v>
      </c>
      <c r="B4248" s="522" t="s">
        <v>1045</v>
      </c>
      <c r="C4248" s="522"/>
      <c r="D4248" s="521" t="s">
        <v>1046</v>
      </c>
      <c r="E4248" s="522">
        <v>201612</v>
      </c>
      <c r="F4248" s="523">
        <v>-89.07</v>
      </c>
      <c r="G4248" s="521">
        <v>4.5</v>
      </c>
      <c r="H4248" s="486">
        <v>3.1250000000000002E-3</v>
      </c>
      <c r="I4248" s="523">
        <v>-1.25</v>
      </c>
      <c r="J4248" s="523">
        <v>-3.34</v>
      </c>
    </row>
    <row r="4249" spans="1:10" s="559" customFormat="1">
      <c r="A4249" s="521" t="s">
        <v>346</v>
      </c>
      <c r="B4249" s="522" t="s">
        <v>996</v>
      </c>
      <c r="C4249" s="522"/>
      <c r="D4249" s="521" t="s">
        <v>997</v>
      </c>
      <c r="E4249" s="522">
        <v>201612</v>
      </c>
      <c r="F4249" s="523">
        <v>2164.46</v>
      </c>
      <c r="G4249" s="521">
        <v>4.5</v>
      </c>
      <c r="H4249" s="486">
        <v>3.1250000000000002E-3</v>
      </c>
      <c r="I4249" s="523">
        <v>30.44</v>
      </c>
      <c r="J4249" s="523">
        <v>81.17</v>
      </c>
    </row>
    <row r="4250" spans="1:10" s="559" customFormat="1">
      <c r="A4250" s="521" t="s">
        <v>346</v>
      </c>
      <c r="B4250" s="522" t="s">
        <v>985</v>
      </c>
      <c r="C4250" s="522"/>
      <c r="D4250" s="521" t="s">
        <v>986</v>
      </c>
      <c r="E4250" s="522">
        <v>201612</v>
      </c>
      <c r="F4250" s="523">
        <v>2033.7</v>
      </c>
      <c r="G4250" s="521">
        <v>4.5</v>
      </c>
      <c r="H4250" s="486">
        <v>3.1250000000000002E-3</v>
      </c>
      <c r="I4250" s="523">
        <v>28.6</v>
      </c>
      <c r="J4250" s="523">
        <v>76.260000000000005</v>
      </c>
    </row>
    <row r="4251" spans="1:10" s="559" customFormat="1">
      <c r="A4251" s="521" t="s">
        <v>346</v>
      </c>
      <c r="B4251" s="522" t="s">
        <v>979</v>
      </c>
      <c r="C4251" s="522"/>
      <c r="D4251" s="521" t="s">
        <v>980</v>
      </c>
      <c r="E4251" s="522">
        <v>201612</v>
      </c>
      <c r="F4251" s="523">
        <v>2758.35</v>
      </c>
      <c r="G4251" s="521">
        <v>4.5</v>
      </c>
      <c r="H4251" s="486">
        <v>3.1250000000000002E-3</v>
      </c>
      <c r="I4251" s="523">
        <v>38.79</v>
      </c>
      <c r="J4251" s="523">
        <v>103.44</v>
      </c>
    </row>
    <row r="4252" spans="1:10" s="559" customFormat="1">
      <c r="A4252" s="521" t="s">
        <v>346</v>
      </c>
      <c r="B4252" s="522" t="s">
        <v>951</v>
      </c>
      <c r="C4252" s="522"/>
      <c r="D4252" s="521" t="s">
        <v>952</v>
      </c>
      <c r="E4252" s="522">
        <v>201612</v>
      </c>
      <c r="F4252" s="523">
        <v>-146.88</v>
      </c>
      <c r="G4252" s="521">
        <v>4.5</v>
      </c>
      <c r="H4252" s="486">
        <v>3.1250000000000002E-3</v>
      </c>
      <c r="I4252" s="523">
        <v>-2.0699999999999998</v>
      </c>
      <c r="J4252" s="523">
        <v>-5.51</v>
      </c>
    </row>
    <row r="4253" spans="1:10" s="559" customFormat="1">
      <c r="A4253" s="521" t="s">
        <v>346</v>
      </c>
      <c r="B4253" s="522" t="s">
        <v>805</v>
      </c>
      <c r="C4253" s="522"/>
      <c r="D4253" s="521" t="s">
        <v>806</v>
      </c>
      <c r="E4253" s="522">
        <v>201612</v>
      </c>
      <c r="F4253" s="523">
        <v>1.34</v>
      </c>
      <c r="G4253" s="521">
        <v>4.5</v>
      </c>
      <c r="H4253" s="486">
        <v>3.1250000000000002E-3</v>
      </c>
      <c r="I4253" s="523">
        <v>0.02</v>
      </c>
      <c r="J4253" s="523">
        <v>0.05</v>
      </c>
    </row>
    <row r="4254" spans="1:10" s="559" customFormat="1">
      <c r="A4254" s="521" t="s">
        <v>346</v>
      </c>
      <c r="B4254" s="522" t="s">
        <v>803</v>
      </c>
      <c r="C4254" s="522"/>
      <c r="D4254" s="521" t="s">
        <v>804</v>
      </c>
      <c r="E4254" s="522">
        <v>201612</v>
      </c>
      <c r="F4254" s="523">
        <v>-75.89</v>
      </c>
      <c r="G4254" s="521">
        <v>4.5</v>
      </c>
      <c r="H4254" s="486">
        <v>3.1250000000000002E-3</v>
      </c>
      <c r="I4254" s="523">
        <v>-1.07</v>
      </c>
      <c r="J4254" s="523">
        <v>-2.85</v>
      </c>
    </row>
    <row r="4255" spans="1:10" s="559" customFormat="1">
      <c r="A4255" s="521" t="s">
        <v>346</v>
      </c>
      <c r="B4255" s="522" t="s">
        <v>385</v>
      </c>
      <c r="C4255" s="522"/>
      <c r="D4255" s="521" t="s">
        <v>386</v>
      </c>
      <c r="E4255" s="522">
        <v>201612</v>
      </c>
      <c r="F4255" s="523">
        <v>215340.92</v>
      </c>
      <c r="G4255" s="521">
        <v>4.5</v>
      </c>
      <c r="H4255" s="486">
        <v>3.1250000000000002E-3</v>
      </c>
      <c r="I4255" s="523">
        <v>3028.23</v>
      </c>
      <c r="J4255" s="523">
        <v>8075.28</v>
      </c>
    </row>
    <row r="4256" spans="1:10" s="559" customFormat="1">
      <c r="A4256" s="521" t="s">
        <v>346</v>
      </c>
      <c r="B4256" s="522" t="s">
        <v>349</v>
      </c>
      <c r="C4256" s="522"/>
      <c r="D4256" s="521" t="s">
        <v>350</v>
      </c>
      <c r="E4256" s="522">
        <v>201612</v>
      </c>
      <c r="F4256" s="523">
        <v>5569.28</v>
      </c>
      <c r="G4256" s="521">
        <v>4.5</v>
      </c>
      <c r="H4256" s="486">
        <v>3.1250000000000002E-3</v>
      </c>
      <c r="I4256" s="523">
        <v>78.319999999999993</v>
      </c>
      <c r="J4256" s="523">
        <v>208.85</v>
      </c>
    </row>
    <row r="4257" spans="1:10" s="559" customFormat="1">
      <c r="A4257" s="521" t="s">
        <v>346</v>
      </c>
      <c r="B4257" s="522" t="s">
        <v>854</v>
      </c>
      <c r="C4257" s="522"/>
      <c r="D4257" s="521" t="s">
        <v>855</v>
      </c>
      <c r="E4257" s="522">
        <v>201612</v>
      </c>
      <c r="F4257" s="523">
        <v>169857.13</v>
      </c>
      <c r="G4257" s="521">
        <v>4.5</v>
      </c>
      <c r="H4257" s="486">
        <v>3.1250000000000002E-3</v>
      </c>
      <c r="I4257" s="523">
        <v>2388.62</v>
      </c>
      <c r="J4257" s="523">
        <v>6369.64</v>
      </c>
    </row>
    <row r="4258" spans="1:10" s="559" customFormat="1">
      <c r="A4258" s="521" t="s">
        <v>346</v>
      </c>
      <c r="B4258" s="522" t="s">
        <v>899</v>
      </c>
      <c r="C4258" s="522"/>
      <c r="D4258" s="521" t="s">
        <v>900</v>
      </c>
      <c r="E4258" s="522">
        <v>201612</v>
      </c>
      <c r="F4258" s="523">
        <v>2125.7399999999998</v>
      </c>
      <c r="G4258" s="521">
        <v>4.5</v>
      </c>
      <c r="H4258" s="486">
        <v>3.1250000000000002E-3</v>
      </c>
      <c r="I4258" s="523">
        <v>29.89</v>
      </c>
      <c r="J4258" s="523">
        <v>79.72</v>
      </c>
    </row>
    <row r="4259" spans="1:10" s="559" customFormat="1">
      <c r="A4259" s="521" t="s">
        <v>346</v>
      </c>
      <c r="B4259" s="522" t="s">
        <v>856</v>
      </c>
      <c r="C4259" s="522"/>
      <c r="D4259" s="521" t="s">
        <v>857</v>
      </c>
      <c r="E4259" s="522">
        <v>201612</v>
      </c>
      <c r="F4259" s="523">
        <v>0.3</v>
      </c>
      <c r="G4259" s="521">
        <v>4.5</v>
      </c>
      <c r="H4259" s="486">
        <v>3.1250000000000002E-3</v>
      </c>
      <c r="I4259" s="523">
        <v>0</v>
      </c>
      <c r="J4259" s="523">
        <v>0.01</v>
      </c>
    </row>
    <row r="4260" spans="1:10" s="559" customFormat="1">
      <c r="A4260" s="521" t="s">
        <v>346</v>
      </c>
      <c r="B4260" s="522" t="s">
        <v>1118</v>
      </c>
      <c r="C4260" s="522"/>
      <c r="D4260" s="521" t="s">
        <v>1119</v>
      </c>
      <c r="E4260" s="522">
        <v>201612</v>
      </c>
      <c r="F4260" s="523">
        <v>28110.13</v>
      </c>
      <c r="G4260" s="521">
        <v>4.5</v>
      </c>
      <c r="H4260" s="486">
        <v>3.1250000000000002E-3</v>
      </c>
      <c r="I4260" s="523">
        <v>395.3</v>
      </c>
      <c r="J4260" s="523">
        <v>1054.1300000000001</v>
      </c>
    </row>
    <row r="4261" spans="1:10" s="559" customFormat="1">
      <c r="A4261" s="521" t="s">
        <v>346</v>
      </c>
      <c r="B4261" s="522" t="s">
        <v>1110</v>
      </c>
      <c r="C4261" s="522"/>
      <c r="D4261" s="521" t="s">
        <v>1111</v>
      </c>
      <c r="E4261" s="522">
        <v>201612</v>
      </c>
      <c r="F4261" s="523">
        <v>137988.35</v>
      </c>
      <c r="G4261" s="521">
        <v>4.5</v>
      </c>
      <c r="H4261" s="486">
        <v>3.1250000000000002E-3</v>
      </c>
      <c r="I4261" s="523">
        <v>1940.46</v>
      </c>
      <c r="J4261" s="523">
        <v>5174.5600000000004</v>
      </c>
    </row>
    <row r="4262" spans="1:10" s="559" customFormat="1">
      <c r="A4262" s="521" t="s">
        <v>346</v>
      </c>
      <c r="B4262" s="522" t="s">
        <v>967</v>
      </c>
      <c r="C4262" s="522"/>
      <c r="D4262" s="521" t="s">
        <v>968</v>
      </c>
      <c r="E4262" s="522">
        <v>201612</v>
      </c>
      <c r="F4262" s="523">
        <v>141.36000000000001</v>
      </c>
      <c r="G4262" s="521">
        <v>4.5</v>
      </c>
      <c r="H4262" s="486">
        <v>3.1250000000000002E-3</v>
      </c>
      <c r="I4262" s="523">
        <v>1.99</v>
      </c>
      <c r="J4262" s="523">
        <v>5.3</v>
      </c>
    </row>
    <row r="4263" spans="1:10" s="559" customFormat="1">
      <c r="A4263" s="521" t="s">
        <v>346</v>
      </c>
      <c r="B4263" s="522" t="s">
        <v>983</v>
      </c>
      <c r="C4263" s="522"/>
      <c r="D4263" s="521" t="s">
        <v>984</v>
      </c>
      <c r="E4263" s="522">
        <v>201612</v>
      </c>
      <c r="F4263" s="523">
        <v>110.14</v>
      </c>
      <c r="G4263" s="521">
        <v>4.5</v>
      </c>
      <c r="H4263" s="486">
        <v>3.1250000000000002E-3</v>
      </c>
      <c r="I4263" s="523">
        <v>1.55</v>
      </c>
      <c r="J4263" s="523">
        <v>4.13</v>
      </c>
    </row>
    <row r="4264" spans="1:10" s="559" customFormat="1">
      <c r="A4264" s="521" t="s">
        <v>346</v>
      </c>
      <c r="B4264" s="522" t="s">
        <v>981</v>
      </c>
      <c r="C4264" s="522"/>
      <c r="D4264" s="521" t="s">
        <v>1014</v>
      </c>
      <c r="E4264" s="522">
        <v>201612</v>
      </c>
      <c r="F4264" s="523">
        <v>548.98</v>
      </c>
      <c r="G4264" s="521">
        <v>4.5</v>
      </c>
      <c r="H4264" s="486">
        <v>3.1250000000000002E-3</v>
      </c>
      <c r="I4264" s="523">
        <v>7.72</v>
      </c>
      <c r="J4264" s="523">
        <v>20.59</v>
      </c>
    </row>
    <row r="4265" spans="1:10" s="559" customFormat="1">
      <c r="A4265" s="521" t="s">
        <v>346</v>
      </c>
      <c r="B4265" s="522" t="s">
        <v>977</v>
      </c>
      <c r="C4265" s="522"/>
      <c r="D4265" s="521" t="s">
        <v>978</v>
      </c>
      <c r="E4265" s="522">
        <v>201612</v>
      </c>
      <c r="F4265" s="523">
        <v>7.43</v>
      </c>
      <c r="G4265" s="521">
        <v>4.5</v>
      </c>
      <c r="H4265" s="486">
        <v>3.1250000000000002E-3</v>
      </c>
      <c r="I4265" s="523">
        <v>0.1</v>
      </c>
      <c r="J4265" s="523">
        <v>0.28000000000000003</v>
      </c>
    </row>
    <row r="4266" spans="1:10" s="559" customFormat="1">
      <c r="A4266" s="521" t="s">
        <v>346</v>
      </c>
      <c r="B4266" s="522" t="s">
        <v>1004</v>
      </c>
      <c r="C4266" s="522"/>
      <c r="D4266" s="521" t="s">
        <v>1005</v>
      </c>
      <c r="E4266" s="522">
        <v>201612</v>
      </c>
      <c r="F4266" s="523">
        <v>-733.77</v>
      </c>
      <c r="G4266" s="521">
        <v>4.5</v>
      </c>
      <c r="H4266" s="486">
        <v>3.1250000000000002E-3</v>
      </c>
      <c r="I4266" s="523">
        <v>-10.32</v>
      </c>
      <c r="J4266" s="523">
        <v>-27.52</v>
      </c>
    </row>
    <row r="4267" spans="1:10" s="559" customFormat="1">
      <c r="A4267" s="521" t="s">
        <v>346</v>
      </c>
      <c r="B4267" s="522" t="s">
        <v>1079</v>
      </c>
      <c r="C4267" s="522"/>
      <c r="D4267" s="521" t="s">
        <v>1080</v>
      </c>
      <c r="E4267" s="522">
        <v>201612</v>
      </c>
      <c r="F4267" s="523">
        <v>2234.33</v>
      </c>
      <c r="G4267" s="521">
        <v>4.5</v>
      </c>
      <c r="H4267" s="486">
        <v>3.1250000000000002E-3</v>
      </c>
      <c r="I4267" s="523">
        <v>31.42</v>
      </c>
      <c r="J4267" s="523">
        <v>83.79</v>
      </c>
    </row>
    <row r="4268" spans="1:10" s="559" customFormat="1">
      <c r="A4268" s="521" t="s">
        <v>346</v>
      </c>
      <c r="B4268" s="522" t="s">
        <v>1077</v>
      </c>
      <c r="C4268" s="522"/>
      <c r="D4268" s="521" t="s">
        <v>1078</v>
      </c>
      <c r="E4268" s="522">
        <v>201612</v>
      </c>
      <c r="F4268" s="523">
        <v>456.09</v>
      </c>
      <c r="G4268" s="521">
        <v>4.5</v>
      </c>
      <c r="H4268" s="486">
        <v>3.1250000000000002E-3</v>
      </c>
      <c r="I4268" s="523">
        <v>6.41</v>
      </c>
      <c r="J4268" s="523">
        <v>17.100000000000001</v>
      </c>
    </row>
    <row r="4269" spans="1:10" s="559" customFormat="1">
      <c r="A4269" s="521" t="s">
        <v>346</v>
      </c>
      <c r="B4269" s="522" t="s">
        <v>800</v>
      </c>
      <c r="C4269" s="522"/>
      <c r="D4269" s="521" t="s">
        <v>830</v>
      </c>
      <c r="E4269" s="522">
        <v>201612</v>
      </c>
      <c r="F4269" s="523">
        <v>-3775.97</v>
      </c>
      <c r="G4269" s="521">
        <v>4.5</v>
      </c>
      <c r="H4269" s="486">
        <v>3.1250000000000002E-3</v>
      </c>
      <c r="I4269" s="523">
        <v>-53.1</v>
      </c>
      <c r="J4269" s="523">
        <v>-141.6</v>
      </c>
    </row>
    <row r="4270" spans="1:10" s="559" customFormat="1">
      <c r="A4270" s="521" t="s">
        <v>346</v>
      </c>
      <c r="B4270" s="522" t="s">
        <v>874</v>
      </c>
      <c r="C4270" s="522"/>
      <c r="D4270" s="521" t="s">
        <v>875</v>
      </c>
      <c r="E4270" s="522">
        <v>201612</v>
      </c>
      <c r="F4270" s="523">
        <v>106.87</v>
      </c>
      <c r="G4270" s="521">
        <v>4.5</v>
      </c>
      <c r="H4270" s="486">
        <v>3.1250000000000002E-3</v>
      </c>
      <c r="I4270" s="523">
        <v>1.5</v>
      </c>
      <c r="J4270" s="523">
        <v>4.01</v>
      </c>
    </row>
    <row r="4271" spans="1:10" s="559" customFormat="1">
      <c r="A4271" s="521" t="s">
        <v>346</v>
      </c>
      <c r="B4271" s="522" t="s">
        <v>800</v>
      </c>
      <c r="C4271" s="522"/>
      <c r="D4271" s="521" t="s">
        <v>830</v>
      </c>
      <c r="E4271" s="522">
        <v>201612</v>
      </c>
      <c r="F4271" s="523">
        <v>10212.290000000001</v>
      </c>
      <c r="G4271" s="521">
        <v>4.5</v>
      </c>
      <c r="H4271" s="486">
        <v>3.1250000000000002E-3</v>
      </c>
      <c r="I4271" s="523">
        <v>143.61000000000001</v>
      </c>
      <c r="J4271" s="523">
        <v>382.96</v>
      </c>
    </row>
    <row r="4272" spans="1:10" s="559" customFormat="1">
      <c r="A4272" s="521" t="s">
        <v>346</v>
      </c>
      <c r="B4272" s="522" t="s">
        <v>393</v>
      </c>
      <c r="C4272" s="522"/>
      <c r="D4272" s="521" t="s">
        <v>394</v>
      </c>
      <c r="E4272" s="522">
        <v>201612</v>
      </c>
      <c r="F4272" s="523">
        <v>-9944.59</v>
      </c>
      <c r="G4272" s="521">
        <v>4.5</v>
      </c>
      <c r="H4272" s="486">
        <v>3.1250000000000002E-3</v>
      </c>
      <c r="I4272" s="523">
        <v>-139.85</v>
      </c>
      <c r="J4272" s="523">
        <v>-372.92</v>
      </c>
    </row>
    <row r="4273" spans="1:10" s="559" customFormat="1">
      <c r="A4273" s="521" t="s">
        <v>346</v>
      </c>
      <c r="B4273" s="522" t="s">
        <v>383</v>
      </c>
      <c r="C4273" s="522"/>
      <c r="D4273" s="521" t="s">
        <v>384</v>
      </c>
      <c r="E4273" s="522">
        <v>201612</v>
      </c>
      <c r="F4273" s="523">
        <v>-600</v>
      </c>
      <c r="G4273" s="521">
        <v>4.5</v>
      </c>
      <c r="H4273" s="486">
        <v>3.1250000000000002E-3</v>
      </c>
      <c r="I4273" s="523">
        <v>-8.44</v>
      </c>
      <c r="J4273" s="523">
        <v>-22.5</v>
      </c>
    </row>
    <row r="4274" spans="1:10" s="559" customFormat="1">
      <c r="A4274" s="521" t="s">
        <v>346</v>
      </c>
      <c r="B4274" s="522" t="s">
        <v>375</v>
      </c>
      <c r="C4274" s="522"/>
      <c r="D4274" s="521" t="s">
        <v>376</v>
      </c>
      <c r="E4274" s="522">
        <v>201612</v>
      </c>
      <c r="F4274" s="523">
        <v>-9195.1299999999992</v>
      </c>
      <c r="G4274" s="521">
        <v>4.5</v>
      </c>
      <c r="H4274" s="486">
        <v>3.1250000000000002E-3</v>
      </c>
      <c r="I4274" s="523">
        <v>-129.31</v>
      </c>
      <c r="J4274" s="523">
        <v>-344.82</v>
      </c>
    </row>
    <row r="4275" spans="1:10" s="559" customFormat="1">
      <c r="A4275" s="521" t="s">
        <v>346</v>
      </c>
      <c r="B4275" s="522" t="s">
        <v>367</v>
      </c>
      <c r="C4275" s="522"/>
      <c r="D4275" s="521" t="s">
        <v>368</v>
      </c>
      <c r="E4275" s="522">
        <v>201612</v>
      </c>
      <c r="F4275" s="523">
        <v>4530.68</v>
      </c>
      <c r="G4275" s="521">
        <v>4.5</v>
      </c>
      <c r="H4275" s="486">
        <v>3.1250000000000002E-3</v>
      </c>
      <c r="I4275" s="523">
        <v>63.71</v>
      </c>
      <c r="J4275" s="523">
        <v>169.9</v>
      </c>
    </row>
    <row r="4276" spans="1:10" s="559" customFormat="1">
      <c r="A4276" s="521" t="s">
        <v>346</v>
      </c>
      <c r="B4276" s="522" t="s">
        <v>801</v>
      </c>
      <c r="C4276" s="522"/>
      <c r="D4276" s="521" t="s">
        <v>802</v>
      </c>
      <c r="E4276" s="522">
        <v>201612</v>
      </c>
      <c r="F4276" s="523">
        <v>-22.46</v>
      </c>
      <c r="G4276" s="521">
        <v>4.5</v>
      </c>
      <c r="H4276" s="486">
        <v>3.1250000000000002E-3</v>
      </c>
      <c r="I4276" s="523">
        <v>-0.32</v>
      </c>
      <c r="J4276" s="523">
        <v>-0.84</v>
      </c>
    </row>
    <row r="4277" spans="1:10" s="559" customFormat="1">
      <c r="A4277" s="521" t="s">
        <v>346</v>
      </c>
      <c r="B4277" s="522" t="s">
        <v>359</v>
      </c>
      <c r="C4277" s="522"/>
      <c r="D4277" s="521" t="s">
        <v>360</v>
      </c>
      <c r="E4277" s="522">
        <v>201612</v>
      </c>
      <c r="F4277" s="523">
        <v>-2.63</v>
      </c>
      <c r="G4277" s="521">
        <v>4.5</v>
      </c>
      <c r="H4277" s="486">
        <v>3.1250000000000002E-3</v>
      </c>
      <c r="I4277" s="523">
        <v>-0.04</v>
      </c>
      <c r="J4277" s="523">
        <v>-0.1</v>
      </c>
    </row>
    <row r="4278" spans="1:10" s="559" customFormat="1">
      <c r="A4278" s="521" t="s">
        <v>346</v>
      </c>
      <c r="B4278" s="522" t="s">
        <v>1033</v>
      </c>
      <c r="C4278" s="522"/>
      <c r="D4278" s="521" t="s">
        <v>1034</v>
      </c>
      <c r="E4278" s="522">
        <v>201612</v>
      </c>
      <c r="F4278" s="523">
        <v>1114.1300000000001</v>
      </c>
      <c r="G4278" s="521">
        <v>4.5</v>
      </c>
      <c r="H4278" s="486">
        <v>3.1250000000000002E-3</v>
      </c>
      <c r="I4278" s="523">
        <v>15.67</v>
      </c>
      <c r="J4278" s="523">
        <v>41.78</v>
      </c>
    </row>
    <row r="4279" spans="1:10" s="559" customFormat="1">
      <c r="A4279" s="521" t="s">
        <v>346</v>
      </c>
      <c r="B4279" s="522" t="s">
        <v>989</v>
      </c>
      <c r="C4279" s="522"/>
      <c r="D4279" s="521" t="s">
        <v>990</v>
      </c>
      <c r="E4279" s="522">
        <v>201612</v>
      </c>
      <c r="F4279" s="523">
        <v>-20.399999999999999</v>
      </c>
      <c r="G4279" s="521">
        <v>4.5</v>
      </c>
      <c r="H4279" s="486">
        <v>3.1250000000000002E-3</v>
      </c>
      <c r="I4279" s="523">
        <v>-0.28999999999999998</v>
      </c>
      <c r="J4279" s="523">
        <v>-0.77</v>
      </c>
    </row>
    <row r="4280" spans="1:10" s="559" customFormat="1">
      <c r="A4280" s="521" t="s">
        <v>346</v>
      </c>
      <c r="B4280" s="522" t="s">
        <v>1049</v>
      </c>
      <c r="C4280" s="522"/>
      <c r="D4280" s="521" t="s">
        <v>1050</v>
      </c>
      <c r="E4280" s="522">
        <v>201612</v>
      </c>
      <c r="F4280" s="523">
        <v>25.84</v>
      </c>
      <c r="G4280" s="521">
        <v>4.5</v>
      </c>
      <c r="H4280" s="486">
        <v>3.1250000000000002E-3</v>
      </c>
      <c r="I4280" s="523">
        <v>0.36</v>
      </c>
      <c r="J4280" s="523">
        <v>0.97</v>
      </c>
    </row>
    <row r="4281" spans="1:10" s="559" customFormat="1">
      <c r="A4281" s="521" t="s">
        <v>346</v>
      </c>
      <c r="B4281" s="522" t="s">
        <v>682</v>
      </c>
      <c r="C4281" s="522"/>
      <c r="D4281" s="521" t="s">
        <v>683</v>
      </c>
      <c r="E4281" s="522">
        <v>201612</v>
      </c>
      <c r="F4281" s="523">
        <v>5885.7</v>
      </c>
      <c r="G4281" s="521">
        <v>4.5</v>
      </c>
      <c r="H4281" s="486">
        <v>3.1250000000000002E-3</v>
      </c>
      <c r="I4281" s="523">
        <v>82.77</v>
      </c>
      <c r="J4281" s="523">
        <v>220.71</v>
      </c>
    </row>
    <row r="4282" spans="1:10" s="559" customFormat="1">
      <c r="A4282" s="521" t="s">
        <v>346</v>
      </c>
      <c r="B4282" s="522" t="s">
        <v>856</v>
      </c>
      <c r="C4282" s="522"/>
      <c r="D4282" s="521" t="s">
        <v>857</v>
      </c>
      <c r="E4282" s="522">
        <v>201612</v>
      </c>
      <c r="F4282" s="523">
        <v>35988.43</v>
      </c>
      <c r="G4282" s="521">
        <v>4.5</v>
      </c>
      <c r="H4282" s="486">
        <v>3.1250000000000002E-3</v>
      </c>
      <c r="I4282" s="523">
        <v>506.09</v>
      </c>
      <c r="J4282" s="523">
        <v>1349.57</v>
      </c>
    </row>
    <row r="4283" spans="1:10" s="559" customFormat="1">
      <c r="A4283" s="521" t="s">
        <v>346</v>
      </c>
      <c r="B4283" s="522" t="s">
        <v>814</v>
      </c>
      <c r="C4283" s="522"/>
      <c r="D4283" s="521" t="s">
        <v>815</v>
      </c>
      <c r="E4283" s="522">
        <v>201612</v>
      </c>
      <c r="F4283" s="523">
        <v>185594.94</v>
      </c>
      <c r="G4283" s="521">
        <v>4.5</v>
      </c>
      <c r="H4283" s="486">
        <v>3.1250000000000002E-3</v>
      </c>
      <c r="I4283" s="523">
        <v>2609.9299999999998</v>
      </c>
      <c r="J4283" s="523">
        <v>6959.81</v>
      </c>
    </row>
    <row r="4284" spans="1:10" s="559" customFormat="1">
      <c r="A4284" s="521" t="s">
        <v>346</v>
      </c>
      <c r="B4284" s="522" t="s">
        <v>891</v>
      </c>
      <c r="C4284" s="522"/>
      <c r="D4284" s="521" t="s">
        <v>892</v>
      </c>
      <c r="E4284" s="522">
        <v>201612</v>
      </c>
      <c r="F4284" s="523">
        <v>11.29</v>
      </c>
      <c r="G4284" s="521">
        <v>4.5</v>
      </c>
      <c r="H4284" s="486">
        <v>3.1250000000000002E-3</v>
      </c>
      <c r="I4284" s="523">
        <v>0.16</v>
      </c>
      <c r="J4284" s="523">
        <v>0.42</v>
      </c>
    </row>
    <row r="4285" spans="1:10" s="559" customFormat="1">
      <c r="A4285" s="521" t="s">
        <v>346</v>
      </c>
      <c r="B4285" s="522" t="s">
        <v>373</v>
      </c>
      <c r="C4285" s="522"/>
      <c r="D4285" s="521" t="s">
        <v>374</v>
      </c>
      <c r="E4285" s="522">
        <v>201612</v>
      </c>
      <c r="F4285" s="523">
        <v>-960</v>
      </c>
      <c r="G4285" s="521">
        <v>4.5</v>
      </c>
      <c r="H4285" s="486">
        <v>3.1250000000000002E-3</v>
      </c>
      <c r="I4285" s="523">
        <v>-13.5</v>
      </c>
      <c r="J4285" s="523">
        <v>-36</v>
      </c>
    </row>
    <row r="4286" spans="1:10" s="559" customFormat="1">
      <c r="A4286" s="521" t="s">
        <v>346</v>
      </c>
      <c r="B4286" s="522" t="s">
        <v>868</v>
      </c>
      <c r="C4286" s="522"/>
      <c r="D4286" s="521" t="s">
        <v>869</v>
      </c>
      <c r="E4286" s="522">
        <v>201612</v>
      </c>
      <c r="F4286" s="523">
        <v>235.62</v>
      </c>
      <c r="G4286" s="521">
        <v>4.5</v>
      </c>
      <c r="H4286" s="486">
        <v>3.1250000000000002E-3</v>
      </c>
      <c r="I4286" s="523">
        <v>3.31</v>
      </c>
      <c r="J4286" s="523">
        <v>8.84</v>
      </c>
    </row>
    <row r="4287" spans="1:10" s="559" customFormat="1">
      <c r="A4287" s="521" t="s">
        <v>346</v>
      </c>
      <c r="B4287" s="522" t="s">
        <v>355</v>
      </c>
      <c r="C4287" s="522"/>
      <c r="D4287" s="521" t="s">
        <v>356</v>
      </c>
      <c r="E4287" s="522">
        <v>201612</v>
      </c>
      <c r="F4287" s="523">
        <v>43366.26</v>
      </c>
      <c r="G4287" s="521">
        <v>4.5</v>
      </c>
      <c r="H4287" s="486">
        <v>3.1250000000000002E-3</v>
      </c>
      <c r="I4287" s="523">
        <v>609.84</v>
      </c>
      <c r="J4287" s="523">
        <v>1626.23</v>
      </c>
    </row>
    <row r="4288" spans="1:10" s="559" customFormat="1">
      <c r="A4288" s="521" t="s">
        <v>346</v>
      </c>
      <c r="B4288" s="522" t="s">
        <v>1106</v>
      </c>
      <c r="C4288" s="522"/>
      <c r="D4288" s="521" t="s">
        <v>1107</v>
      </c>
      <c r="E4288" s="522">
        <v>201612</v>
      </c>
      <c r="F4288" s="523">
        <v>84369.95</v>
      </c>
      <c r="G4288" s="521">
        <v>4.5</v>
      </c>
      <c r="H4288" s="486">
        <v>3.1250000000000002E-3</v>
      </c>
      <c r="I4288" s="523">
        <v>1186.45</v>
      </c>
      <c r="J4288" s="523">
        <v>3163.87</v>
      </c>
    </row>
    <row r="4289" spans="1:10" s="559" customFormat="1">
      <c r="A4289" s="521" t="s">
        <v>346</v>
      </c>
      <c r="B4289" s="522" t="s">
        <v>963</v>
      </c>
      <c r="C4289" s="522"/>
      <c r="D4289" s="521" t="s">
        <v>964</v>
      </c>
      <c r="E4289" s="522">
        <v>201612</v>
      </c>
      <c r="F4289" s="523">
        <v>28.65</v>
      </c>
      <c r="G4289" s="521">
        <v>4.5</v>
      </c>
      <c r="H4289" s="486">
        <v>3.1250000000000002E-3</v>
      </c>
      <c r="I4289" s="523">
        <v>0.4</v>
      </c>
      <c r="J4289" s="523">
        <v>1.07</v>
      </c>
    </row>
    <row r="4290" spans="1:10" s="559" customFormat="1">
      <c r="A4290" s="521" t="s">
        <v>346</v>
      </c>
      <c r="B4290" s="522" t="s">
        <v>961</v>
      </c>
      <c r="C4290" s="522"/>
      <c r="D4290" s="521" t="s">
        <v>962</v>
      </c>
      <c r="E4290" s="522">
        <v>201612</v>
      </c>
      <c r="F4290" s="523">
        <v>-89.13</v>
      </c>
      <c r="G4290" s="521">
        <v>4.5</v>
      </c>
      <c r="H4290" s="486">
        <v>3.1250000000000002E-3</v>
      </c>
      <c r="I4290" s="523">
        <v>-1.25</v>
      </c>
      <c r="J4290" s="523">
        <v>-3.34</v>
      </c>
    </row>
    <row r="4291" spans="1:10" s="559" customFormat="1">
      <c r="A4291" s="521" t="s">
        <v>346</v>
      </c>
      <c r="B4291" s="522" t="s">
        <v>975</v>
      </c>
      <c r="C4291" s="522"/>
      <c r="D4291" s="521" t="s">
        <v>976</v>
      </c>
      <c r="E4291" s="522">
        <v>201612</v>
      </c>
      <c r="F4291" s="523">
        <v>-223.84</v>
      </c>
      <c r="G4291" s="521">
        <v>4.5</v>
      </c>
      <c r="H4291" s="486">
        <v>3.1250000000000002E-3</v>
      </c>
      <c r="I4291" s="523">
        <v>-3.15</v>
      </c>
      <c r="J4291" s="523">
        <v>-8.39</v>
      </c>
    </row>
    <row r="4292" spans="1:10" s="559" customFormat="1">
      <c r="A4292" s="521" t="s">
        <v>346</v>
      </c>
      <c r="B4292" s="522" t="s">
        <v>973</v>
      </c>
      <c r="C4292" s="522"/>
      <c r="D4292" s="521" t="s">
        <v>974</v>
      </c>
      <c r="E4292" s="522">
        <v>201612</v>
      </c>
      <c r="F4292" s="523">
        <v>1688.9</v>
      </c>
      <c r="G4292" s="521">
        <v>4.5</v>
      </c>
      <c r="H4292" s="486">
        <v>3.1250000000000002E-3</v>
      </c>
      <c r="I4292" s="523">
        <v>23.75</v>
      </c>
      <c r="J4292" s="523">
        <v>63.33</v>
      </c>
    </row>
    <row r="4293" spans="1:10" s="559" customFormat="1">
      <c r="A4293" s="521" t="s">
        <v>346</v>
      </c>
      <c r="B4293" s="522" t="s">
        <v>947</v>
      </c>
      <c r="C4293" s="522"/>
      <c r="D4293" s="521" t="s">
        <v>948</v>
      </c>
      <c r="E4293" s="522">
        <v>201612</v>
      </c>
      <c r="F4293" s="523">
        <v>175.99</v>
      </c>
      <c r="G4293" s="521">
        <v>4.5</v>
      </c>
      <c r="H4293" s="486">
        <v>3.1250000000000002E-3</v>
      </c>
      <c r="I4293" s="523">
        <v>2.4700000000000002</v>
      </c>
      <c r="J4293" s="523">
        <v>6.6</v>
      </c>
    </row>
    <row r="4294" spans="1:10" s="559" customFormat="1">
      <c r="A4294" s="521" t="s">
        <v>346</v>
      </c>
      <c r="B4294" s="522" t="s">
        <v>814</v>
      </c>
      <c r="C4294" s="522"/>
      <c r="D4294" s="521" t="s">
        <v>815</v>
      </c>
      <c r="E4294" s="522">
        <v>201612</v>
      </c>
      <c r="F4294" s="523">
        <v>-263663.53000000003</v>
      </c>
      <c r="G4294" s="521">
        <v>4.5</v>
      </c>
      <c r="H4294" s="486">
        <v>3.1250000000000002E-3</v>
      </c>
      <c r="I4294" s="523">
        <v>-3707.77</v>
      </c>
      <c r="J4294" s="523">
        <v>-9887.3799999999992</v>
      </c>
    </row>
    <row r="4295" spans="1:10" s="559" customFormat="1">
      <c r="A4295" s="521" t="s">
        <v>346</v>
      </c>
      <c r="B4295" s="522" t="s">
        <v>1004</v>
      </c>
      <c r="C4295" s="522"/>
      <c r="D4295" s="521" t="s">
        <v>1005</v>
      </c>
      <c r="E4295" s="522">
        <v>201612</v>
      </c>
      <c r="F4295" s="523">
        <v>755.48</v>
      </c>
      <c r="G4295" s="521">
        <v>4.5</v>
      </c>
      <c r="H4295" s="486">
        <v>3.1250000000000002E-3</v>
      </c>
      <c r="I4295" s="523">
        <v>10.62</v>
      </c>
      <c r="J4295" s="523">
        <v>28.33</v>
      </c>
    </row>
    <row r="4296" spans="1:10" s="559" customFormat="1">
      <c r="A4296" s="521" t="s">
        <v>346</v>
      </c>
      <c r="B4296" s="522" t="s">
        <v>991</v>
      </c>
      <c r="C4296" s="522"/>
      <c r="D4296" s="521" t="s">
        <v>992</v>
      </c>
      <c r="E4296" s="522">
        <v>201612</v>
      </c>
      <c r="F4296" s="523">
        <v>30.94</v>
      </c>
      <c r="G4296" s="521">
        <v>4.5</v>
      </c>
      <c r="H4296" s="486">
        <v>3.1250000000000002E-3</v>
      </c>
      <c r="I4296" s="523">
        <v>0.44</v>
      </c>
      <c r="J4296" s="523">
        <v>1.1599999999999999</v>
      </c>
    </row>
    <row r="4297" spans="1:10" s="559" customFormat="1">
      <c r="A4297" s="521" t="s">
        <v>346</v>
      </c>
      <c r="B4297" s="522" t="s">
        <v>387</v>
      </c>
      <c r="C4297" s="522"/>
      <c r="D4297" s="521" t="s">
        <v>388</v>
      </c>
      <c r="E4297" s="522">
        <v>201612</v>
      </c>
      <c r="F4297" s="523">
        <v>320133.75</v>
      </c>
      <c r="G4297" s="521">
        <v>4.5</v>
      </c>
      <c r="H4297" s="486">
        <v>3.1250000000000002E-3</v>
      </c>
      <c r="I4297" s="523">
        <v>4501.88</v>
      </c>
      <c r="J4297" s="523">
        <v>12005.02</v>
      </c>
    </row>
    <row r="4298" spans="1:10" s="559" customFormat="1">
      <c r="A4298" s="521" t="s">
        <v>346</v>
      </c>
      <c r="B4298" s="522" t="s">
        <v>395</v>
      </c>
      <c r="C4298" s="522"/>
      <c r="D4298" s="521" t="s">
        <v>396</v>
      </c>
      <c r="E4298" s="522">
        <v>201612</v>
      </c>
      <c r="F4298" s="523">
        <v>-43778.89</v>
      </c>
      <c r="G4298" s="521">
        <v>4.5</v>
      </c>
      <c r="H4298" s="486">
        <v>3.1250000000000002E-3</v>
      </c>
      <c r="I4298" s="523">
        <v>-615.64</v>
      </c>
      <c r="J4298" s="523">
        <v>-1641.71</v>
      </c>
    </row>
    <row r="4299" spans="1:10" s="559" customFormat="1">
      <c r="A4299" s="521" t="s">
        <v>346</v>
      </c>
      <c r="B4299" s="522" t="s">
        <v>889</v>
      </c>
      <c r="C4299" s="522"/>
      <c r="D4299" s="521" t="s">
        <v>890</v>
      </c>
      <c r="E4299" s="522">
        <v>201612</v>
      </c>
      <c r="F4299" s="523">
        <v>-0.96</v>
      </c>
      <c r="G4299" s="521">
        <v>4.5</v>
      </c>
      <c r="H4299" s="486">
        <v>3.1250000000000002E-3</v>
      </c>
      <c r="I4299" s="523">
        <v>-0.01</v>
      </c>
      <c r="J4299" s="523">
        <v>-0.04</v>
      </c>
    </row>
    <row r="4300" spans="1:10" s="559" customFormat="1">
      <c r="A4300" s="521" t="s">
        <v>346</v>
      </c>
      <c r="B4300" s="522" t="s">
        <v>1108</v>
      </c>
      <c r="C4300" s="522"/>
      <c r="D4300" s="521" t="s">
        <v>1109</v>
      </c>
      <c r="E4300" s="522">
        <v>201612</v>
      </c>
      <c r="F4300" s="523">
        <v>253058.79</v>
      </c>
      <c r="G4300" s="521">
        <v>4.5</v>
      </c>
      <c r="H4300" s="486">
        <v>3.1250000000000002E-3</v>
      </c>
      <c r="I4300" s="523">
        <v>3558.64</v>
      </c>
      <c r="J4300" s="523">
        <v>9489.7000000000007</v>
      </c>
    </row>
    <row r="4301" spans="1:10" s="559" customFormat="1">
      <c r="A4301" s="521" t="s">
        <v>346</v>
      </c>
      <c r="B4301" s="522" t="s">
        <v>369</v>
      </c>
      <c r="C4301" s="522"/>
      <c r="D4301" s="521" t="s">
        <v>370</v>
      </c>
      <c r="E4301" s="522">
        <v>201612</v>
      </c>
      <c r="F4301" s="523">
        <v>-6105.08</v>
      </c>
      <c r="G4301" s="521">
        <v>4.5</v>
      </c>
      <c r="H4301" s="486">
        <v>3.1250000000000002E-3</v>
      </c>
      <c r="I4301" s="523">
        <v>-85.85</v>
      </c>
      <c r="J4301" s="523">
        <v>-228.94</v>
      </c>
    </row>
    <row r="4302" spans="1:10" s="559" customFormat="1">
      <c r="A4302" s="521" t="s">
        <v>346</v>
      </c>
      <c r="B4302" s="522" t="s">
        <v>1006</v>
      </c>
      <c r="C4302" s="522"/>
      <c r="D4302" s="521" t="s">
        <v>1007</v>
      </c>
      <c r="E4302" s="522">
        <v>201612</v>
      </c>
      <c r="F4302" s="523">
        <v>7.63</v>
      </c>
      <c r="G4302" s="521">
        <v>4.5</v>
      </c>
      <c r="H4302" s="486">
        <v>3.1250000000000002E-3</v>
      </c>
      <c r="I4302" s="523">
        <v>0.11</v>
      </c>
      <c r="J4302" s="523">
        <v>0.28999999999999998</v>
      </c>
    </row>
    <row r="4303" spans="1:10" s="559" customFormat="1">
      <c r="A4303" s="521" t="s">
        <v>346</v>
      </c>
      <c r="B4303" s="522" t="s">
        <v>661</v>
      </c>
      <c r="C4303" s="522"/>
      <c r="D4303" s="521" t="s">
        <v>662</v>
      </c>
      <c r="E4303" s="522">
        <v>201612</v>
      </c>
      <c r="F4303" s="523">
        <v>-43.24</v>
      </c>
      <c r="G4303" s="521">
        <v>4.5</v>
      </c>
      <c r="H4303" s="486">
        <v>3.1250000000000002E-3</v>
      </c>
      <c r="I4303" s="523">
        <v>-0.61</v>
      </c>
      <c r="J4303" s="523">
        <v>-1.62</v>
      </c>
    </row>
    <row r="4304" spans="1:10" s="559" customFormat="1">
      <c r="A4304" s="521" t="s">
        <v>346</v>
      </c>
      <c r="B4304" s="522" t="s">
        <v>800</v>
      </c>
      <c r="C4304" s="522"/>
      <c r="D4304" s="521" t="s">
        <v>830</v>
      </c>
      <c r="E4304" s="522">
        <v>201612</v>
      </c>
      <c r="F4304" s="523">
        <v>-1496.2</v>
      </c>
      <c r="G4304" s="521">
        <v>4.5</v>
      </c>
      <c r="H4304" s="486">
        <v>3.1250000000000002E-3</v>
      </c>
      <c r="I4304" s="523">
        <v>-21.04</v>
      </c>
      <c r="J4304" s="523">
        <v>-56.11</v>
      </c>
    </row>
    <row r="4305" spans="1:10" s="559" customFormat="1">
      <c r="A4305" s="521" t="s">
        <v>346</v>
      </c>
      <c r="B4305" s="522" t="s">
        <v>870</v>
      </c>
      <c r="C4305" s="522"/>
      <c r="D4305" s="521" t="s">
        <v>871</v>
      </c>
      <c r="E4305" s="522">
        <v>201612</v>
      </c>
      <c r="F4305" s="523">
        <v>-128.26</v>
      </c>
      <c r="G4305" s="521">
        <v>4.5</v>
      </c>
      <c r="H4305" s="486">
        <v>3.1250000000000002E-3</v>
      </c>
      <c r="I4305" s="523">
        <v>-1.8</v>
      </c>
      <c r="J4305" s="523">
        <v>-4.8099999999999996</v>
      </c>
    </row>
    <row r="4306" spans="1:10" s="559" customFormat="1">
      <c r="A4306" s="521" t="s">
        <v>346</v>
      </c>
      <c r="B4306" s="522" t="s">
        <v>852</v>
      </c>
      <c r="C4306" s="522"/>
      <c r="D4306" s="521" t="s">
        <v>853</v>
      </c>
      <c r="E4306" s="522">
        <v>201612</v>
      </c>
      <c r="F4306" s="523">
        <v>192.61</v>
      </c>
      <c r="G4306" s="521">
        <v>4.5</v>
      </c>
      <c r="H4306" s="486">
        <v>3.1250000000000002E-3</v>
      </c>
      <c r="I4306" s="523">
        <v>2.71</v>
      </c>
      <c r="J4306" s="523">
        <v>7.22</v>
      </c>
    </row>
    <row r="4307" spans="1:10" s="559" customFormat="1">
      <c r="A4307" s="521" t="s">
        <v>346</v>
      </c>
      <c r="B4307" s="522" t="s">
        <v>846</v>
      </c>
      <c r="C4307" s="522"/>
      <c r="D4307" s="521" t="s">
        <v>847</v>
      </c>
      <c r="E4307" s="522">
        <v>201612</v>
      </c>
      <c r="F4307" s="523">
        <v>227.85</v>
      </c>
      <c r="G4307" s="521">
        <v>4.5</v>
      </c>
      <c r="H4307" s="486">
        <v>3.1250000000000002E-3</v>
      </c>
      <c r="I4307" s="523">
        <v>3.2</v>
      </c>
      <c r="J4307" s="523">
        <v>8.5399999999999991</v>
      </c>
    </row>
    <row r="4308" spans="1:10" s="559" customFormat="1">
      <c r="A4308" s="521" t="s">
        <v>346</v>
      </c>
      <c r="B4308" s="522" t="s">
        <v>838</v>
      </c>
      <c r="C4308" s="522"/>
      <c r="D4308" s="521" t="s">
        <v>1015</v>
      </c>
      <c r="E4308" s="522">
        <v>201612</v>
      </c>
      <c r="F4308" s="523">
        <v>-111283.31</v>
      </c>
      <c r="G4308" s="521">
        <v>4.5</v>
      </c>
      <c r="H4308" s="486">
        <v>3.1250000000000002E-3</v>
      </c>
      <c r="I4308" s="523">
        <v>-1564.92</v>
      </c>
      <c r="J4308" s="523">
        <v>-4173.12</v>
      </c>
    </row>
    <row r="4309" spans="1:10" s="559" customFormat="1">
      <c r="A4309" s="521" t="s">
        <v>346</v>
      </c>
      <c r="B4309" s="522" t="s">
        <v>389</v>
      </c>
      <c r="C4309" s="522"/>
      <c r="D4309" s="521" t="s">
        <v>390</v>
      </c>
      <c r="E4309" s="522">
        <v>201612</v>
      </c>
      <c r="F4309" s="523">
        <v>-1.29</v>
      </c>
      <c r="G4309" s="521">
        <v>4.5</v>
      </c>
      <c r="H4309" s="486">
        <v>3.1250000000000002E-3</v>
      </c>
      <c r="I4309" s="523">
        <v>-0.02</v>
      </c>
      <c r="J4309" s="523">
        <v>-0.05</v>
      </c>
    </row>
    <row r="4310" spans="1:10" s="559" customFormat="1">
      <c r="A4310" s="521" t="s">
        <v>346</v>
      </c>
      <c r="B4310" s="522" t="s">
        <v>953</v>
      </c>
      <c r="C4310" s="522"/>
      <c r="D4310" s="521" t="s">
        <v>954</v>
      </c>
      <c r="E4310" s="522">
        <v>201612</v>
      </c>
      <c r="F4310" s="523">
        <v>114952.87</v>
      </c>
      <c r="G4310" s="521">
        <v>4.5</v>
      </c>
      <c r="H4310" s="486">
        <v>3.1250000000000002E-3</v>
      </c>
      <c r="I4310" s="523">
        <v>1616.52</v>
      </c>
      <c r="J4310" s="523">
        <v>4310.7299999999996</v>
      </c>
    </row>
    <row r="4311" spans="1:10" s="559" customFormat="1">
      <c r="A4311" s="521" t="s">
        <v>346</v>
      </c>
      <c r="B4311" s="522" t="s">
        <v>369</v>
      </c>
      <c r="C4311" s="522"/>
      <c r="D4311" s="521" t="s">
        <v>370</v>
      </c>
      <c r="E4311" s="522">
        <v>201612</v>
      </c>
      <c r="F4311" s="523">
        <v>26147.82</v>
      </c>
      <c r="G4311" s="521">
        <v>4.5</v>
      </c>
      <c r="H4311" s="486">
        <v>3.1250000000000002E-3</v>
      </c>
      <c r="I4311" s="523">
        <v>367.7</v>
      </c>
      <c r="J4311" s="523">
        <v>980.54</v>
      </c>
    </row>
    <row r="4312" spans="1:10" s="559" customFormat="1">
      <c r="A4312" s="521" t="s">
        <v>346</v>
      </c>
      <c r="B4312" s="522" t="s">
        <v>353</v>
      </c>
      <c r="C4312" s="522"/>
      <c r="D4312" s="521" t="s">
        <v>354</v>
      </c>
      <c r="E4312" s="522">
        <v>201612</v>
      </c>
      <c r="F4312" s="523">
        <v>-1450</v>
      </c>
      <c r="G4312" s="521">
        <v>4.5</v>
      </c>
      <c r="H4312" s="486">
        <v>3.1250000000000002E-3</v>
      </c>
      <c r="I4312" s="523">
        <v>-20.39</v>
      </c>
      <c r="J4312" s="523">
        <v>-54.38</v>
      </c>
    </row>
    <row r="4313" spans="1:10" s="559" customFormat="1">
      <c r="A4313" s="521" t="s">
        <v>346</v>
      </c>
      <c r="B4313" s="522" t="s">
        <v>351</v>
      </c>
      <c r="C4313" s="522"/>
      <c r="D4313" s="521" t="s">
        <v>352</v>
      </c>
      <c r="E4313" s="522">
        <v>201612</v>
      </c>
      <c r="F4313" s="523">
        <v>20555.490000000002</v>
      </c>
      <c r="G4313" s="521">
        <v>4.5</v>
      </c>
      <c r="H4313" s="486">
        <v>3.1250000000000002E-3</v>
      </c>
      <c r="I4313" s="523">
        <v>289.06</v>
      </c>
      <c r="J4313" s="523">
        <v>770.83</v>
      </c>
    </row>
    <row r="4314" spans="1:10" s="559" customFormat="1">
      <c r="A4314" s="521" t="s">
        <v>346</v>
      </c>
      <c r="B4314" s="522" t="s">
        <v>629</v>
      </c>
      <c r="C4314" s="522"/>
      <c r="D4314" s="521" t="s">
        <v>630</v>
      </c>
      <c r="E4314" s="522">
        <v>201612</v>
      </c>
      <c r="F4314" s="523">
        <v>22.89</v>
      </c>
      <c r="G4314" s="521">
        <v>4.5</v>
      </c>
      <c r="H4314" s="486">
        <v>3.1250000000000002E-3</v>
      </c>
      <c r="I4314" s="523">
        <v>0.32</v>
      </c>
      <c r="J4314" s="523">
        <v>0.86</v>
      </c>
    </row>
    <row r="4315" spans="1:10" s="559" customFormat="1">
      <c r="A4315" s="521" t="s">
        <v>346</v>
      </c>
      <c r="B4315" s="522" t="s">
        <v>882</v>
      </c>
      <c r="C4315" s="522"/>
      <c r="D4315" s="521" t="s">
        <v>995</v>
      </c>
      <c r="E4315" s="522">
        <v>201612</v>
      </c>
      <c r="F4315" s="523">
        <v>-30154.45</v>
      </c>
      <c r="G4315" s="521">
        <v>4.5</v>
      </c>
      <c r="H4315" s="486">
        <v>3.1250000000000002E-3</v>
      </c>
      <c r="I4315" s="523">
        <v>-424.05</v>
      </c>
      <c r="J4315" s="523">
        <v>-1130.79</v>
      </c>
    </row>
    <row r="4316" spans="1:10" s="559" customFormat="1">
      <c r="A4316" s="521" t="s">
        <v>346</v>
      </c>
      <c r="B4316" s="522" t="s">
        <v>876</v>
      </c>
      <c r="C4316" s="522"/>
      <c r="D4316" s="521" t="s">
        <v>877</v>
      </c>
      <c r="E4316" s="522">
        <v>201612</v>
      </c>
      <c r="F4316" s="523">
        <v>-20.91</v>
      </c>
      <c r="G4316" s="521">
        <v>4.5</v>
      </c>
      <c r="H4316" s="486">
        <v>3.1250000000000002E-3</v>
      </c>
      <c r="I4316" s="523">
        <v>-0.28999999999999998</v>
      </c>
      <c r="J4316" s="523">
        <v>-0.78</v>
      </c>
    </row>
    <row r="4317" spans="1:10" s="559" customFormat="1">
      <c r="A4317" s="521" t="s">
        <v>346</v>
      </c>
      <c r="B4317" s="522" t="s">
        <v>1112</v>
      </c>
      <c r="C4317" s="522"/>
      <c r="D4317" s="521" t="s">
        <v>1113</v>
      </c>
      <c r="E4317" s="522">
        <v>201612</v>
      </c>
      <c r="F4317" s="523">
        <v>40653.26</v>
      </c>
      <c r="G4317" s="521">
        <v>4.5</v>
      </c>
      <c r="H4317" s="486">
        <v>3.1250000000000002E-3</v>
      </c>
      <c r="I4317" s="523">
        <v>571.69000000000005</v>
      </c>
      <c r="J4317" s="523">
        <v>1524.5</v>
      </c>
    </row>
    <row r="4318" spans="1:10" s="559" customFormat="1">
      <c r="A4318" s="521" t="s">
        <v>346</v>
      </c>
      <c r="B4318" s="522" t="s">
        <v>1041</v>
      </c>
      <c r="C4318" s="522"/>
      <c r="D4318" s="521" t="s">
        <v>1042</v>
      </c>
      <c r="E4318" s="522">
        <v>201612</v>
      </c>
      <c r="F4318" s="523">
        <v>-93.87</v>
      </c>
      <c r="G4318" s="521">
        <v>4.5</v>
      </c>
      <c r="H4318" s="486">
        <v>3.1250000000000002E-3</v>
      </c>
      <c r="I4318" s="523">
        <v>-1.32</v>
      </c>
      <c r="J4318" s="523">
        <v>-3.52</v>
      </c>
    </row>
    <row r="4319" spans="1:10" s="559" customFormat="1">
      <c r="A4319" s="521" t="s">
        <v>346</v>
      </c>
      <c r="B4319" s="522" t="s">
        <v>987</v>
      </c>
      <c r="C4319" s="522"/>
      <c r="D4319" s="521" t="s">
        <v>988</v>
      </c>
      <c r="E4319" s="522">
        <v>201612</v>
      </c>
      <c r="F4319" s="523">
        <v>-1.64</v>
      </c>
      <c r="G4319" s="521">
        <v>4.5</v>
      </c>
      <c r="H4319" s="486">
        <v>3.1250000000000002E-3</v>
      </c>
      <c r="I4319" s="523">
        <v>-0.02</v>
      </c>
      <c r="J4319" s="523">
        <v>-0.06</v>
      </c>
    </row>
    <row r="4320" spans="1:10" s="559" customFormat="1">
      <c r="A4320" s="521" t="s">
        <v>346</v>
      </c>
      <c r="B4320" s="522" t="s">
        <v>955</v>
      </c>
      <c r="C4320" s="522"/>
      <c r="D4320" s="521" t="s">
        <v>956</v>
      </c>
      <c r="E4320" s="522">
        <v>201612</v>
      </c>
      <c r="F4320" s="523">
        <v>21.75</v>
      </c>
      <c r="G4320" s="521">
        <v>4.5</v>
      </c>
      <c r="H4320" s="486">
        <v>3.1250000000000002E-3</v>
      </c>
      <c r="I4320" s="523">
        <v>0.31</v>
      </c>
      <c r="J4320" s="523">
        <v>0.82</v>
      </c>
    </row>
    <row r="4321" spans="1:17" s="559" customFormat="1">
      <c r="A4321" s="521" t="s">
        <v>346</v>
      </c>
      <c r="B4321" s="522" t="s">
        <v>854</v>
      </c>
      <c r="C4321" s="522"/>
      <c r="D4321" s="521" t="s">
        <v>855</v>
      </c>
      <c r="E4321" s="522">
        <v>201612</v>
      </c>
      <c r="F4321" s="523">
        <v>-215411.89</v>
      </c>
      <c r="G4321" s="521">
        <v>4.5</v>
      </c>
      <c r="H4321" s="486">
        <v>3.1250000000000002E-3</v>
      </c>
      <c r="I4321" s="523">
        <v>-3029.23</v>
      </c>
      <c r="J4321" s="523">
        <v>-8077.95</v>
      </c>
    </row>
    <row r="4322" spans="1:17" s="559" customFormat="1">
      <c r="A4322" s="521" t="s">
        <v>346</v>
      </c>
      <c r="B4322" s="522" t="s">
        <v>842</v>
      </c>
      <c r="C4322" s="522"/>
      <c r="D4322" s="521" t="s">
        <v>843</v>
      </c>
      <c r="E4322" s="522">
        <v>201612</v>
      </c>
      <c r="F4322" s="523">
        <v>-201.29</v>
      </c>
      <c r="G4322" s="521">
        <v>4.5</v>
      </c>
      <c r="H4322" s="486">
        <v>3.1250000000000002E-3</v>
      </c>
      <c r="I4322" s="523">
        <v>-2.83</v>
      </c>
      <c r="J4322" s="523">
        <v>-7.55</v>
      </c>
    </row>
    <row r="4323" spans="1:17" s="559" customFormat="1">
      <c r="A4323" s="521" t="s">
        <v>346</v>
      </c>
      <c r="B4323" s="522" t="s">
        <v>882</v>
      </c>
      <c r="C4323" s="522"/>
      <c r="D4323" s="521" t="s">
        <v>995</v>
      </c>
      <c r="E4323" s="522">
        <v>201612</v>
      </c>
      <c r="F4323" s="523">
        <v>33148.54</v>
      </c>
      <c r="G4323" s="521">
        <v>4.5</v>
      </c>
      <c r="H4323" s="486">
        <v>3.1250000000000002E-3</v>
      </c>
      <c r="I4323" s="523">
        <v>466.15</v>
      </c>
      <c r="J4323" s="523">
        <v>1243.07</v>
      </c>
    </row>
    <row r="4324" spans="1:17" s="559" customFormat="1">
      <c r="A4324" s="521" t="s">
        <v>346</v>
      </c>
      <c r="B4324" s="522" t="s">
        <v>357</v>
      </c>
      <c r="C4324" s="522"/>
      <c r="D4324" s="521" t="s">
        <v>358</v>
      </c>
      <c r="E4324" s="522">
        <v>201612</v>
      </c>
      <c r="F4324" s="523">
        <v>5871.93</v>
      </c>
      <c r="G4324" s="521">
        <v>4.5</v>
      </c>
      <c r="H4324" s="486">
        <v>3.1250000000000002E-3</v>
      </c>
      <c r="I4324" s="523">
        <v>82.57</v>
      </c>
      <c r="J4324" s="523">
        <v>220.2</v>
      </c>
    </row>
    <row r="4325" spans="1:17" s="559" customFormat="1">
      <c r="A4325" s="521" t="s">
        <v>346</v>
      </c>
      <c r="B4325" s="522">
        <v>900889</v>
      </c>
      <c r="C4325" s="522"/>
      <c r="D4325" s="521" t="s">
        <v>1126</v>
      </c>
      <c r="E4325" s="522">
        <v>201612</v>
      </c>
      <c r="F4325" s="523">
        <v>-6376.85</v>
      </c>
      <c r="G4325" s="521">
        <v>4.5</v>
      </c>
      <c r="H4325" s="486">
        <v>3.1250000000000002E-3</v>
      </c>
      <c r="I4325" s="523">
        <v>-89.67</v>
      </c>
      <c r="J4325" s="523">
        <v>-239.13</v>
      </c>
    </row>
    <row r="4326" spans="1:17" s="559" customFormat="1">
      <c r="A4326" s="521"/>
      <c r="B4326" s="522"/>
      <c r="C4326" s="522"/>
      <c r="D4326" s="521"/>
      <c r="E4326" s="522"/>
      <c r="F4326" s="523"/>
      <c r="G4326" s="521"/>
      <c r="H4326" s="486"/>
      <c r="I4326" s="523"/>
      <c r="J4326" s="523"/>
    </row>
    <row r="4327" spans="1:17" s="540" customFormat="1" ht="12.75" customHeight="1">
      <c r="A4327" s="541"/>
      <c r="B4327" s="541"/>
      <c r="C4327" s="541"/>
      <c r="D4327" s="542"/>
      <c r="E4327" s="545"/>
      <c r="F4327" s="539"/>
      <c r="G4327" s="542"/>
      <c r="H4327" s="546"/>
      <c r="I4327" s="543"/>
      <c r="J4327" s="544"/>
    </row>
    <row r="4328" spans="1:17" ht="12.75" customHeight="1">
      <c r="A4328" s="108"/>
      <c r="B4328" s="108"/>
      <c r="C4328" s="108"/>
      <c r="D4328" s="126"/>
      <c r="E4328" s="159"/>
      <c r="F4328" s="82"/>
      <c r="G4328" s="126"/>
      <c r="H4328" s="168"/>
      <c r="I4328" s="157"/>
      <c r="J4328" s="158"/>
      <c r="Q4328" s="101">
        <f>IF(E4328&lt;=$Q$1,$S$5,#REF!)</f>
        <v>2015</v>
      </c>
    </row>
    <row r="4329" spans="1:17">
      <c r="A4329" s="114"/>
      <c r="B4329" s="114"/>
      <c r="C4329" s="114"/>
      <c r="D4329" s="114"/>
      <c r="E4329" s="164"/>
      <c r="F4329" s="103"/>
      <c r="G4329" s="166"/>
      <c r="H4329" s="132"/>
      <c r="I4329" s="129"/>
      <c r="J4329" s="129"/>
    </row>
    <row r="4330" spans="1:17" ht="13.5" thickBot="1">
      <c r="A4330" s="102"/>
      <c r="B4330" s="102"/>
      <c r="C4330" s="102"/>
      <c r="E4330" s="73" t="s">
        <v>107</v>
      </c>
      <c r="F4330" s="130">
        <f>SUM(F3142:F4329)</f>
        <v>29438725.130000029</v>
      </c>
      <c r="I4330" s="130">
        <f>SUM(I3142:I4329)</f>
        <v>689998.46000000043</v>
      </c>
      <c r="J4330" s="130">
        <f>SUM(J3142:J4329)</f>
        <v>1103952.2300000011</v>
      </c>
    </row>
    <row r="4331" spans="1:17" ht="48" customHeight="1" thickTop="1">
      <c r="A4331" s="102"/>
      <c r="B4331" s="102"/>
      <c r="C4331" s="102"/>
      <c r="E4331" s="73"/>
      <c r="F4331" s="103"/>
      <c r="I4331" s="103"/>
      <c r="J4331" s="103"/>
    </row>
    <row r="4332" spans="1:17">
      <c r="A4332" s="69"/>
      <c r="F4332" s="171"/>
      <c r="G4332" s="166"/>
      <c r="H4332" s="121"/>
      <c r="I4332" s="171"/>
      <c r="J4332" s="171"/>
    </row>
    <row r="4333" spans="1:17">
      <c r="A4333" s="69"/>
      <c r="F4333" s="171"/>
      <c r="G4333" s="166"/>
      <c r="H4333" s="121"/>
      <c r="I4333" s="171"/>
      <c r="J4333" s="171"/>
    </row>
    <row r="4334" spans="1:17" ht="13.5" thickBot="1">
      <c r="A4334" s="69" t="s">
        <v>110</v>
      </c>
      <c r="B4334" s="102"/>
      <c r="C4334" s="102"/>
      <c r="E4334" s="73"/>
      <c r="F4334" s="130">
        <f>+F4330+F3136</f>
        <v>30153661.030000027</v>
      </c>
      <c r="I4334" s="130">
        <f>+I4330+I3136</f>
        <v>713534.3000000004</v>
      </c>
      <c r="J4334" s="130">
        <f>+J4330+J3136</f>
        <v>1141343.0700000012</v>
      </c>
    </row>
    <row r="4335" spans="1:17" ht="13.5" thickTop="1">
      <c r="A4335" s="102"/>
      <c r="B4335" s="102"/>
      <c r="C4335" s="102"/>
      <c r="F4335" s="123"/>
      <c r="I4335" s="123"/>
      <c r="J4335" s="123"/>
    </row>
    <row r="4336" spans="1:17">
      <c r="A4336" s="95" t="s">
        <v>111</v>
      </c>
      <c r="B4336" s="102"/>
      <c r="C4336" s="102"/>
      <c r="F4336" s="123"/>
      <c r="I4336" s="123" t="s">
        <v>150</v>
      </c>
      <c r="J4336" s="123"/>
    </row>
    <row r="4337" spans="1:17">
      <c r="A4337" s="102"/>
      <c r="B4337" s="102"/>
      <c r="C4337" s="102"/>
      <c r="F4337" s="123"/>
      <c r="I4337" s="123"/>
      <c r="J4337" s="123"/>
    </row>
    <row r="4338" spans="1:17">
      <c r="A4338" s="88" t="s">
        <v>411</v>
      </c>
      <c r="B4338" s="102"/>
      <c r="C4338" s="102"/>
      <c r="F4338" s="123"/>
      <c r="I4338" s="123" t="s">
        <v>150</v>
      </c>
      <c r="J4338" s="123"/>
    </row>
    <row r="4339" spans="1:17">
      <c r="A4339" s="102"/>
      <c r="B4339" s="102"/>
      <c r="C4339" s="102"/>
      <c r="F4339" s="123"/>
      <c r="I4339" s="123"/>
      <c r="J4339" s="123"/>
    </row>
    <row r="4340" spans="1:17">
      <c r="A4340" s="81" t="s">
        <v>86</v>
      </c>
      <c r="B4340" s="81" t="s">
        <v>87</v>
      </c>
      <c r="C4340" s="81" t="s">
        <v>88</v>
      </c>
      <c r="D4340" s="81"/>
      <c r="E4340" s="146" t="s">
        <v>89</v>
      </c>
      <c r="F4340" s="90" t="s">
        <v>90</v>
      </c>
      <c r="G4340" s="147"/>
      <c r="H4340" s="81" t="s">
        <v>91</v>
      </c>
      <c r="I4340" s="90" t="s">
        <v>92</v>
      </c>
      <c r="J4340" s="90" t="s">
        <v>93</v>
      </c>
    </row>
    <row r="4341" spans="1:17">
      <c r="A4341" s="86" t="s">
        <v>94</v>
      </c>
      <c r="B4341" s="86" t="s">
        <v>95</v>
      </c>
      <c r="C4341" s="86" t="s">
        <v>96</v>
      </c>
      <c r="D4341" s="86" t="s">
        <v>97</v>
      </c>
      <c r="E4341" s="148" t="s">
        <v>98</v>
      </c>
      <c r="F4341" s="92" t="s">
        <v>99</v>
      </c>
      <c r="G4341" s="149" t="s">
        <v>100</v>
      </c>
      <c r="H4341" s="86" t="s">
        <v>101</v>
      </c>
      <c r="I4341" s="92" t="s">
        <v>93</v>
      </c>
      <c r="J4341" s="92" t="s">
        <v>102</v>
      </c>
    </row>
    <row r="4342" spans="1:17">
      <c r="A4342" s="332"/>
      <c r="B4342" s="333"/>
      <c r="C4342" s="333"/>
      <c r="D4342" s="332"/>
      <c r="E4342" s="333"/>
      <c r="F4342" s="334"/>
      <c r="G4342" s="332"/>
      <c r="H4342" s="381"/>
      <c r="I4342" s="334"/>
      <c r="J4342" s="334"/>
      <c r="Q4342" s="101">
        <f>IF(E4342&lt;=$Q$1,$S$5,#REF!)</f>
        <v>2015</v>
      </c>
    </row>
    <row r="4343" spans="1:17">
      <c r="A4343" s="432"/>
      <c r="B4343" s="433"/>
      <c r="C4343" s="433"/>
      <c r="D4343" s="433"/>
      <c r="E4343" s="433"/>
      <c r="F4343" s="434"/>
      <c r="G4343" s="332"/>
      <c r="H4343" s="433"/>
      <c r="I4343" s="334"/>
      <c r="J4343" s="334"/>
    </row>
    <row r="4344" spans="1:17" s="547" customFormat="1">
      <c r="A4344" s="560"/>
      <c r="B4344" s="562"/>
      <c r="C4344" s="562"/>
      <c r="D4344" s="563"/>
      <c r="E4344" s="568"/>
      <c r="F4344" s="564"/>
      <c r="G4344" s="561"/>
      <c r="H4344" s="567"/>
      <c r="I4344" s="565"/>
      <c r="J4344" s="566"/>
    </row>
    <row r="4345" spans="1:17" s="547" customFormat="1">
      <c r="A4345" s="570"/>
      <c r="B4345" s="574"/>
      <c r="C4345" s="574"/>
      <c r="D4345" s="575"/>
      <c r="E4345" s="576"/>
      <c r="F4345" s="577"/>
      <c r="G4345" s="569"/>
      <c r="H4345" s="573"/>
      <c r="I4345" s="571"/>
      <c r="J4345" s="572"/>
    </row>
    <row r="4346" spans="1:17" s="547" customFormat="1">
      <c r="A4346" s="548"/>
      <c r="B4346" s="550"/>
      <c r="C4346" s="550"/>
      <c r="D4346" s="551"/>
      <c r="E4346" s="557"/>
      <c r="F4346" s="552"/>
      <c r="G4346" s="549"/>
      <c r="H4346" s="556"/>
      <c r="I4346" s="553"/>
      <c r="J4346" s="554"/>
    </row>
    <row r="4347" spans="1:17" s="34" customFormat="1" ht="13.5" customHeight="1">
      <c r="A4347" s="269"/>
      <c r="B4347" s="374"/>
      <c r="C4347" s="374"/>
      <c r="D4347" s="375"/>
      <c r="E4347" s="376"/>
      <c r="F4347" s="377"/>
      <c r="G4347" s="335"/>
      <c r="H4347" s="340"/>
      <c r="I4347" s="378"/>
      <c r="J4347" s="379"/>
      <c r="Q4347" s="34">
        <f>IF(E4347&lt;=$Q$1,$S$5,#REF!)</f>
        <v>2015</v>
      </c>
    </row>
    <row r="4348" spans="1:17">
      <c r="A4348" s="114"/>
      <c r="B4348" s="114"/>
      <c r="C4348" s="114"/>
      <c r="D4348" s="114"/>
      <c r="E4348" s="164"/>
      <c r="F4348" s="129"/>
      <c r="G4348" s="166"/>
      <c r="H4348" s="132"/>
      <c r="I4348" s="129"/>
      <c r="J4348" s="129"/>
    </row>
    <row r="4349" spans="1:17" ht="13.5" thickBot="1">
      <c r="A4349" s="102"/>
      <c r="B4349" s="102"/>
      <c r="C4349" s="102"/>
      <c r="E4349" s="73" t="s">
        <v>107</v>
      </c>
      <c r="F4349" s="130">
        <f>SUM(F4342:F4348)</f>
        <v>0</v>
      </c>
      <c r="I4349" s="130">
        <f>SUM(I4342:I4348)</f>
        <v>0</v>
      </c>
      <c r="J4349" s="130">
        <f>SUM(J4342:J4348)</f>
        <v>0</v>
      </c>
    </row>
    <row r="4350" spans="1:17" ht="13.5" thickTop="1">
      <c r="A4350" s="102"/>
      <c r="B4350" s="102"/>
      <c r="C4350" s="102"/>
      <c r="F4350" s="123"/>
      <c r="I4350" s="123"/>
      <c r="J4350" s="123"/>
    </row>
    <row r="4351" spans="1:17">
      <c r="A4351" s="88" t="s">
        <v>409</v>
      </c>
      <c r="B4351" s="102"/>
      <c r="C4351" s="102"/>
      <c r="F4351" s="123"/>
      <c r="I4351" s="123" t="s">
        <v>150</v>
      </c>
      <c r="J4351" s="123"/>
    </row>
    <row r="4352" spans="1:17">
      <c r="A4352" s="102"/>
      <c r="B4352" s="102"/>
      <c r="C4352" s="102"/>
      <c r="F4352" s="123"/>
      <c r="I4352" s="123"/>
      <c r="J4352" s="123"/>
    </row>
    <row r="4353" spans="1:17">
      <c r="A4353" s="81" t="s">
        <v>86</v>
      </c>
      <c r="B4353" s="81" t="s">
        <v>87</v>
      </c>
      <c r="C4353" s="81" t="s">
        <v>88</v>
      </c>
      <c r="D4353" s="81"/>
      <c r="E4353" s="146" t="s">
        <v>89</v>
      </c>
      <c r="F4353" s="90" t="s">
        <v>90</v>
      </c>
      <c r="G4353" s="147"/>
      <c r="H4353" s="81" t="s">
        <v>91</v>
      </c>
      <c r="I4353" s="90" t="s">
        <v>92</v>
      </c>
      <c r="J4353" s="90" t="s">
        <v>93</v>
      </c>
    </row>
    <row r="4354" spans="1:17">
      <c r="A4354" s="86" t="s">
        <v>94</v>
      </c>
      <c r="B4354" s="86" t="s">
        <v>95</v>
      </c>
      <c r="C4354" s="86" t="s">
        <v>96</v>
      </c>
      <c r="D4354" s="86" t="s">
        <v>97</v>
      </c>
      <c r="E4354" s="148" t="s">
        <v>98</v>
      </c>
      <c r="F4354" s="92" t="s">
        <v>99</v>
      </c>
      <c r="G4354" s="149" t="s">
        <v>100</v>
      </c>
      <c r="H4354" s="86" t="s">
        <v>101</v>
      </c>
      <c r="I4354" s="92" t="s">
        <v>93</v>
      </c>
      <c r="J4354" s="92" t="s">
        <v>102</v>
      </c>
    </row>
    <row r="4355" spans="1:17" ht="13.5" customHeight="1">
      <c r="A4355" s="332" t="s">
        <v>412</v>
      </c>
      <c r="B4355" s="380" t="s">
        <v>615</v>
      </c>
      <c r="C4355" s="380"/>
      <c r="D4355" s="332" t="s">
        <v>616</v>
      </c>
      <c r="E4355" s="333">
        <v>201601</v>
      </c>
      <c r="F4355" s="20">
        <v>-9.1999999999999993</v>
      </c>
      <c r="G4355" s="332">
        <v>3</v>
      </c>
      <c r="H4355" s="381">
        <v>3.0917000000000002E-3</v>
      </c>
      <c r="I4355" s="334">
        <v>-0.09</v>
      </c>
      <c r="J4355" s="334">
        <v>-0.34</v>
      </c>
      <c r="Q4355" s="101" t="e">
        <f>IF(E4355&lt;=$Q$1,$S$5,#REF!)</f>
        <v>#REF!</v>
      </c>
    </row>
    <row r="4356" spans="1:17" ht="13.5" customHeight="1">
      <c r="A4356" s="332" t="s">
        <v>412</v>
      </c>
      <c r="B4356" s="333" t="s">
        <v>615</v>
      </c>
      <c r="C4356" s="333"/>
      <c r="D4356" s="332" t="s">
        <v>616</v>
      </c>
      <c r="E4356" s="333">
        <v>201602</v>
      </c>
      <c r="F4356" s="334">
        <v>-684.69</v>
      </c>
      <c r="G4356" s="332">
        <v>2</v>
      </c>
      <c r="H4356" s="381">
        <v>3.0917000000000002E-3</v>
      </c>
      <c r="I4356" s="334">
        <v>-4.2300000000000004</v>
      </c>
      <c r="J4356" s="334">
        <v>-25.4</v>
      </c>
    </row>
    <row r="4357" spans="1:17" ht="13.5" customHeight="1">
      <c r="A4357" s="332" t="s">
        <v>412</v>
      </c>
      <c r="B4357" s="333" t="s">
        <v>615</v>
      </c>
      <c r="C4357" s="333"/>
      <c r="D4357" s="332" t="s">
        <v>468</v>
      </c>
      <c r="E4357" s="333">
        <v>201603</v>
      </c>
      <c r="F4357" s="334">
        <v>-252.76</v>
      </c>
      <c r="G4357" s="332">
        <v>13.5</v>
      </c>
      <c r="H4357" s="381">
        <v>3.0917000000000002E-3</v>
      </c>
      <c r="I4357" s="334">
        <v>-10.55</v>
      </c>
      <c r="J4357" s="334">
        <v>-9.3800000000000008</v>
      </c>
    </row>
    <row r="4358" spans="1:17" s="559" customFormat="1" ht="13.5" customHeight="1">
      <c r="A4358" s="521"/>
      <c r="B4358" s="487"/>
      <c r="C4358" s="487"/>
      <c r="D4358" s="488"/>
      <c r="E4358" s="487"/>
      <c r="F4358" s="489"/>
      <c r="G4358" s="521"/>
      <c r="H4358" s="486"/>
      <c r="I4358" s="491"/>
      <c r="J4358" s="448"/>
    </row>
    <row r="4359" spans="1:17" s="559" customFormat="1" ht="13.5" customHeight="1">
      <c r="A4359" s="521"/>
      <c r="B4359" s="487"/>
      <c r="C4359" s="487"/>
      <c r="D4359" s="488"/>
      <c r="E4359" s="487"/>
      <c r="F4359" s="489"/>
      <c r="G4359" s="521"/>
      <c r="H4359" s="486"/>
      <c r="I4359" s="491"/>
      <c r="J4359" s="448"/>
    </row>
    <row r="4360" spans="1:17" s="559" customFormat="1" ht="13.5" customHeight="1">
      <c r="A4360" s="521"/>
      <c r="B4360" s="487"/>
      <c r="C4360" s="487"/>
      <c r="D4360" s="488"/>
      <c r="E4360" s="487"/>
      <c r="F4360" s="489"/>
      <c r="G4360" s="521"/>
      <c r="H4360" s="486"/>
      <c r="I4360" s="491"/>
      <c r="J4360" s="448"/>
    </row>
    <row r="4361" spans="1:17" s="559" customFormat="1" ht="13.5" customHeight="1">
      <c r="A4361" s="521"/>
      <c r="B4361" s="487"/>
      <c r="C4361" s="487"/>
      <c r="D4361" s="488"/>
      <c r="E4361" s="487"/>
      <c r="F4361" s="489"/>
      <c r="G4361" s="521"/>
      <c r="H4361" s="486"/>
      <c r="I4361" s="491"/>
      <c r="J4361" s="448"/>
    </row>
    <row r="4362" spans="1:17" s="559" customFormat="1" ht="13.5" customHeight="1">
      <c r="A4362" s="521"/>
      <c r="B4362" s="487"/>
      <c r="C4362" s="487"/>
      <c r="D4362" s="488"/>
      <c r="E4362" s="487"/>
      <c r="F4362" s="489"/>
      <c r="G4362" s="521"/>
      <c r="H4362" s="486"/>
      <c r="I4362" s="491"/>
      <c r="J4362" s="448"/>
    </row>
    <row r="4363" spans="1:17" s="559" customFormat="1" ht="13.5" customHeight="1">
      <c r="A4363" s="579" t="s">
        <v>412</v>
      </c>
      <c r="B4363" s="583" t="s">
        <v>743</v>
      </c>
      <c r="C4363" s="583"/>
      <c r="D4363" s="584" t="s">
        <v>740</v>
      </c>
      <c r="E4363" s="585">
        <v>201502</v>
      </c>
      <c r="F4363" s="586"/>
      <c r="G4363" s="578">
        <v>3</v>
      </c>
      <c r="H4363" s="582">
        <v>3.0917000000000002E-3</v>
      </c>
      <c r="I4363" s="580">
        <v>0</v>
      </c>
      <c r="J4363" s="581">
        <v>0</v>
      </c>
    </row>
    <row r="4364" spans="1:17" s="559" customFormat="1" ht="13.5" customHeight="1">
      <c r="A4364" s="560"/>
      <c r="B4364" s="562"/>
      <c r="C4364" s="562"/>
      <c r="D4364" s="563"/>
      <c r="E4364" s="568"/>
      <c r="F4364" s="564"/>
      <c r="G4364" s="561"/>
      <c r="H4364" s="567"/>
      <c r="I4364" s="565"/>
      <c r="J4364" s="566"/>
    </row>
    <row r="4365" spans="1:17" ht="17.25" customHeight="1">
      <c r="A4365" s="108"/>
      <c r="B4365" s="133"/>
      <c r="C4365" s="133"/>
      <c r="D4365" s="134"/>
      <c r="E4365" s="172"/>
      <c r="F4365" s="135"/>
      <c r="G4365" s="126"/>
      <c r="H4365" s="168"/>
      <c r="I4365" s="157"/>
      <c r="J4365" s="158"/>
      <c r="Q4365" s="101">
        <f>IF(E4365&lt;=$Q$1,$S$5,#REF!)</f>
        <v>2015</v>
      </c>
    </row>
    <row r="4366" spans="1:17">
      <c r="A4366" s="114"/>
      <c r="B4366" s="114"/>
      <c r="C4366" s="114"/>
      <c r="D4366" s="114"/>
      <c r="E4366" s="164"/>
      <c r="F4366" s="103"/>
      <c r="G4366" s="166"/>
      <c r="H4366" s="132"/>
      <c r="I4366" s="103"/>
      <c r="J4366" s="103"/>
    </row>
    <row r="4367" spans="1:17" ht="13.5" thickBot="1">
      <c r="A4367" s="102"/>
      <c r="B4367" s="102"/>
      <c r="C4367" s="102"/>
      <c r="E4367" s="73" t="s">
        <v>107</v>
      </c>
      <c r="F4367" s="130">
        <f>SUM(F4355:F4366)</f>
        <v>-946.65000000000009</v>
      </c>
      <c r="I4367" s="130">
        <f>SUM(I4355:I4366)</f>
        <v>-14.870000000000001</v>
      </c>
      <c r="J4367" s="130">
        <f>SUM(J4355:J4366)</f>
        <v>-35.119999999999997</v>
      </c>
    </row>
    <row r="4368" spans="1:17" ht="13.5" thickTop="1">
      <c r="A4368" s="102"/>
      <c r="B4368" s="102"/>
      <c r="C4368" s="102"/>
      <c r="F4368" s="123"/>
      <c r="I4368" s="123"/>
      <c r="J4368" s="123"/>
    </row>
    <row r="4369" spans="1:17">
      <c r="A4369" s="102"/>
      <c r="B4369" s="102"/>
      <c r="C4369" s="102"/>
      <c r="F4369" s="123"/>
      <c r="I4369" s="123"/>
      <c r="J4369" s="123"/>
    </row>
    <row r="4370" spans="1:17" ht="13.5" thickBot="1">
      <c r="A4370" s="95" t="s">
        <v>112</v>
      </c>
      <c r="B4370" s="102"/>
      <c r="C4370" s="102"/>
      <c r="F4370" s="130">
        <f>+F4349+F4367</f>
        <v>-946.65000000000009</v>
      </c>
      <c r="I4370" s="130">
        <f>+I4349+I4367</f>
        <v>-14.870000000000001</v>
      </c>
      <c r="J4370" s="130">
        <f>+J4349+J4367</f>
        <v>-35.119999999999997</v>
      </c>
    </row>
    <row r="4371" spans="1:17" ht="13.5" thickTop="1">
      <c r="A4371" s="102"/>
      <c r="B4371" s="102"/>
      <c r="C4371" s="102"/>
      <c r="F4371" s="123"/>
      <c r="I4371" s="123"/>
      <c r="J4371" s="123"/>
    </row>
    <row r="4372" spans="1:17">
      <c r="A4372" s="69" t="s">
        <v>113</v>
      </c>
    </row>
    <row r="4374" spans="1:17">
      <c r="A4374" s="81" t="s">
        <v>86</v>
      </c>
      <c r="B4374" s="81" t="s">
        <v>87</v>
      </c>
      <c r="C4374" s="81" t="s">
        <v>88</v>
      </c>
      <c r="D4374" s="81"/>
      <c r="E4374" s="146" t="s">
        <v>89</v>
      </c>
      <c r="F4374" s="90" t="s">
        <v>90</v>
      </c>
      <c r="G4374" s="147"/>
      <c r="H4374" s="81" t="s">
        <v>91</v>
      </c>
      <c r="I4374" s="90" t="s">
        <v>92</v>
      </c>
      <c r="J4374" s="90" t="s">
        <v>93</v>
      </c>
    </row>
    <row r="4375" spans="1:17">
      <c r="A4375" s="86" t="s">
        <v>94</v>
      </c>
      <c r="B4375" s="86" t="s">
        <v>95</v>
      </c>
      <c r="C4375" s="86" t="s">
        <v>96</v>
      </c>
      <c r="D4375" s="86" t="s">
        <v>97</v>
      </c>
      <c r="E4375" s="148" t="s">
        <v>98</v>
      </c>
      <c r="F4375" s="92" t="s">
        <v>99</v>
      </c>
      <c r="G4375" s="149" t="s">
        <v>100</v>
      </c>
      <c r="H4375" s="86" t="s">
        <v>101</v>
      </c>
      <c r="I4375" s="92" t="s">
        <v>93</v>
      </c>
      <c r="J4375" s="92" t="s">
        <v>102</v>
      </c>
    </row>
    <row r="4376" spans="1:17" ht="15">
      <c r="A4376" s="332" t="s">
        <v>318</v>
      </c>
      <c r="B4376" s="333" t="s">
        <v>705</v>
      </c>
      <c r="C4376" s="424" t="s">
        <v>331</v>
      </c>
      <c r="D4376" s="332" t="s">
        <v>1086</v>
      </c>
      <c r="E4376" s="333">
        <v>201601</v>
      </c>
      <c r="F4376" s="334">
        <v>953.66</v>
      </c>
      <c r="G4376" s="332">
        <v>3</v>
      </c>
      <c r="H4376" s="381">
        <v>1.3083000000000001E-3</v>
      </c>
      <c r="I4376" s="334">
        <v>3.74</v>
      </c>
      <c r="J4376" s="334">
        <v>14.97</v>
      </c>
      <c r="Q4376" s="101" t="e">
        <f>IF(E4376&lt;=$Q$1,$S$5,#REF!)</f>
        <v>#REF!</v>
      </c>
    </row>
    <row r="4377" spans="1:17" ht="15">
      <c r="A4377" s="521" t="s">
        <v>318</v>
      </c>
      <c r="B4377" s="522" t="s">
        <v>706</v>
      </c>
      <c r="C4377" s="424" t="s">
        <v>343</v>
      </c>
      <c r="D4377" s="521" t="s">
        <v>707</v>
      </c>
      <c r="E4377" s="522">
        <v>201601</v>
      </c>
      <c r="F4377" s="523">
        <v>-37.99</v>
      </c>
      <c r="G4377" s="521">
        <v>3</v>
      </c>
      <c r="H4377" s="524">
        <v>1.3083000000000001E-3</v>
      </c>
      <c r="I4377" s="334">
        <v>-0.15</v>
      </c>
      <c r="J4377" s="334">
        <v>-0.6</v>
      </c>
    </row>
    <row r="4378" spans="1:17" ht="15">
      <c r="A4378" s="521" t="s">
        <v>322</v>
      </c>
      <c r="B4378" s="522" t="s">
        <v>708</v>
      </c>
      <c r="C4378" s="424" t="s">
        <v>331</v>
      </c>
      <c r="D4378" s="521" t="s">
        <v>709</v>
      </c>
      <c r="E4378" s="522">
        <v>201601</v>
      </c>
      <c r="F4378" s="523">
        <v>7626.49</v>
      </c>
      <c r="G4378" s="521">
        <v>3</v>
      </c>
      <c r="H4378" s="524">
        <v>1.1999999999999999E-3</v>
      </c>
      <c r="I4378" s="334">
        <v>27.46</v>
      </c>
      <c r="J4378" s="334">
        <v>109.82</v>
      </c>
    </row>
    <row r="4379" spans="1:17">
      <c r="A4379" s="332" t="s">
        <v>318</v>
      </c>
      <c r="B4379" s="333" t="s">
        <v>708</v>
      </c>
      <c r="C4379" s="423" t="s">
        <v>331</v>
      </c>
      <c r="D4379" s="332" t="s">
        <v>709</v>
      </c>
      <c r="E4379" s="333">
        <v>201601</v>
      </c>
      <c r="F4379" s="334">
        <v>50325.45</v>
      </c>
      <c r="G4379" s="332">
        <v>3</v>
      </c>
      <c r="H4379" s="381">
        <v>1.3083000000000001E-3</v>
      </c>
      <c r="I4379" s="334">
        <v>197.52</v>
      </c>
      <c r="J4379" s="334">
        <v>790.09</v>
      </c>
    </row>
    <row r="4380" spans="1:17" s="559" customFormat="1">
      <c r="A4380" s="521" t="s">
        <v>322</v>
      </c>
      <c r="B4380" s="522" t="s">
        <v>717</v>
      </c>
      <c r="C4380" s="423" t="s">
        <v>331</v>
      </c>
      <c r="D4380" s="521" t="s">
        <v>718</v>
      </c>
      <c r="E4380" s="522">
        <v>201601</v>
      </c>
      <c r="F4380" s="523">
        <v>1127.24</v>
      </c>
      <c r="G4380" s="521">
        <v>3</v>
      </c>
      <c r="H4380" s="524">
        <v>1.1999999999999999E-3</v>
      </c>
      <c r="I4380" s="523">
        <v>4.0599999999999996</v>
      </c>
      <c r="J4380" s="523">
        <v>16.23</v>
      </c>
    </row>
    <row r="4381" spans="1:17" s="559" customFormat="1">
      <c r="A4381" s="521" t="s">
        <v>318</v>
      </c>
      <c r="B4381" s="522" t="s">
        <v>717</v>
      </c>
      <c r="C4381" s="423" t="s">
        <v>331</v>
      </c>
      <c r="D4381" s="521" t="s">
        <v>718</v>
      </c>
      <c r="E4381" s="522">
        <v>201601</v>
      </c>
      <c r="F4381" s="523">
        <v>8154.02</v>
      </c>
      <c r="G4381" s="521">
        <v>3</v>
      </c>
      <c r="H4381" s="524">
        <v>1.3083000000000001E-3</v>
      </c>
      <c r="I4381" s="523">
        <v>32</v>
      </c>
      <c r="J4381" s="523">
        <v>128.01</v>
      </c>
    </row>
    <row r="4382" spans="1:17" s="559" customFormat="1">
      <c r="A4382" s="521" t="s">
        <v>322</v>
      </c>
      <c r="B4382" s="522" t="s">
        <v>717</v>
      </c>
      <c r="C4382" s="423" t="s">
        <v>331</v>
      </c>
      <c r="D4382" s="521" t="s">
        <v>718</v>
      </c>
      <c r="E4382" s="522">
        <v>201601</v>
      </c>
      <c r="F4382" s="523">
        <v>19.75</v>
      </c>
      <c r="G4382" s="521">
        <v>3</v>
      </c>
      <c r="H4382" s="524">
        <v>1.1999999999999999E-3</v>
      </c>
      <c r="I4382" s="523">
        <v>7.0000000000000007E-2</v>
      </c>
      <c r="J4382" s="523">
        <v>0.28000000000000003</v>
      </c>
    </row>
    <row r="4383" spans="1:17" s="559" customFormat="1">
      <c r="A4383" s="521" t="s">
        <v>318</v>
      </c>
      <c r="B4383" s="522" t="s">
        <v>617</v>
      </c>
      <c r="C4383" s="423" t="s">
        <v>331</v>
      </c>
      <c r="D4383" s="521" t="s">
        <v>618</v>
      </c>
      <c r="E4383" s="522">
        <v>201601</v>
      </c>
      <c r="F4383" s="523">
        <v>-0.35</v>
      </c>
      <c r="G4383" s="521">
        <v>3</v>
      </c>
      <c r="H4383" s="524">
        <v>1.3083000000000001E-3</v>
      </c>
      <c r="I4383" s="523">
        <v>0</v>
      </c>
      <c r="J4383" s="523">
        <v>-0.01</v>
      </c>
    </row>
    <row r="4384" spans="1:17" s="559" customFormat="1">
      <c r="A4384" s="521" t="s">
        <v>322</v>
      </c>
      <c r="B4384" s="522" t="s">
        <v>617</v>
      </c>
      <c r="C4384" s="423" t="s">
        <v>331</v>
      </c>
      <c r="D4384" s="521" t="s">
        <v>618</v>
      </c>
      <c r="E4384" s="522">
        <v>201601</v>
      </c>
      <c r="F4384" s="523">
        <v>-0.16</v>
      </c>
      <c r="G4384" s="521">
        <v>3</v>
      </c>
      <c r="H4384" s="524">
        <v>1.1999999999999999E-3</v>
      </c>
      <c r="I4384" s="523">
        <v>0</v>
      </c>
      <c r="J4384" s="523">
        <v>0</v>
      </c>
    </row>
    <row r="4385" spans="1:10" s="559" customFormat="1">
      <c r="A4385" s="521" t="s">
        <v>318</v>
      </c>
      <c r="B4385" s="522" t="s">
        <v>719</v>
      </c>
      <c r="C4385" s="423" t="s">
        <v>331</v>
      </c>
      <c r="D4385" s="521" t="s">
        <v>720</v>
      </c>
      <c r="E4385" s="522">
        <v>201601</v>
      </c>
      <c r="F4385" s="523">
        <v>95.84</v>
      </c>
      <c r="G4385" s="521">
        <v>3</v>
      </c>
      <c r="H4385" s="524">
        <v>1.3083000000000001E-3</v>
      </c>
      <c r="I4385" s="523">
        <v>0.38</v>
      </c>
      <c r="J4385" s="523">
        <v>1.5</v>
      </c>
    </row>
    <row r="4386" spans="1:10" s="559" customFormat="1">
      <c r="A4386" s="521" t="s">
        <v>318</v>
      </c>
      <c r="B4386" s="522" t="s">
        <v>719</v>
      </c>
      <c r="C4386" s="423" t="s">
        <v>331</v>
      </c>
      <c r="D4386" s="521" t="s">
        <v>720</v>
      </c>
      <c r="E4386" s="522">
        <v>201601</v>
      </c>
      <c r="F4386" s="523">
        <v>-30.29</v>
      </c>
      <c r="G4386" s="521">
        <v>3</v>
      </c>
      <c r="H4386" s="524">
        <v>1.3083000000000001E-3</v>
      </c>
      <c r="I4386" s="523">
        <v>-0.12</v>
      </c>
      <c r="J4386" s="523">
        <v>-0.48</v>
      </c>
    </row>
    <row r="4387" spans="1:10" s="559" customFormat="1">
      <c r="A4387" s="521" t="s">
        <v>322</v>
      </c>
      <c r="B4387" s="522" t="s">
        <v>621</v>
      </c>
      <c r="C4387" s="423" t="s">
        <v>331</v>
      </c>
      <c r="D4387" s="521" t="s">
        <v>622</v>
      </c>
      <c r="E4387" s="522">
        <v>201601</v>
      </c>
      <c r="F4387" s="523">
        <v>-29690.54</v>
      </c>
      <c r="G4387" s="521">
        <v>3</v>
      </c>
      <c r="H4387" s="524">
        <v>1.1999999999999999E-3</v>
      </c>
      <c r="I4387" s="523">
        <v>-106.89</v>
      </c>
      <c r="J4387" s="523">
        <v>-427.54</v>
      </c>
    </row>
    <row r="4388" spans="1:10" s="559" customFormat="1">
      <c r="A4388" s="521" t="s">
        <v>318</v>
      </c>
      <c r="B4388" s="522" t="s">
        <v>621</v>
      </c>
      <c r="C4388" s="423" t="s">
        <v>331</v>
      </c>
      <c r="D4388" s="521" t="s">
        <v>622</v>
      </c>
      <c r="E4388" s="522">
        <v>201601</v>
      </c>
      <c r="F4388" s="523">
        <v>13694.04</v>
      </c>
      <c r="G4388" s="521">
        <v>3</v>
      </c>
      <c r="H4388" s="524">
        <v>1.3083000000000001E-3</v>
      </c>
      <c r="I4388" s="523">
        <v>53.75</v>
      </c>
      <c r="J4388" s="523">
        <v>214.99</v>
      </c>
    </row>
    <row r="4389" spans="1:10" s="559" customFormat="1">
      <c r="A4389" s="521" t="s">
        <v>322</v>
      </c>
      <c r="B4389" s="522" t="s">
        <v>621</v>
      </c>
      <c r="C4389" s="423" t="s">
        <v>331</v>
      </c>
      <c r="D4389" s="521" t="s">
        <v>622</v>
      </c>
      <c r="E4389" s="522">
        <v>201601</v>
      </c>
      <c r="F4389" s="523">
        <v>-351.39</v>
      </c>
      <c r="G4389" s="521">
        <v>3</v>
      </c>
      <c r="H4389" s="524">
        <v>1.1999999999999999E-3</v>
      </c>
      <c r="I4389" s="523">
        <v>-1.27</v>
      </c>
      <c r="J4389" s="523">
        <v>-5.0599999999999996</v>
      </c>
    </row>
    <row r="4390" spans="1:10" s="559" customFormat="1">
      <c r="A4390" s="521" t="s">
        <v>322</v>
      </c>
      <c r="B4390" s="522" t="s">
        <v>721</v>
      </c>
      <c r="C4390" s="423" t="s">
        <v>331</v>
      </c>
      <c r="D4390" s="521" t="s">
        <v>722</v>
      </c>
      <c r="E4390" s="522">
        <v>201601</v>
      </c>
      <c r="F4390" s="523">
        <v>26944.95</v>
      </c>
      <c r="G4390" s="521">
        <v>3</v>
      </c>
      <c r="H4390" s="524">
        <v>1.1999999999999999E-3</v>
      </c>
      <c r="I4390" s="523">
        <v>97</v>
      </c>
      <c r="J4390" s="523">
        <v>388.01</v>
      </c>
    </row>
    <row r="4391" spans="1:10" s="559" customFormat="1">
      <c r="A4391" s="521" t="s">
        <v>318</v>
      </c>
      <c r="B4391" s="522" t="s">
        <v>721</v>
      </c>
      <c r="C4391" s="423" t="s">
        <v>331</v>
      </c>
      <c r="D4391" s="521" t="s">
        <v>722</v>
      </c>
      <c r="E4391" s="522">
        <v>201601</v>
      </c>
      <c r="F4391" s="523">
        <v>-26742.17</v>
      </c>
      <c r="G4391" s="521">
        <v>3</v>
      </c>
      <c r="H4391" s="524">
        <v>1.3083000000000001E-3</v>
      </c>
      <c r="I4391" s="523">
        <v>-104.96</v>
      </c>
      <c r="J4391" s="523">
        <v>-419.84</v>
      </c>
    </row>
    <row r="4392" spans="1:10" s="559" customFormat="1">
      <c r="A4392" s="521" t="s">
        <v>322</v>
      </c>
      <c r="B4392" s="522" t="s">
        <v>723</v>
      </c>
      <c r="C4392" s="423" t="s">
        <v>331</v>
      </c>
      <c r="D4392" s="521" t="s">
        <v>724</v>
      </c>
      <c r="E4392" s="522">
        <v>201601</v>
      </c>
      <c r="F4392" s="523">
        <v>1.39</v>
      </c>
      <c r="G4392" s="521">
        <v>3</v>
      </c>
      <c r="H4392" s="524">
        <v>1.1999999999999999E-3</v>
      </c>
      <c r="I4392" s="523">
        <v>0.01</v>
      </c>
      <c r="J4392" s="523">
        <v>0.02</v>
      </c>
    </row>
    <row r="4393" spans="1:10" s="559" customFormat="1">
      <c r="A4393" s="521" t="s">
        <v>322</v>
      </c>
      <c r="B4393" s="522" t="s">
        <v>723</v>
      </c>
      <c r="C4393" s="423" t="s">
        <v>331</v>
      </c>
      <c r="D4393" s="521" t="s">
        <v>724</v>
      </c>
      <c r="E4393" s="522">
        <v>201601</v>
      </c>
      <c r="F4393" s="523">
        <v>7.0000000000000007E-2</v>
      </c>
      <c r="G4393" s="521">
        <v>3</v>
      </c>
      <c r="H4393" s="524">
        <v>1.1999999999999999E-3</v>
      </c>
      <c r="I4393" s="523">
        <v>0</v>
      </c>
      <c r="J4393" s="523">
        <v>0</v>
      </c>
    </row>
    <row r="4394" spans="1:10" s="559" customFormat="1">
      <c r="A4394" s="521" t="s">
        <v>318</v>
      </c>
      <c r="B4394" s="522" t="s">
        <v>623</v>
      </c>
      <c r="C4394" s="423" t="s">
        <v>331</v>
      </c>
      <c r="D4394" s="521" t="s">
        <v>624</v>
      </c>
      <c r="E4394" s="522">
        <v>201601</v>
      </c>
      <c r="F4394" s="523">
        <v>20292.21</v>
      </c>
      <c r="G4394" s="521">
        <v>3</v>
      </c>
      <c r="H4394" s="524">
        <v>1.3083000000000001E-3</v>
      </c>
      <c r="I4394" s="523">
        <v>79.64</v>
      </c>
      <c r="J4394" s="523">
        <v>318.58</v>
      </c>
    </row>
    <row r="4395" spans="1:10" s="559" customFormat="1">
      <c r="A4395" s="521" t="s">
        <v>318</v>
      </c>
      <c r="B4395" s="522" t="s">
        <v>710</v>
      </c>
      <c r="C4395" s="423" t="s">
        <v>439</v>
      </c>
      <c r="D4395" s="521" t="s">
        <v>711</v>
      </c>
      <c r="E4395" s="522">
        <v>201601</v>
      </c>
      <c r="F4395" s="523">
        <v>546.13</v>
      </c>
      <c r="G4395" s="521">
        <v>3</v>
      </c>
      <c r="H4395" s="524">
        <v>1.3083000000000001E-3</v>
      </c>
      <c r="I4395" s="523">
        <v>2.14</v>
      </c>
      <c r="J4395" s="523">
        <v>8.57</v>
      </c>
    </row>
    <row r="4396" spans="1:10" s="559" customFormat="1">
      <c r="A4396" s="521" t="s">
        <v>318</v>
      </c>
      <c r="B4396" s="522" t="s">
        <v>710</v>
      </c>
      <c r="C4396" s="423" t="s">
        <v>439</v>
      </c>
      <c r="D4396" s="521" t="s">
        <v>711</v>
      </c>
      <c r="E4396" s="522">
        <v>201601</v>
      </c>
      <c r="F4396" s="523">
        <v>30.53</v>
      </c>
      <c r="G4396" s="521">
        <v>3</v>
      </c>
      <c r="H4396" s="524">
        <v>1.3083000000000001E-3</v>
      </c>
      <c r="I4396" s="523">
        <v>0.12</v>
      </c>
      <c r="J4396" s="523">
        <v>0.48</v>
      </c>
    </row>
    <row r="4397" spans="1:10" s="559" customFormat="1">
      <c r="A4397" s="521" t="s">
        <v>322</v>
      </c>
      <c r="B4397" s="522" t="s">
        <v>712</v>
      </c>
      <c r="C4397" s="423" t="s">
        <v>331</v>
      </c>
      <c r="D4397" s="521" t="s">
        <v>713</v>
      </c>
      <c r="E4397" s="522">
        <v>201601</v>
      </c>
      <c r="F4397" s="523">
        <v>-2176.04</v>
      </c>
      <c r="G4397" s="521">
        <v>3</v>
      </c>
      <c r="H4397" s="524">
        <v>1.1999999999999999E-3</v>
      </c>
      <c r="I4397" s="523">
        <v>-7.83</v>
      </c>
      <c r="J4397" s="523">
        <v>-31.33</v>
      </c>
    </row>
    <row r="4398" spans="1:10" s="559" customFormat="1">
      <c r="A4398" s="521" t="s">
        <v>318</v>
      </c>
      <c r="B4398" s="522" t="s">
        <v>712</v>
      </c>
      <c r="C4398" s="423" t="s">
        <v>331</v>
      </c>
      <c r="D4398" s="521" t="s">
        <v>713</v>
      </c>
      <c r="E4398" s="522">
        <v>201601</v>
      </c>
      <c r="F4398" s="523">
        <v>-3284.71</v>
      </c>
      <c r="G4398" s="521">
        <v>3</v>
      </c>
      <c r="H4398" s="524">
        <v>1.3083000000000001E-3</v>
      </c>
      <c r="I4398" s="523">
        <v>-12.89</v>
      </c>
      <c r="J4398" s="523">
        <v>-51.57</v>
      </c>
    </row>
    <row r="4399" spans="1:10" s="559" customFormat="1">
      <c r="A4399" s="521" t="s">
        <v>318</v>
      </c>
      <c r="B4399" s="522" t="s">
        <v>712</v>
      </c>
      <c r="C4399" s="423" t="s">
        <v>331</v>
      </c>
      <c r="D4399" s="521" t="s">
        <v>713</v>
      </c>
      <c r="E4399" s="522">
        <v>201601</v>
      </c>
      <c r="F4399" s="523">
        <v>-73.599999999999994</v>
      </c>
      <c r="G4399" s="521">
        <v>3</v>
      </c>
      <c r="H4399" s="524">
        <v>1.3083000000000001E-3</v>
      </c>
      <c r="I4399" s="523">
        <v>-0.28999999999999998</v>
      </c>
      <c r="J4399" s="523">
        <v>-1.1599999999999999</v>
      </c>
    </row>
    <row r="4400" spans="1:10" s="559" customFormat="1">
      <c r="A4400" s="521" t="s">
        <v>318</v>
      </c>
      <c r="B4400" s="522" t="s">
        <v>625</v>
      </c>
      <c r="C4400" s="423" t="s">
        <v>331</v>
      </c>
      <c r="D4400" s="521" t="s">
        <v>626</v>
      </c>
      <c r="E4400" s="522">
        <v>201601</v>
      </c>
      <c r="F4400" s="523">
        <v>3.95</v>
      </c>
      <c r="G4400" s="521">
        <v>3</v>
      </c>
      <c r="H4400" s="524">
        <v>1.3083000000000001E-3</v>
      </c>
      <c r="I4400" s="523">
        <v>0.02</v>
      </c>
      <c r="J4400" s="523">
        <v>0.06</v>
      </c>
    </row>
    <row r="4401" spans="1:10" s="559" customFormat="1">
      <c r="A4401" s="521" t="s">
        <v>318</v>
      </c>
      <c r="B4401" s="522" t="s">
        <v>625</v>
      </c>
      <c r="C4401" s="423" t="s">
        <v>331</v>
      </c>
      <c r="D4401" s="521" t="s">
        <v>626</v>
      </c>
      <c r="E4401" s="522">
        <v>201601</v>
      </c>
      <c r="F4401" s="523">
        <v>0.18</v>
      </c>
      <c r="G4401" s="521">
        <v>3</v>
      </c>
      <c r="H4401" s="524">
        <v>1.3083000000000001E-3</v>
      </c>
      <c r="I4401" s="523">
        <v>0</v>
      </c>
      <c r="J4401" s="523">
        <v>0</v>
      </c>
    </row>
    <row r="4402" spans="1:10" s="559" customFormat="1">
      <c r="A4402" s="521" t="s">
        <v>318</v>
      </c>
      <c r="B4402" s="522" t="s">
        <v>796</v>
      </c>
      <c r="C4402" s="423" t="s">
        <v>331</v>
      </c>
      <c r="D4402" s="521" t="s">
        <v>797</v>
      </c>
      <c r="E4402" s="522">
        <v>201601</v>
      </c>
      <c r="F4402" s="523">
        <v>21424.720000000001</v>
      </c>
      <c r="G4402" s="521">
        <v>3</v>
      </c>
      <c r="H4402" s="524">
        <v>1.3083000000000001E-3</v>
      </c>
      <c r="I4402" s="523">
        <v>84.09</v>
      </c>
      <c r="J4402" s="523">
        <v>336.36</v>
      </c>
    </row>
    <row r="4403" spans="1:10" s="559" customFormat="1">
      <c r="A4403" s="521" t="s">
        <v>318</v>
      </c>
      <c r="B4403" s="522" t="s">
        <v>796</v>
      </c>
      <c r="C4403" s="423" t="s">
        <v>331</v>
      </c>
      <c r="D4403" s="521" t="s">
        <v>797</v>
      </c>
      <c r="E4403" s="522">
        <v>201601</v>
      </c>
      <c r="F4403" s="523">
        <v>401.21</v>
      </c>
      <c r="G4403" s="521">
        <v>3</v>
      </c>
      <c r="H4403" s="524">
        <v>1.3083000000000001E-3</v>
      </c>
      <c r="I4403" s="523">
        <v>1.57</v>
      </c>
      <c r="J4403" s="523">
        <v>6.3</v>
      </c>
    </row>
    <row r="4404" spans="1:10" s="559" customFormat="1">
      <c r="A4404" s="521" t="s">
        <v>318</v>
      </c>
      <c r="B4404" s="522" t="s">
        <v>794</v>
      </c>
      <c r="C4404" s="423" t="s">
        <v>331</v>
      </c>
      <c r="D4404" s="521" t="s">
        <v>795</v>
      </c>
      <c r="E4404" s="522">
        <v>201601</v>
      </c>
      <c r="F4404" s="523">
        <v>57944.89</v>
      </c>
      <c r="G4404" s="521">
        <v>3</v>
      </c>
      <c r="H4404" s="524">
        <v>1.3083000000000001E-3</v>
      </c>
      <c r="I4404" s="523">
        <v>227.43</v>
      </c>
      <c r="J4404" s="523">
        <v>909.71</v>
      </c>
    </row>
    <row r="4405" spans="1:10" s="559" customFormat="1">
      <c r="A4405" s="521"/>
      <c r="B4405" s="522"/>
      <c r="C4405" s="423"/>
      <c r="D4405" s="521"/>
      <c r="E4405" s="522"/>
      <c r="F4405" s="523"/>
      <c r="G4405" s="521"/>
      <c r="H4405" s="524"/>
      <c r="I4405" s="523"/>
      <c r="J4405" s="523"/>
    </row>
    <row r="4406" spans="1:10" s="559" customFormat="1">
      <c r="A4406" s="521" t="s">
        <v>318</v>
      </c>
      <c r="B4406" s="522" t="s">
        <v>727</v>
      </c>
      <c r="C4406" s="423" t="s">
        <v>343</v>
      </c>
      <c r="D4406" s="521" t="s">
        <v>728</v>
      </c>
      <c r="E4406" s="522">
        <v>201601</v>
      </c>
      <c r="F4406" s="523">
        <v>-30.93</v>
      </c>
      <c r="G4406" s="521">
        <v>3</v>
      </c>
      <c r="H4406" s="524">
        <v>1.3083000000000001E-3</v>
      </c>
      <c r="I4406" s="523">
        <v>-0.12</v>
      </c>
      <c r="J4406" s="523">
        <v>-0.49</v>
      </c>
    </row>
    <row r="4407" spans="1:10" s="559" customFormat="1">
      <c r="A4407" s="521" t="s">
        <v>318</v>
      </c>
      <c r="B4407" s="522" t="s">
        <v>729</v>
      </c>
      <c r="C4407" s="423" t="s">
        <v>331</v>
      </c>
      <c r="D4407" s="521" t="s">
        <v>730</v>
      </c>
      <c r="E4407" s="522">
        <v>201601</v>
      </c>
      <c r="F4407" s="523">
        <v>-2929.26</v>
      </c>
      <c r="G4407" s="521">
        <v>3</v>
      </c>
      <c r="H4407" s="524">
        <v>1.3083000000000001E-3</v>
      </c>
      <c r="I4407" s="523">
        <v>-11.5</v>
      </c>
      <c r="J4407" s="523">
        <v>-45.99</v>
      </c>
    </row>
    <row r="4408" spans="1:10" s="559" customFormat="1">
      <c r="A4408" s="521" t="s">
        <v>318</v>
      </c>
      <c r="B4408" s="522" t="s">
        <v>729</v>
      </c>
      <c r="C4408" s="423" t="s">
        <v>331</v>
      </c>
      <c r="D4408" s="521" t="s">
        <v>730</v>
      </c>
      <c r="E4408" s="522">
        <v>201601</v>
      </c>
      <c r="F4408" s="523">
        <v>-114.58</v>
      </c>
      <c r="G4408" s="521">
        <v>3</v>
      </c>
      <c r="H4408" s="524">
        <v>1.3083000000000001E-3</v>
      </c>
      <c r="I4408" s="523">
        <v>-0.45</v>
      </c>
      <c r="J4408" s="523">
        <v>-1.8</v>
      </c>
    </row>
    <row r="4409" spans="1:10" s="559" customFormat="1">
      <c r="A4409" s="521"/>
      <c r="B4409" s="522"/>
      <c r="C4409" s="423"/>
      <c r="D4409" s="521"/>
      <c r="E4409" s="522"/>
      <c r="F4409" s="523"/>
      <c r="G4409" s="521"/>
      <c r="H4409" s="524"/>
      <c r="I4409" s="523"/>
      <c r="J4409" s="523"/>
    </row>
    <row r="4410" spans="1:10" s="559" customFormat="1">
      <c r="A4410" s="521" t="s">
        <v>318</v>
      </c>
      <c r="B4410" s="522" t="s">
        <v>706</v>
      </c>
      <c r="C4410" s="423" t="s">
        <v>343</v>
      </c>
      <c r="D4410" s="521" t="s">
        <v>707</v>
      </c>
      <c r="E4410" s="522">
        <v>201602</v>
      </c>
      <c r="F4410" s="523">
        <v>-31.82</v>
      </c>
      <c r="G4410" s="521">
        <v>2</v>
      </c>
      <c r="H4410" s="524">
        <v>1.3083000000000001E-3</v>
      </c>
      <c r="I4410" s="523">
        <v>-0.08</v>
      </c>
      <c r="J4410" s="523">
        <v>-0.5</v>
      </c>
    </row>
    <row r="4411" spans="1:10" s="559" customFormat="1">
      <c r="A4411" s="521" t="s">
        <v>322</v>
      </c>
      <c r="B4411" s="522" t="s">
        <v>708</v>
      </c>
      <c r="C4411" s="423" t="s">
        <v>331</v>
      </c>
      <c r="D4411" s="521" t="s">
        <v>709</v>
      </c>
      <c r="E4411" s="522">
        <v>201602</v>
      </c>
      <c r="F4411" s="523">
        <v>-5202.4399999999996</v>
      </c>
      <c r="G4411" s="521">
        <v>2</v>
      </c>
      <c r="H4411" s="524">
        <v>1.1999999999999999E-3</v>
      </c>
      <c r="I4411" s="523">
        <v>-12.49</v>
      </c>
      <c r="J4411" s="523">
        <v>-74.92</v>
      </c>
    </row>
    <row r="4412" spans="1:10" s="559" customFormat="1">
      <c r="A4412" s="521" t="s">
        <v>318</v>
      </c>
      <c r="B4412" s="522" t="s">
        <v>708</v>
      </c>
      <c r="C4412" s="423" t="s">
        <v>331</v>
      </c>
      <c r="D4412" s="521" t="s">
        <v>709</v>
      </c>
      <c r="E4412" s="522">
        <v>201602</v>
      </c>
      <c r="F4412" s="523">
        <v>-34329.68</v>
      </c>
      <c r="G4412" s="521">
        <v>2</v>
      </c>
      <c r="H4412" s="524">
        <v>1.3083000000000001E-3</v>
      </c>
      <c r="I4412" s="523">
        <v>-89.83</v>
      </c>
      <c r="J4412" s="523">
        <v>-538.96</v>
      </c>
    </row>
    <row r="4413" spans="1:10" s="559" customFormat="1">
      <c r="A4413" s="521" t="s">
        <v>322</v>
      </c>
      <c r="B4413" s="522" t="s">
        <v>717</v>
      </c>
      <c r="C4413" s="423" t="s">
        <v>331</v>
      </c>
      <c r="D4413" s="521" t="s">
        <v>718</v>
      </c>
      <c r="E4413" s="522">
        <v>201602</v>
      </c>
      <c r="F4413" s="523">
        <v>-3951.52</v>
      </c>
      <c r="G4413" s="521">
        <v>2</v>
      </c>
      <c r="H4413" s="524">
        <v>1.1999999999999999E-3</v>
      </c>
      <c r="I4413" s="523">
        <v>-9.48</v>
      </c>
      <c r="J4413" s="523">
        <v>-56.9</v>
      </c>
    </row>
    <row r="4414" spans="1:10" s="559" customFormat="1">
      <c r="A4414" s="521" t="s">
        <v>322</v>
      </c>
      <c r="B4414" s="522" t="s">
        <v>717</v>
      </c>
      <c r="C4414" s="423" t="s">
        <v>331</v>
      </c>
      <c r="D4414" s="521" t="s">
        <v>718</v>
      </c>
      <c r="E4414" s="522">
        <v>201602</v>
      </c>
      <c r="F4414" s="523">
        <v>-69.209999999999994</v>
      </c>
      <c r="G4414" s="521">
        <v>2</v>
      </c>
      <c r="H4414" s="524">
        <v>1.1999999999999999E-3</v>
      </c>
      <c r="I4414" s="523">
        <v>-0.17</v>
      </c>
      <c r="J4414" s="523">
        <v>-1</v>
      </c>
    </row>
    <row r="4415" spans="1:10" s="559" customFormat="1">
      <c r="A4415" s="521" t="s">
        <v>318</v>
      </c>
      <c r="B4415" s="522" t="s">
        <v>717</v>
      </c>
      <c r="C4415" s="423" t="s">
        <v>331</v>
      </c>
      <c r="D4415" s="521" t="s">
        <v>718</v>
      </c>
      <c r="E4415" s="522">
        <v>201602</v>
      </c>
      <c r="F4415" s="523">
        <v>-28583.7</v>
      </c>
      <c r="G4415" s="521">
        <v>2</v>
      </c>
      <c r="H4415" s="524">
        <v>1.3083000000000001E-3</v>
      </c>
      <c r="I4415" s="523">
        <v>-74.790000000000006</v>
      </c>
      <c r="J4415" s="523">
        <v>-448.75</v>
      </c>
    </row>
    <row r="4416" spans="1:10" s="559" customFormat="1">
      <c r="A4416" s="521" t="s">
        <v>322</v>
      </c>
      <c r="B4416" s="522" t="s">
        <v>617</v>
      </c>
      <c r="C4416" s="423" t="s">
        <v>331</v>
      </c>
      <c r="D4416" s="521" t="s">
        <v>618</v>
      </c>
      <c r="E4416" s="522">
        <v>201602</v>
      </c>
      <c r="F4416" s="523">
        <v>-0.03</v>
      </c>
      <c r="G4416" s="521">
        <v>2</v>
      </c>
      <c r="H4416" s="524">
        <v>1.1999999999999999E-3</v>
      </c>
      <c r="I4416" s="523">
        <v>0</v>
      </c>
      <c r="J4416" s="523">
        <v>0</v>
      </c>
    </row>
    <row r="4417" spans="1:10" s="559" customFormat="1">
      <c r="A4417" s="521" t="s">
        <v>318</v>
      </c>
      <c r="B4417" s="522" t="s">
        <v>617</v>
      </c>
      <c r="C4417" s="423" t="s">
        <v>331</v>
      </c>
      <c r="D4417" s="521" t="s">
        <v>618</v>
      </c>
      <c r="E4417" s="522">
        <v>201602</v>
      </c>
      <c r="F4417" s="523">
        <v>-0.08</v>
      </c>
      <c r="G4417" s="521">
        <v>2</v>
      </c>
      <c r="H4417" s="524">
        <v>1.3083000000000001E-3</v>
      </c>
      <c r="I4417" s="523">
        <v>0</v>
      </c>
      <c r="J4417" s="523">
        <v>0</v>
      </c>
    </row>
    <row r="4418" spans="1:10" s="559" customFormat="1">
      <c r="A4418" s="521" t="s">
        <v>318</v>
      </c>
      <c r="B4418" s="522" t="s">
        <v>617</v>
      </c>
      <c r="C4418" s="423" t="s">
        <v>331</v>
      </c>
      <c r="D4418" s="521" t="s">
        <v>618</v>
      </c>
      <c r="E4418" s="522">
        <v>201602</v>
      </c>
      <c r="F4418" s="523">
        <v>-0.01</v>
      </c>
      <c r="G4418" s="521">
        <v>2</v>
      </c>
      <c r="H4418" s="524">
        <v>1.3083000000000001E-3</v>
      </c>
      <c r="I4418" s="523">
        <v>0</v>
      </c>
      <c r="J4418" s="523">
        <v>0</v>
      </c>
    </row>
    <row r="4419" spans="1:10" s="559" customFormat="1">
      <c r="A4419" s="521" t="s">
        <v>318</v>
      </c>
      <c r="B4419" s="522" t="s">
        <v>719</v>
      </c>
      <c r="C4419" s="423" t="s">
        <v>331</v>
      </c>
      <c r="D4419" s="521" t="s">
        <v>720</v>
      </c>
      <c r="E4419" s="522">
        <v>201602</v>
      </c>
      <c r="F4419" s="523">
        <v>406.5</v>
      </c>
      <c r="G4419" s="521">
        <v>2</v>
      </c>
      <c r="H4419" s="524">
        <v>1.3083000000000001E-3</v>
      </c>
      <c r="I4419" s="523">
        <v>1.06</v>
      </c>
      <c r="J4419" s="523">
        <v>6.38</v>
      </c>
    </row>
    <row r="4420" spans="1:10" s="559" customFormat="1">
      <c r="A4420" s="521" t="s">
        <v>318</v>
      </c>
      <c r="B4420" s="522" t="s">
        <v>719</v>
      </c>
      <c r="C4420" s="423" t="s">
        <v>331</v>
      </c>
      <c r="D4420" s="521" t="s">
        <v>720</v>
      </c>
      <c r="E4420" s="522">
        <v>201602</v>
      </c>
      <c r="F4420" s="523">
        <v>8.91</v>
      </c>
      <c r="G4420" s="521">
        <v>2</v>
      </c>
      <c r="H4420" s="524">
        <v>1.3083000000000001E-3</v>
      </c>
      <c r="I4420" s="523">
        <v>0.02</v>
      </c>
      <c r="J4420" s="523">
        <v>0.14000000000000001</v>
      </c>
    </row>
    <row r="4421" spans="1:10" s="559" customFormat="1">
      <c r="A4421" s="521" t="s">
        <v>318</v>
      </c>
      <c r="B4421" s="522" t="s">
        <v>829</v>
      </c>
      <c r="C4421" s="423" t="s">
        <v>331</v>
      </c>
      <c r="D4421" s="521" t="s">
        <v>1087</v>
      </c>
      <c r="E4421" s="522">
        <v>201602</v>
      </c>
      <c r="F4421" s="523">
        <v>62714.33</v>
      </c>
      <c r="G4421" s="521">
        <v>2</v>
      </c>
      <c r="H4421" s="524">
        <v>1.3083000000000001E-3</v>
      </c>
      <c r="I4421" s="523">
        <v>164.1</v>
      </c>
      <c r="J4421" s="523">
        <v>984.59</v>
      </c>
    </row>
    <row r="4422" spans="1:10" s="559" customFormat="1">
      <c r="A4422" s="521" t="s">
        <v>318</v>
      </c>
      <c r="B4422" s="522" t="s">
        <v>829</v>
      </c>
      <c r="C4422" s="423" t="s">
        <v>331</v>
      </c>
      <c r="D4422" s="521" t="s">
        <v>1087</v>
      </c>
      <c r="E4422" s="522">
        <v>201602</v>
      </c>
      <c r="F4422" s="523">
        <v>4682.0200000000004</v>
      </c>
      <c r="G4422" s="521">
        <v>2</v>
      </c>
      <c r="H4422" s="524">
        <v>1.3083000000000001E-3</v>
      </c>
      <c r="I4422" s="523">
        <v>12.25</v>
      </c>
      <c r="J4422" s="523">
        <v>73.510000000000005</v>
      </c>
    </row>
    <row r="4423" spans="1:10" s="559" customFormat="1">
      <c r="A4423" s="521" t="s">
        <v>322</v>
      </c>
      <c r="B4423" s="522" t="s">
        <v>721</v>
      </c>
      <c r="C4423" s="423" t="s">
        <v>331</v>
      </c>
      <c r="D4423" s="521" t="s">
        <v>722</v>
      </c>
      <c r="E4423" s="522">
        <v>201602</v>
      </c>
      <c r="F4423" s="523">
        <v>443.07</v>
      </c>
      <c r="G4423" s="521">
        <v>2</v>
      </c>
      <c r="H4423" s="524">
        <v>1.1999999999999999E-3</v>
      </c>
      <c r="I4423" s="523">
        <v>1.06</v>
      </c>
      <c r="J4423" s="523">
        <v>6.38</v>
      </c>
    </row>
    <row r="4424" spans="1:10" s="559" customFormat="1">
      <c r="A4424" s="521" t="s">
        <v>322</v>
      </c>
      <c r="B4424" s="522" t="s">
        <v>723</v>
      </c>
      <c r="C4424" s="423" t="s">
        <v>331</v>
      </c>
      <c r="D4424" s="521" t="s">
        <v>724</v>
      </c>
      <c r="E4424" s="522">
        <v>201602</v>
      </c>
      <c r="F4424" s="523">
        <v>0.41</v>
      </c>
      <c r="G4424" s="521">
        <v>2</v>
      </c>
      <c r="H4424" s="524">
        <v>1.1999999999999999E-3</v>
      </c>
      <c r="I4424" s="523">
        <v>0</v>
      </c>
      <c r="J4424" s="523">
        <v>0.01</v>
      </c>
    </row>
    <row r="4425" spans="1:10" s="559" customFormat="1">
      <c r="A4425" s="521" t="s">
        <v>322</v>
      </c>
      <c r="B4425" s="522" t="s">
        <v>723</v>
      </c>
      <c r="C4425" s="423" t="s">
        <v>331</v>
      </c>
      <c r="D4425" s="521" t="s">
        <v>724</v>
      </c>
      <c r="E4425" s="522">
        <v>201602</v>
      </c>
      <c r="F4425" s="523">
        <v>0.02</v>
      </c>
      <c r="G4425" s="521">
        <v>2</v>
      </c>
      <c r="H4425" s="524">
        <v>1.1999999999999999E-3</v>
      </c>
      <c r="I4425" s="523">
        <v>0</v>
      </c>
      <c r="J4425" s="523">
        <v>0</v>
      </c>
    </row>
    <row r="4426" spans="1:10" s="559" customFormat="1">
      <c r="A4426" s="521" t="s">
        <v>318</v>
      </c>
      <c r="B4426" s="522" t="s">
        <v>623</v>
      </c>
      <c r="C4426" s="423" t="s">
        <v>331</v>
      </c>
      <c r="D4426" s="521" t="s">
        <v>624</v>
      </c>
      <c r="E4426" s="522">
        <v>201602</v>
      </c>
      <c r="F4426" s="523">
        <v>47381.89</v>
      </c>
      <c r="G4426" s="521">
        <v>2</v>
      </c>
      <c r="H4426" s="524">
        <v>1.3083000000000001E-3</v>
      </c>
      <c r="I4426" s="523">
        <v>123.98</v>
      </c>
      <c r="J4426" s="523">
        <v>743.88</v>
      </c>
    </row>
    <row r="4427" spans="1:10" s="559" customFormat="1">
      <c r="A4427" s="521" t="s">
        <v>318</v>
      </c>
      <c r="B4427" s="522" t="s">
        <v>710</v>
      </c>
      <c r="C4427" s="423" t="s">
        <v>439</v>
      </c>
      <c r="D4427" s="521" t="s">
        <v>711</v>
      </c>
      <c r="E4427" s="522">
        <v>201602</v>
      </c>
      <c r="F4427" s="523">
        <v>-3499.96</v>
      </c>
      <c r="G4427" s="521">
        <v>2</v>
      </c>
      <c r="H4427" s="524">
        <v>1.3083000000000001E-3</v>
      </c>
      <c r="I4427" s="523">
        <v>-9.16</v>
      </c>
      <c r="J4427" s="523">
        <v>-54.95</v>
      </c>
    </row>
    <row r="4428" spans="1:10" s="559" customFormat="1">
      <c r="A4428" s="521" t="s">
        <v>318</v>
      </c>
      <c r="B4428" s="522" t="s">
        <v>710</v>
      </c>
      <c r="C4428" s="423" t="s">
        <v>439</v>
      </c>
      <c r="D4428" s="521" t="s">
        <v>711</v>
      </c>
      <c r="E4428" s="522">
        <v>201602</v>
      </c>
      <c r="F4428" s="523">
        <v>-13606.67</v>
      </c>
      <c r="G4428" s="521">
        <v>2</v>
      </c>
      <c r="H4428" s="524">
        <v>1.3083000000000001E-3</v>
      </c>
      <c r="I4428" s="523">
        <v>-35.6</v>
      </c>
      <c r="J4428" s="523">
        <v>-213.62</v>
      </c>
    </row>
    <row r="4429" spans="1:10" s="559" customFormat="1">
      <c r="A4429" s="521" t="s">
        <v>322</v>
      </c>
      <c r="B4429" s="522" t="s">
        <v>712</v>
      </c>
      <c r="C4429" s="423" t="s">
        <v>331</v>
      </c>
      <c r="D4429" s="521" t="s">
        <v>713</v>
      </c>
      <c r="E4429" s="522">
        <v>201602</v>
      </c>
      <c r="F4429" s="523">
        <v>1205.3599999999999</v>
      </c>
      <c r="G4429" s="521">
        <v>2</v>
      </c>
      <c r="H4429" s="524">
        <v>1.1999999999999999E-3</v>
      </c>
      <c r="I4429" s="523">
        <v>2.89</v>
      </c>
      <c r="J4429" s="523">
        <v>17.36</v>
      </c>
    </row>
    <row r="4430" spans="1:10" s="559" customFormat="1">
      <c r="A4430" s="521" t="s">
        <v>318</v>
      </c>
      <c r="B4430" s="522" t="s">
        <v>712</v>
      </c>
      <c r="C4430" s="423" t="s">
        <v>331</v>
      </c>
      <c r="D4430" s="521" t="s">
        <v>713</v>
      </c>
      <c r="E4430" s="522">
        <v>201602</v>
      </c>
      <c r="F4430" s="523">
        <v>1819.47</v>
      </c>
      <c r="G4430" s="521">
        <v>2</v>
      </c>
      <c r="H4430" s="524">
        <v>1.3083000000000001E-3</v>
      </c>
      <c r="I4430" s="523">
        <v>4.76</v>
      </c>
      <c r="J4430" s="523">
        <v>28.56</v>
      </c>
    </row>
    <row r="4431" spans="1:10" s="559" customFormat="1">
      <c r="A4431" s="521" t="s">
        <v>318</v>
      </c>
      <c r="B4431" s="522" t="s">
        <v>712</v>
      </c>
      <c r="C4431" s="423" t="s">
        <v>331</v>
      </c>
      <c r="D4431" s="521" t="s">
        <v>713</v>
      </c>
      <c r="E4431" s="522">
        <v>201602</v>
      </c>
      <c r="F4431" s="523">
        <v>40.76</v>
      </c>
      <c r="G4431" s="521">
        <v>2</v>
      </c>
      <c r="H4431" s="524">
        <v>1.3083000000000001E-3</v>
      </c>
      <c r="I4431" s="523">
        <v>0.11</v>
      </c>
      <c r="J4431" s="523">
        <v>0.64</v>
      </c>
    </row>
    <row r="4432" spans="1:10" s="559" customFormat="1">
      <c r="A4432" s="521" t="s">
        <v>318</v>
      </c>
      <c r="B4432" s="522" t="s">
        <v>625</v>
      </c>
      <c r="C4432" s="423" t="s">
        <v>331</v>
      </c>
      <c r="D4432" s="521" t="s">
        <v>626</v>
      </c>
      <c r="E4432" s="522">
        <v>201602</v>
      </c>
      <c r="F4432" s="523">
        <v>0.08</v>
      </c>
      <c r="G4432" s="521">
        <v>2</v>
      </c>
      <c r="H4432" s="524">
        <v>1.3083000000000001E-3</v>
      </c>
      <c r="I4432" s="523">
        <v>0</v>
      </c>
      <c r="J4432" s="523">
        <v>0</v>
      </c>
    </row>
    <row r="4433" spans="1:10" s="559" customFormat="1">
      <c r="A4433" s="521" t="s">
        <v>318</v>
      </c>
      <c r="B4433" s="522" t="s">
        <v>625</v>
      </c>
      <c r="C4433" s="423" t="s">
        <v>331</v>
      </c>
      <c r="D4433" s="521" t="s">
        <v>626</v>
      </c>
      <c r="E4433" s="522">
        <v>201602</v>
      </c>
      <c r="F4433" s="523">
        <v>0.88</v>
      </c>
      <c r="G4433" s="521">
        <v>2</v>
      </c>
      <c r="H4433" s="524">
        <v>1.3083000000000001E-3</v>
      </c>
      <c r="I4433" s="523">
        <v>0</v>
      </c>
      <c r="J4433" s="523">
        <v>0.01</v>
      </c>
    </row>
    <row r="4434" spans="1:10" s="559" customFormat="1">
      <c r="A4434" s="521" t="s">
        <v>318</v>
      </c>
      <c r="B4434" s="522" t="s">
        <v>796</v>
      </c>
      <c r="C4434" s="423" t="s">
        <v>331</v>
      </c>
      <c r="D4434" s="521" t="s">
        <v>797</v>
      </c>
      <c r="E4434" s="522">
        <v>201602</v>
      </c>
      <c r="F4434" s="523">
        <v>147.43</v>
      </c>
      <c r="G4434" s="521">
        <v>2</v>
      </c>
      <c r="H4434" s="524">
        <v>1.3083000000000001E-3</v>
      </c>
      <c r="I4434" s="523">
        <v>0.39</v>
      </c>
      <c r="J4434" s="523">
        <v>2.31</v>
      </c>
    </row>
    <row r="4435" spans="1:10" s="559" customFormat="1">
      <c r="A4435" s="521" t="s">
        <v>318</v>
      </c>
      <c r="B4435" s="522" t="s">
        <v>796</v>
      </c>
      <c r="C4435" s="423" t="s">
        <v>331</v>
      </c>
      <c r="D4435" s="521" t="s">
        <v>797</v>
      </c>
      <c r="E4435" s="522">
        <v>201602</v>
      </c>
      <c r="F4435" s="523">
        <v>7872.78</v>
      </c>
      <c r="G4435" s="521">
        <v>2</v>
      </c>
      <c r="H4435" s="524">
        <v>1.3083000000000001E-3</v>
      </c>
      <c r="I4435" s="523">
        <v>20.6</v>
      </c>
      <c r="J4435" s="523">
        <v>123.6</v>
      </c>
    </row>
    <row r="4436" spans="1:10" s="559" customFormat="1">
      <c r="A4436" s="521" t="s">
        <v>318</v>
      </c>
      <c r="B4436" s="522" t="s">
        <v>794</v>
      </c>
      <c r="C4436" s="423" t="s">
        <v>439</v>
      </c>
      <c r="D4436" s="521" t="s">
        <v>795</v>
      </c>
      <c r="E4436" s="522">
        <v>201602</v>
      </c>
      <c r="F4436" s="523">
        <v>461.22</v>
      </c>
      <c r="G4436" s="521">
        <v>2</v>
      </c>
      <c r="H4436" s="524">
        <v>1.3083000000000001E-3</v>
      </c>
      <c r="I4436" s="523">
        <v>1.21</v>
      </c>
      <c r="J4436" s="523">
        <v>7.24</v>
      </c>
    </row>
    <row r="4437" spans="1:10" s="559" customFormat="1">
      <c r="A4437" s="521" t="s">
        <v>318</v>
      </c>
      <c r="B4437" s="522" t="s">
        <v>794</v>
      </c>
      <c r="C4437" s="423" t="s">
        <v>439</v>
      </c>
      <c r="D4437" s="521" t="s">
        <v>795</v>
      </c>
      <c r="E4437" s="522">
        <v>201602</v>
      </c>
      <c r="F4437" s="523">
        <v>10401.94</v>
      </c>
      <c r="G4437" s="521">
        <v>2</v>
      </c>
      <c r="H4437" s="524">
        <v>1.3083000000000001E-3</v>
      </c>
      <c r="I4437" s="523">
        <v>27.22</v>
      </c>
      <c r="J4437" s="523">
        <v>163.31</v>
      </c>
    </row>
    <row r="4438" spans="1:10" s="559" customFormat="1">
      <c r="A4438" s="521" t="s">
        <v>318</v>
      </c>
      <c r="B4438" s="522" t="s">
        <v>727</v>
      </c>
      <c r="C4438" s="423" t="s">
        <v>343</v>
      </c>
      <c r="D4438" s="521" t="s">
        <v>728</v>
      </c>
      <c r="E4438" s="522">
        <v>201602</v>
      </c>
      <c r="F4438" s="523">
        <v>102.54</v>
      </c>
      <c r="G4438" s="521">
        <v>2</v>
      </c>
      <c r="H4438" s="524">
        <v>1.3083000000000001E-3</v>
      </c>
      <c r="I4438" s="523">
        <v>0.27</v>
      </c>
      <c r="J4438" s="523">
        <v>1.61</v>
      </c>
    </row>
    <row r="4439" spans="1:10" s="559" customFormat="1">
      <c r="A4439" s="521" t="s">
        <v>318</v>
      </c>
      <c r="B4439" s="522" t="s">
        <v>729</v>
      </c>
      <c r="C4439" s="423" t="s">
        <v>331</v>
      </c>
      <c r="D4439" s="521" t="s">
        <v>730</v>
      </c>
      <c r="E4439" s="522">
        <v>201602</v>
      </c>
      <c r="F4439" s="523">
        <v>487.53</v>
      </c>
      <c r="G4439" s="521">
        <v>2</v>
      </c>
      <c r="H4439" s="524">
        <v>1.3083000000000001E-3</v>
      </c>
      <c r="I4439" s="523">
        <v>1.28</v>
      </c>
      <c r="J4439" s="523">
        <v>7.65</v>
      </c>
    </row>
    <row r="4440" spans="1:10" s="559" customFormat="1">
      <c r="A4440" s="521" t="s">
        <v>318</v>
      </c>
      <c r="B4440" s="522" t="s">
        <v>729</v>
      </c>
      <c r="C4440" s="423" t="s">
        <v>331</v>
      </c>
      <c r="D4440" s="521" t="s">
        <v>730</v>
      </c>
      <c r="E4440" s="522">
        <v>201602</v>
      </c>
      <c r="F4440" s="523">
        <v>19.07</v>
      </c>
      <c r="G4440" s="521">
        <v>2</v>
      </c>
      <c r="H4440" s="524">
        <v>1.3083000000000001E-3</v>
      </c>
      <c r="I4440" s="523">
        <v>0.05</v>
      </c>
      <c r="J4440" s="523">
        <v>0.3</v>
      </c>
    </row>
    <row r="4441" spans="1:10" s="559" customFormat="1">
      <c r="A4441" s="521" t="s">
        <v>318</v>
      </c>
      <c r="B4441" s="522" t="s">
        <v>706</v>
      </c>
      <c r="C4441" s="423" t="s">
        <v>343</v>
      </c>
      <c r="D4441" s="521" t="s">
        <v>707</v>
      </c>
      <c r="E4441" s="522">
        <v>201603</v>
      </c>
      <c r="F4441" s="523">
        <v>478.74</v>
      </c>
      <c r="G4441" s="521">
        <v>13.5</v>
      </c>
      <c r="H4441" s="524">
        <v>1.3083000000000001E-3</v>
      </c>
      <c r="I4441" s="523">
        <v>8.4600000000000009</v>
      </c>
      <c r="J4441" s="523">
        <v>7.52</v>
      </c>
    </row>
    <row r="4442" spans="1:10" s="559" customFormat="1">
      <c r="A4442" s="521" t="s">
        <v>318</v>
      </c>
      <c r="B4442" s="522" t="s">
        <v>464</v>
      </c>
      <c r="C4442" s="423" t="s">
        <v>344</v>
      </c>
      <c r="D4442" s="521" t="s">
        <v>465</v>
      </c>
      <c r="E4442" s="522">
        <v>201603</v>
      </c>
      <c r="F4442" s="523">
        <v>510.1</v>
      </c>
      <c r="G4442" s="521">
        <v>13.5</v>
      </c>
      <c r="H4442" s="524">
        <v>1.3083000000000001E-3</v>
      </c>
      <c r="I4442" s="523">
        <v>9.01</v>
      </c>
      <c r="J4442" s="523">
        <v>8.01</v>
      </c>
    </row>
    <row r="4443" spans="1:10" s="559" customFormat="1">
      <c r="A4443" s="521" t="s">
        <v>318</v>
      </c>
      <c r="B4443" s="522" t="s">
        <v>708</v>
      </c>
      <c r="C4443" s="423" t="s">
        <v>331</v>
      </c>
      <c r="D4443" s="521" t="s">
        <v>709</v>
      </c>
      <c r="E4443" s="522">
        <v>201603</v>
      </c>
      <c r="F4443" s="523">
        <v>-10726.11</v>
      </c>
      <c r="G4443" s="521">
        <v>13.5</v>
      </c>
      <c r="H4443" s="524">
        <v>1.3083000000000001E-3</v>
      </c>
      <c r="I4443" s="523">
        <v>-189.45</v>
      </c>
      <c r="J4443" s="523">
        <v>-168.4</v>
      </c>
    </row>
    <row r="4444" spans="1:10" s="559" customFormat="1">
      <c r="A4444" s="521" t="s">
        <v>322</v>
      </c>
      <c r="B4444" s="522" t="s">
        <v>708</v>
      </c>
      <c r="C4444" s="423" t="s">
        <v>331</v>
      </c>
      <c r="D4444" s="521" t="s">
        <v>709</v>
      </c>
      <c r="E4444" s="522">
        <v>201603</v>
      </c>
      <c r="F4444" s="523">
        <v>-1625.48</v>
      </c>
      <c r="G4444" s="521">
        <v>13.5</v>
      </c>
      <c r="H4444" s="524">
        <v>1.1999999999999999E-3</v>
      </c>
      <c r="I4444" s="523">
        <v>-26.33</v>
      </c>
      <c r="J4444" s="523">
        <v>-23.41</v>
      </c>
    </row>
    <row r="4445" spans="1:10" s="559" customFormat="1">
      <c r="A4445" s="521" t="s">
        <v>318</v>
      </c>
      <c r="B4445" s="522" t="s">
        <v>717</v>
      </c>
      <c r="C4445" s="423" t="s">
        <v>331</v>
      </c>
      <c r="D4445" s="521" t="s">
        <v>718</v>
      </c>
      <c r="E4445" s="522">
        <v>201603</v>
      </c>
      <c r="F4445" s="523">
        <v>-6894.86</v>
      </c>
      <c r="G4445" s="521">
        <v>13.5</v>
      </c>
      <c r="H4445" s="524">
        <v>1.3083000000000001E-3</v>
      </c>
      <c r="I4445" s="523">
        <v>-121.78</v>
      </c>
      <c r="J4445" s="523">
        <v>-108.25</v>
      </c>
    </row>
    <row r="4446" spans="1:10" s="559" customFormat="1">
      <c r="A4446" s="521" t="s">
        <v>322</v>
      </c>
      <c r="B4446" s="522" t="s">
        <v>717</v>
      </c>
      <c r="C4446" s="423" t="s">
        <v>331</v>
      </c>
      <c r="D4446" s="521" t="s">
        <v>718</v>
      </c>
      <c r="E4446" s="522">
        <v>201603</v>
      </c>
      <c r="F4446" s="523">
        <v>-953.18</v>
      </c>
      <c r="G4446" s="521">
        <v>13.5</v>
      </c>
      <c r="H4446" s="524">
        <v>1.1999999999999999E-3</v>
      </c>
      <c r="I4446" s="523">
        <v>-15.44</v>
      </c>
      <c r="J4446" s="523">
        <v>-13.73</v>
      </c>
    </row>
    <row r="4447" spans="1:10" s="559" customFormat="1">
      <c r="A4447" s="521" t="s">
        <v>322</v>
      </c>
      <c r="B4447" s="522" t="s">
        <v>717</v>
      </c>
      <c r="C4447" s="423" t="s">
        <v>331</v>
      </c>
      <c r="D4447" s="521" t="s">
        <v>718</v>
      </c>
      <c r="E4447" s="522">
        <v>201603</v>
      </c>
      <c r="F4447" s="523">
        <v>-16.68</v>
      </c>
      <c r="G4447" s="521">
        <v>13.5</v>
      </c>
      <c r="H4447" s="524">
        <v>1.1999999999999999E-3</v>
      </c>
      <c r="I4447" s="523">
        <v>-0.27</v>
      </c>
      <c r="J4447" s="523">
        <v>-0.24</v>
      </c>
    </row>
    <row r="4448" spans="1:10" s="559" customFormat="1">
      <c r="A4448" s="521" t="s">
        <v>322</v>
      </c>
      <c r="B4448" s="522" t="s">
        <v>617</v>
      </c>
      <c r="C4448" s="423" t="s">
        <v>331</v>
      </c>
      <c r="D4448" s="521" t="s">
        <v>618</v>
      </c>
      <c r="E4448" s="522">
        <v>201603</v>
      </c>
      <c r="F4448" s="523">
        <v>0.06</v>
      </c>
      <c r="G4448" s="521">
        <v>13.5</v>
      </c>
      <c r="H4448" s="524">
        <v>1.1999999999999999E-3</v>
      </c>
      <c r="I4448" s="523">
        <v>0</v>
      </c>
      <c r="J4448" s="523">
        <v>0</v>
      </c>
    </row>
    <row r="4449" spans="1:10" s="559" customFormat="1">
      <c r="A4449" s="521" t="s">
        <v>318</v>
      </c>
      <c r="B4449" s="522" t="s">
        <v>617</v>
      </c>
      <c r="C4449" s="423" t="s">
        <v>331</v>
      </c>
      <c r="D4449" s="521" t="s">
        <v>618</v>
      </c>
      <c r="E4449" s="522">
        <v>201603</v>
      </c>
      <c r="F4449" s="523">
        <v>0.14000000000000001</v>
      </c>
      <c r="G4449" s="521">
        <v>13.5</v>
      </c>
      <c r="H4449" s="524">
        <v>1.3083000000000001E-3</v>
      </c>
      <c r="I4449" s="523">
        <v>0</v>
      </c>
      <c r="J4449" s="523">
        <v>0</v>
      </c>
    </row>
    <row r="4450" spans="1:10" s="559" customFormat="1">
      <c r="A4450" s="521" t="s">
        <v>318</v>
      </c>
      <c r="B4450" s="522" t="s">
        <v>719</v>
      </c>
      <c r="C4450" s="423" t="s">
        <v>331</v>
      </c>
      <c r="D4450" s="521" t="s">
        <v>720</v>
      </c>
      <c r="E4450" s="522">
        <v>201603</v>
      </c>
      <c r="F4450" s="523">
        <v>-229.72</v>
      </c>
      <c r="G4450" s="521">
        <v>13.5</v>
      </c>
      <c r="H4450" s="524">
        <v>1.3083000000000001E-3</v>
      </c>
      <c r="I4450" s="523">
        <v>-4.0599999999999996</v>
      </c>
      <c r="J4450" s="523">
        <v>-3.61</v>
      </c>
    </row>
    <row r="4451" spans="1:10" s="559" customFormat="1">
      <c r="A4451" s="521" t="s">
        <v>318</v>
      </c>
      <c r="B4451" s="522" t="s">
        <v>719</v>
      </c>
      <c r="C4451" s="423" t="s">
        <v>331</v>
      </c>
      <c r="D4451" s="521" t="s">
        <v>720</v>
      </c>
      <c r="E4451" s="522">
        <v>201603</v>
      </c>
      <c r="F4451" s="523">
        <v>-5.0999999999999996</v>
      </c>
      <c r="G4451" s="521">
        <v>13.5</v>
      </c>
      <c r="H4451" s="524">
        <v>1.3083000000000001E-3</v>
      </c>
      <c r="I4451" s="523">
        <v>-0.09</v>
      </c>
      <c r="J4451" s="523">
        <v>-0.08</v>
      </c>
    </row>
    <row r="4452" spans="1:10" s="559" customFormat="1">
      <c r="A4452" s="521" t="s">
        <v>322</v>
      </c>
      <c r="B4452" s="522" t="s">
        <v>721</v>
      </c>
      <c r="C4452" s="423" t="s">
        <v>331</v>
      </c>
      <c r="D4452" s="521" t="s">
        <v>722</v>
      </c>
      <c r="E4452" s="522">
        <v>201603</v>
      </c>
      <c r="F4452" s="523">
        <v>-237.55</v>
      </c>
      <c r="G4452" s="521">
        <v>13.5</v>
      </c>
      <c r="H4452" s="524">
        <v>1.1999999999999999E-3</v>
      </c>
      <c r="I4452" s="523">
        <v>-3.85</v>
      </c>
      <c r="J4452" s="523">
        <v>-3.42</v>
      </c>
    </row>
    <row r="4453" spans="1:10" s="559" customFormat="1">
      <c r="A4453" s="521" t="s">
        <v>322</v>
      </c>
      <c r="B4453" s="522" t="s">
        <v>723</v>
      </c>
      <c r="C4453" s="423" t="s">
        <v>331</v>
      </c>
      <c r="D4453" s="521" t="s">
        <v>724</v>
      </c>
      <c r="E4453" s="522">
        <v>201603</v>
      </c>
      <c r="F4453" s="523">
        <v>-15961.5</v>
      </c>
      <c r="G4453" s="521">
        <v>13.5</v>
      </c>
      <c r="H4453" s="524">
        <v>1.1999999999999999E-3</v>
      </c>
      <c r="I4453" s="523">
        <v>-258.58</v>
      </c>
      <c r="J4453" s="523">
        <v>-229.85</v>
      </c>
    </row>
    <row r="4454" spans="1:10" s="559" customFormat="1">
      <c r="A4454" s="521" t="s">
        <v>318</v>
      </c>
      <c r="B4454" s="522" t="s">
        <v>723</v>
      </c>
      <c r="C4454" s="423" t="s">
        <v>331</v>
      </c>
      <c r="D4454" s="521" t="s">
        <v>724</v>
      </c>
      <c r="E4454" s="522">
        <v>201603</v>
      </c>
      <c r="F4454" s="523">
        <v>11113.45</v>
      </c>
      <c r="G4454" s="521">
        <v>13.5</v>
      </c>
      <c r="H4454" s="524">
        <v>1.3083000000000001E-3</v>
      </c>
      <c r="I4454" s="523">
        <v>196.29</v>
      </c>
      <c r="J4454" s="523">
        <v>174.48</v>
      </c>
    </row>
    <row r="4455" spans="1:10" s="559" customFormat="1">
      <c r="A4455" s="521" t="s">
        <v>322</v>
      </c>
      <c r="B4455" s="522" t="s">
        <v>723</v>
      </c>
      <c r="C4455" s="423" t="s">
        <v>331</v>
      </c>
      <c r="D4455" s="521" t="s">
        <v>724</v>
      </c>
      <c r="E4455" s="522">
        <v>201603</v>
      </c>
      <c r="F4455" s="523">
        <v>-773.28</v>
      </c>
      <c r="G4455" s="521">
        <v>13.5</v>
      </c>
      <c r="H4455" s="524">
        <v>1.1999999999999999E-3</v>
      </c>
      <c r="I4455" s="523">
        <v>-12.53</v>
      </c>
      <c r="J4455" s="523">
        <v>-11.14</v>
      </c>
    </row>
    <row r="4456" spans="1:10" s="559" customFormat="1">
      <c r="A4456" s="521" t="s">
        <v>318</v>
      </c>
      <c r="B4456" s="522" t="s">
        <v>723</v>
      </c>
      <c r="C4456" s="423" t="s">
        <v>331</v>
      </c>
      <c r="D4456" s="521" t="s">
        <v>724</v>
      </c>
      <c r="E4456" s="522">
        <v>201603</v>
      </c>
      <c r="F4456" s="523">
        <v>368.01</v>
      </c>
      <c r="G4456" s="521">
        <v>13.5</v>
      </c>
      <c r="H4456" s="524">
        <v>1.3083000000000001E-3</v>
      </c>
      <c r="I4456" s="523">
        <v>6.5</v>
      </c>
      <c r="J4456" s="523">
        <v>5.78</v>
      </c>
    </row>
    <row r="4457" spans="1:10" s="559" customFormat="1">
      <c r="A4457" s="521" t="s">
        <v>318</v>
      </c>
      <c r="B4457" s="522" t="s">
        <v>623</v>
      </c>
      <c r="C4457" s="423" t="s">
        <v>331</v>
      </c>
      <c r="D4457" s="521" t="s">
        <v>624</v>
      </c>
      <c r="E4457" s="522">
        <v>201603</v>
      </c>
      <c r="F4457" s="523">
        <v>-12641.82</v>
      </c>
      <c r="G4457" s="521">
        <v>13.5</v>
      </c>
      <c r="H4457" s="524">
        <v>1.3083000000000001E-3</v>
      </c>
      <c r="I4457" s="523">
        <v>-223.28</v>
      </c>
      <c r="J4457" s="523">
        <v>-198.47</v>
      </c>
    </row>
    <row r="4458" spans="1:10" s="559" customFormat="1">
      <c r="A4458" s="521" t="s">
        <v>318</v>
      </c>
      <c r="B4458" s="522" t="s">
        <v>710</v>
      </c>
      <c r="C4458" s="423" t="s">
        <v>439</v>
      </c>
      <c r="D4458" s="521" t="s">
        <v>711</v>
      </c>
      <c r="E4458" s="522">
        <v>201603</v>
      </c>
      <c r="F4458" s="523">
        <v>-8.61</v>
      </c>
      <c r="G4458" s="521">
        <v>13.5</v>
      </c>
      <c r="H4458" s="524">
        <v>1.3083000000000001E-3</v>
      </c>
      <c r="I4458" s="523">
        <v>-0.15</v>
      </c>
      <c r="J4458" s="523">
        <v>-0.14000000000000001</v>
      </c>
    </row>
    <row r="4459" spans="1:10" s="559" customFormat="1">
      <c r="A4459" s="521" t="s">
        <v>318</v>
      </c>
      <c r="B4459" s="522" t="s">
        <v>710</v>
      </c>
      <c r="C4459" s="423" t="s">
        <v>439</v>
      </c>
      <c r="D4459" s="521" t="s">
        <v>711</v>
      </c>
      <c r="E4459" s="522">
        <v>201603</v>
      </c>
      <c r="F4459" s="523">
        <v>-0.16</v>
      </c>
      <c r="G4459" s="521">
        <v>13.5</v>
      </c>
      <c r="H4459" s="524">
        <v>1.3083000000000001E-3</v>
      </c>
      <c r="I4459" s="523">
        <v>0</v>
      </c>
      <c r="J4459" s="523">
        <v>0</v>
      </c>
    </row>
    <row r="4460" spans="1:10" s="559" customFormat="1">
      <c r="A4460" s="521" t="s">
        <v>318</v>
      </c>
      <c r="B4460" s="522" t="s">
        <v>712</v>
      </c>
      <c r="C4460" s="423" t="s">
        <v>331</v>
      </c>
      <c r="D4460" s="521" t="s">
        <v>713</v>
      </c>
      <c r="E4460" s="522">
        <v>201603</v>
      </c>
      <c r="F4460" s="523">
        <v>-3037.08</v>
      </c>
      <c r="G4460" s="521">
        <v>13.5</v>
      </c>
      <c r="H4460" s="524">
        <v>1.3083000000000001E-3</v>
      </c>
      <c r="I4460" s="523">
        <v>-53.64</v>
      </c>
      <c r="J4460" s="523">
        <v>-47.68</v>
      </c>
    </row>
    <row r="4461" spans="1:10" s="559" customFormat="1">
      <c r="A4461" s="521" t="s">
        <v>322</v>
      </c>
      <c r="B4461" s="522" t="s">
        <v>712</v>
      </c>
      <c r="C4461" s="423" t="s">
        <v>331</v>
      </c>
      <c r="D4461" s="521" t="s">
        <v>713</v>
      </c>
      <c r="E4461" s="522">
        <v>201603</v>
      </c>
      <c r="F4461" s="523">
        <v>-2011.99</v>
      </c>
      <c r="G4461" s="521">
        <v>13.5</v>
      </c>
      <c r="H4461" s="524">
        <v>1.1999999999999999E-3</v>
      </c>
      <c r="I4461" s="523">
        <v>-32.590000000000003</v>
      </c>
      <c r="J4461" s="523">
        <v>-28.97</v>
      </c>
    </row>
    <row r="4462" spans="1:10" s="559" customFormat="1">
      <c r="A4462" s="521" t="s">
        <v>318</v>
      </c>
      <c r="B4462" s="522" t="s">
        <v>712</v>
      </c>
      <c r="C4462" s="423" t="s">
        <v>331</v>
      </c>
      <c r="D4462" s="521" t="s">
        <v>713</v>
      </c>
      <c r="E4462" s="522">
        <v>201603</v>
      </c>
      <c r="F4462" s="523">
        <v>-68.03</v>
      </c>
      <c r="G4462" s="521">
        <v>13.5</v>
      </c>
      <c r="H4462" s="524">
        <v>1.3083000000000001E-3</v>
      </c>
      <c r="I4462" s="523">
        <v>-1.2</v>
      </c>
      <c r="J4462" s="523">
        <v>-1.07</v>
      </c>
    </row>
    <row r="4463" spans="1:10" s="559" customFormat="1">
      <c r="A4463" s="521" t="s">
        <v>318</v>
      </c>
      <c r="B4463" s="522" t="s">
        <v>625</v>
      </c>
      <c r="C4463" s="423" t="s">
        <v>331</v>
      </c>
      <c r="D4463" s="521" t="s">
        <v>626</v>
      </c>
      <c r="E4463" s="522">
        <v>201603</v>
      </c>
      <c r="F4463" s="523">
        <v>-1.37</v>
      </c>
      <c r="G4463" s="521">
        <v>13.5</v>
      </c>
      <c r="H4463" s="524">
        <v>1.3083000000000001E-3</v>
      </c>
      <c r="I4463" s="523">
        <v>-0.02</v>
      </c>
      <c r="J4463" s="523">
        <v>-0.02</v>
      </c>
    </row>
    <row r="4464" spans="1:10" s="559" customFormat="1">
      <c r="A4464" s="521" t="s">
        <v>318</v>
      </c>
      <c r="B4464" s="522" t="s">
        <v>625</v>
      </c>
      <c r="C4464" s="423" t="s">
        <v>331</v>
      </c>
      <c r="D4464" s="521" t="s">
        <v>626</v>
      </c>
      <c r="E4464" s="522">
        <v>201603</v>
      </c>
      <c r="F4464" s="523">
        <v>-0.05</v>
      </c>
      <c r="G4464" s="521">
        <v>13.5</v>
      </c>
      <c r="H4464" s="524">
        <v>1.3083000000000001E-3</v>
      </c>
      <c r="I4464" s="523">
        <v>0</v>
      </c>
      <c r="J4464" s="523">
        <v>0</v>
      </c>
    </row>
    <row r="4465" spans="1:10" s="559" customFormat="1">
      <c r="A4465" s="521" t="s">
        <v>318</v>
      </c>
      <c r="B4465" s="522" t="s">
        <v>796</v>
      </c>
      <c r="C4465" s="423" t="s">
        <v>331</v>
      </c>
      <c r="D4465" s="521" t="s">
        <v>797</v>
      </c>
      <c r="E4465" s="522">
        <v>201603</v>
      </c>
      <c r="F4465" s="523">
        <v>-881.09</v>
      </c>
      <c r="G4465" s="521">
        <v>13.5</v>
      </c>
      <c r="H4465" s="524">
        <v>1.3083000000000001E-3</v>
      </c>
      <c r="I4465" s="523">
        <v>-15.56</v>
      </c>
      <c r="J4465" s="523">
        <v>-13.83</v>
      </c>
    </row>
    <row r="4466" spans="1:10" s="559" customFormat="1">
      <c r="A4466" s="521" t="s">
        <v>318</v>
      </c>
      <c r="B4466" s="522" t="s">
        <v>796</v>
      </c>
      <c r="C4466" s="423" t="s">
        <v>331</v>
      </c>
      <c r="D4466" s="521" t="s">
        <v>797</v>
      </c>
      <c r="E4466" s="522">
        <v>201603</v>
      </c>
      <c r="F4466" s="523">
        <v>-16.489999999999998</v>
      </c>
      <c r="G4466" s="521">
        <v>13.5</v>
      </c>
      <c r="H4466" s="524">
        <v>1.3083000000000001E-3</v>
      </c>
      <c r="I4466" s="523">
        <v>-0.28999999999999998</v>
      </c>
      <c r="J4466" s="523">
        <v>-0.26</v>
      </c>
    </row>
    <row r="4467" spans="1:10" s="559" customFormat="1">
      <c r="A4467" s="521" t="s">
        <v>318</v>
      </c>
      <c r="B4467" s="522" t="s">
        <v>794</v>
      </c>
      <c r="C4467" s="423" t="s">
        <v>331</v>
      </c>
      <c r="D4467" s="521" t="s">
        <v>795</v>
      </c>
      <c r="E4467" s="522">
        <v>201603</v>
      </c>
      <c r="F4467" s="523">
        <v>-2552.59</v>
      </c>
      <c r="G4467" s="521">
        <v>13.5</v>
      </c>
      <c r="H4467" s="524">
        <v>1.3083000000000001E-3</v>
      </c>
      <c r="I4467" s="523">
        <v>-45.08</v>
      </c>
      <c r="J4467" s="523">
        <v>-40.07</v>
      </c>
    </row>
    <row r="4468" spans="1:10" s="559" customFormat="1">
      <c r="A4468" s="521" t="s">
        <v>318</v>
      </c>
      <c r="B4468" s="522" t="s">
        <v>794</v>
      </c>
      <c r="C4468" s="423" t="s">
        <v>331</v>
      </c>
      <c r="D4468" s="521" t="s">
        <v>795</v>
      </c>
      <c r="E4468" s="522">
        <v>201603</v>
      </c>
      <c r="F4468" s="523">
        <v>-113.19</v>
      </c>
      <c r="G4468" s="521">
        <v>13.5</v>
      </c>
      <c r="H4468" s="524">
        <v>1.3083000000000001E-3</v>
      </c>
      <c r="I4468" s="523">
        <v>-2</v>
      </c>
      <c r="J4468" s="523">
        <v>-1.78</v>
      </c>
    </row>
    <row r="4469" spans="1:10" s="559" customFormat="1">
      <c r="A4469" s="521" t="s">
        <v>318</v>
      </c>
      <c r="B4469" s="522" t="s">
        <v>614</v>
      </c>
      <c r="C4469" s="423" t="s">
        <v>331</v>
      </c>
      <c r="D4469" s="521" t="s">
        <v>714</v>
      </c>
      <c r="E4469" s="522">
        <v>201603</v>
      </c>
      <c r="F4469" s="523">
        <v>-30.57</v>
      </c>
      <c r="G4469" s="521">
        <v>13.5</v>
      </c>
      <c r="H4469" s="524">
        <v>1.3083000000000001E-3</v>
      </c>
      <c r="I4469" s="523">
        <v>-0.54</v>
      </c>
      <c r="J4469" s="523">
        <v>-0.48</v>
      </c>
    </row>
    <row r="4470" spans="1:10" s="559" customFormat="1">
      <c r="A4470" s="521" t="s">
        <v>322</v>
      </c>
      <c r="B4470" s="522" t="s">
        <v>614</v>
      </c>
      <c r="C4470" s="423" t="s">
        <v>331</v>
      </c>
      <c r="D4470" s="521" t="s">
        <v>714</v>
      </c>
      <c r="E4470" s="522">
        <v>201603</v>
      </c>
      <c r="F4470" s="523">
        <v>-3.08</v>
      </c>
      <c r="G4470" s="521">
        <v>13.5</v>
      </c>
      <c r="H4470" s="524">
        <v>1.1999999999999999E-3</v>
      </c>
      <c r="I4470" s="523">
        <v>-0.05</v>
      </c>
      <c r="J4470" s="523">
        <v>-0.04</v>
      </c>
    </row>
    <row r="4471" spans="1:10" s="559" customFormat="1">
      <c r="A4471" s="521" t="s">
        <v>318</v>
      </c>
      <c r="B4471" s="522" t="s">
        <v>614</v>
      </c>
      <c r="C4471" s="423" t="s">
        <v>331</v>
      </c>
      <c r="D4471" s="521" t="s">
        <v>714</v>
      </c>
      <c r="E4471" s="522">
        <v>201603</v>
      </c>
      <c r="F4471" s="523">
        <v>-6.71</v>
      </c>
      <c r="G4471" s="521">
        <v>13.5</v>
      </c>
      <c r="H4471" s="524">
        <v>1.3083000000000001E-3</v>
      </c>
      <c r="I4471" s="523">
        <v>-0.12</v>
      </c>
      <c r="J4471" s="523">
        <v>-0.11</v>
      </c>
    </row>
    <row r="4472" spans="1:10" s="559" customFormat="1">
      <c r="A4472" s="521" t="s">
        <v>318</v>
      </c>
      <c r="B4472" s="522" t="s">
        <v>891</v>
      </c>
      <c r="C4472" s="423" t="s">
        <v>331</v>
      </c>
      <c r="D4472" s="521" t="s">
        <v>892</v>
      </c>
      <c r="E4472" s="522">
        <v>201603</v>
      </c>
      <c r="F4472" s="523">
        <v>18193.89</v>
      </c>
      <c r="G4472" s="521">
        <v>13.5</v>
      </c>
      <c r="H4472" s="524">
        <v>1.3083000000000001E-3</v>
      </c>
      <c r="I4472" s="523">
        <v>321.33999999999997</v>
      </c>
      <c r="J4472" s="523">
        <v>285.64</v>
      </c>
    </row>
    <row r="4473" spans="1:10" s="559" customFormat="1">
      <c r="A4473" s="521" t="s">
        <v>318</v>
      </c>
      <c r="B4473" s="522" t="s">
        <v>704</v>
      </c>
      <c r="C4473" s="423" t="s">
        <v>330</v>
      </c>
      <c r="D4473" s="521" t="s">
        <v>884</v>
      </c>
      <c r="E4473" s="522">
        <v>201603</v>
      </c>
      <c r="F4473" s="523">
        <v>65.59</v>
      </c>
      <c r="G4473" s="521">
        <v>13.5</v>
      </c>
      <c r="H4473" s="524">
        <v>1.3083000000000001E-3</v>
      </c>
      <c r="I4473" s="523">
        <v>1.1599999999999999</v>
      </c>
      <c r="J4473" s="523">
        <v>1.03</v>
      </c>
    </row>
    <row r="4474" spans="1:10" s="559" customFormat="1">
      <c r="A4474" s="521" t="s">
        <v>318</v>
      </c>
      <c r="B4474" s="522" t="s">
        <v>704</v>
      </c>
      <c r="C4474" s="423" t="s">
        <v>330</v>
      </c>
      <c r="D4474" s="521" t="s">
        <v>884</v>
      </c>
      <c r="E4474" s="522">
        <v>201603</v>
      </c>
      <c r="F4474" s="523">
        <v>-68.72</v>
      </c>
      <c r="G4474" s="521">
        <v>13.5</v>
      </c>
      <c r="H4474" s="524">
        <v>1.3083000000000001E-3</v>
      </c>
      <c r="I4474" s="523">
        <v>-1.21</v>
      </c>
      <c r="J4474" s="523">
        <v>-1.08</v>
      </c>
    </row>
    <row r="4475" spans="1:10" s="559" customFormat="1">
      <c r="A4475" s="521" t="s">
        <v>318</v>
      </c>
      <c r="B4475" s="522" t="s">
        <v>727</v>
      </c>
      <c r="C4475" s="423" t="s">
        <v>343</v>
      </c>
      <c r="D4475" s="521" t="s">
        <v>728</v>
      </c>
      <c r="E4475" s="522">
        <v>201603</v>
      </c>
      <c r="F4475" s="523">
        <v>-491.95</v>
      </c>
      <c r="G4475" s="521">
        <v>13.5</v>
      </c>
      <c r="H4475" s="524">
        <v>1.3083000000000001E-3</v>
      </c>
      <c r="I4475" s="523">
        <v>-8.69</v>
      </c>
      <c r="J4475" s="523">
        <v>-7.72</v>
      </c>
    </row>
    <row r="4476" spans="1:10" s="559" customFormat="1">
      <c r="A4476" s="521" t="s">
        <v>318</v>
      </c>
      <c r="B4476" s="522" t="s">
        <v>729</v>
      </c>
      <c r="C4476" s="423" t="s">
        <v>331</v>
      </c>
      <c r="D4476" s="521" t="s">
        <v>730</v>
      </c>
      <c r="E4476" s="522">
        <v>201603</v>
      </c>
      <c r="F4476" s="523">
        <v>-1482.22</v>
      </c>
      <c r="G4476" s="521">
        <v>13.5</v>
      </c>
      <c r="H4476" s="524">
        <v>1.3083000000000001E-3</v>
      </c>
      <c r="I4476" s="523">
        <v>-26.18</v>
      </c>
      <c r="J4476" s="523">
        <v>-23.27</v>
      </c>
    </row>
    <row r="4477" spans="1:10" s="559" customFormat="1">
      <c r="A4477" s="521" t="s">
        <v>318</v>
      </c>
      <c r="B4477" s="522" t="s">
        <v>729</v>
      </c>
      <c r="C4477" s="423" t="s">
        <v>331</v>
      </c>
      <c r="D4477" s="521" t="s">
        <v>730</v>
      </c>
      <c r="E4477" s="522">
        <v>201603</v>
      </c>
      <c r="F4477" s="523">
        <v>-57.99</v>
      </c>
      <c r="G4477" s="521">
        <v>13.5</v>
      </c>
      <c r="H4477" s="524">
        <v>1.3083000000000001E-3</v>
      </c>
      <c r="I4477" s="523">
        <v>-1.02</v>
      </c>
      <c r="J4477" s="523">
        <v>-0.91</v>
      </c>
    </row>
    <row r="4478" spans="1:10" s="559" customFormat="1">
      <c r="A4478" s="521" t="s">
        <v>318</v>
      </c>
      <c r="B4478" s="522" t="s">
        <v>715</v>
      </c>
      <c r="C4478" s="423" t="s">
        <v>343</v>
      </c>
      <c r="D4478" s="521" t="s">
        <v>716</v>
      </c>
      <c r="E4478" s="522">
        <v>201604</v>
      </c>
      <c r="F4478" s="523">
        <v>2066.36</v>
      </c>
      <c r="G4478" s="521">
        <v>12.5</v>
      </c>
      <c r="H4478" s="524">
        <v>1.3083000000000001E-3</v>
      </c>
      <c r="I4478" s="523">
        <v>33.79</v>
      </c>
      <c r="J4478" s="523">
        <v>32.44</v>
      </c>
    </row>
    <row r="4479" spans="1:10" s="559" customFormat="1">
      <c r="A4479" s="521" t="s">
        <v>318</v>
      </c>
      <c r="B4479" s="522" t="s">
        <v>706</v>
      </c>
      <c r="C4479" s="423" t="s">
        <v>343</v>
      </c>
      <c r="D4479" s="521" t="s">
        <v>707</v>
      </c>
      <c r="E4479" s="522">
        <v>201604</v>
      </c>
      <c r="F4479" s="523">
        <v>-38.69</v>
      </c>
      <c r="G4479" s="521">
        <v>12.5</v>
      </c>
      <c r="H4479" s="524">
        <v>1.3083000000000001E-3</v>
      </c>
      <c r="I4479" s="523">
        <v>-0.63</v>
      </c>
      <c r="J4479" s="523">
        <v>-0.61</v>
      </c>
    </row>
    <row r="4480" spans="1:10" s="559" customFormat="1">
      <c r="A4480" s="521" t="s">
        <v>318</v>
      </c>
      <c r="B4480" s="522" t="s">
        <v>464</v>
      </c>
      <c r="C4480" s="423" t="s">
        <v>344</v>
      </c>
      <c r="D4480" s="521" t="s">
        <v>465</v>
      </c>
      <c r="E4480" s="522">
        <v>201604</v>
      </c>
      <c r="F4480" s="523">
        <v>-0.3</v>
      </c>
      <c r="G4480" s="521">
        <v>12.5</v>
      </c>
      <c r="H4480" s="524">
        <v>1.3083000000000001E-3</v>
      </c>
      <c r="I4480" s="523">
        <v>0</v>
      </c>
      <c r="J4480" s="523">
        <v>0</v>
      </c>
    </row>
    <row r="4481" spans="1:10" s="559" customFormat="1">
      <c r="A4481" s="521" t="s">
        <v>322</v>
      </c>
      <c r="B4481" s="522" t="s">
        <v>708</v>
      </c>
      <c r="C4481" s="423" t="s">
        <v>331</v>
      </c>
      <c r="D4481" s="521" t="s">
        <v>709</v>
      </c>
      <c r="E4481" s="522">
        <v>201604</v>
      </c>
      <c r="F4481" s="523">
        <v>3461.78</v>
      </c>
      <c r="G4481" s="521">
        <v>12.5</v>
      </c>
      <c r="H4481" s="524">
        <v>1.1999999999999999E-3</v>
      </c>
      <c r="I4481" s="523">
        <v>51.93</v>
      </c>
      <c r="J4481" s="523">
        <v>49.85</v>
      </c>
    </row>
    <row r="4482" spans="1:10" s="559" customFormat="1">
      <c r="A4482" s="521" t="s">
        <v>318</v>
      </c>
      <c r="B4482" s="522" t="s">
        <v>708</v>
      </c>
      <c r="C4482" s="423" t="s">
        <v>331</v>
      </c>
      <c r="D4482" s="521" t="s">
        <v>709</v>
      </c>
      <c r="E4482" s="522">
        <v>201604</v>
      </c>
      <c r="F4482" s="523">
        <v>22843.46</v>
      </c>
      <c r="G4482" s="521">
        <v>12.5</v>
      </c>
      <c r="H4482" s="524">
        <v>1.3083000000000001E-3</v>
      </c>
      <c r="I4482" s="523">
        <v>373.58</v>
      </c>
      <c r="J4482" s="523">
        <v>358.63</v>
      </c>
    </row>
    <row r="4483" spans="1:10" s="559" customFormat="1">
      <c r="A4483" s="521" t="s">
        <v>322</v>
      </c>
      <c r="B4483" s="522" t="s">
        <v>717</v>
      </c>
      <c r="C4483" s="423" t="s">
        <v>331</v>
      </c>
      <c r="D4483" s="521" t="s">
        <v>718</v>
      </c>
      <c r="E4483" s="522">
        <v>201604</v>
      </c>
      <c r="F4483" s="523">
        <v>1430.93</v>
      </c>
      <c r="G4483" s="521">
        <v>12.5</v>
      </c>
      <c r="H4483" s="524">
        <v>1.1999999999999999E-3</v>
      </c>
      <c r="I4483" s="523">
        <v>21.46</v>
      </c>
      <c r="J4483" s="523">
        <v>20.61</v>
      </c>
    </row>
    <row r="4484" spans="1:10" s="559" customFormat="1">
      <c r="A4484" s="521" t="s">
        <v>318</v>
      </c>
      <c r="B4484" s="522" t="s">
        <v>717</v>
      </c>
      <c r="C4484" s="423" t="s">
        <v>331</v>
      </c>
      <c r="D4484" s="521" t="s">
        <v>718</v>
      </c>
      <c r="E4484" s="522">
        <v>201604</v>
      </c>
      <c r="F4484" s="523">
        <v>10350.83</v>
      </c>
      <c r="G4484" s="521">
        <v>12.5</v>
      </c>
      <c r="H4484" s="524">
        <v>1.3083000000000001E-3</v>
      </c>
      <c r="I4484" s="523">
        <v>169.27</v>
      </c>
      <c r="J4484" s="523">
        <v>162.5</v>
      </c>
    </row>
    <row r="4485" spans="1:10" s="559" customFormat="1">
      <c r="A4485" s="521" t="s">
        <v>322</v>
      </c>
      <c r="B4485" s="522" t="s">
        <v>717</v>
      </c>
      <c r="C4485" s="423" t="s">
        <v>331</v>
      </c>
      <c r="D4485" s="521" t="s">
        <v>718</v>
      </c>
      <c r="E4485" s="522">
        <v>201604</v>
      </c>
      <c r="F4485" s="523">
        <v>25.06</v>
      </c>
      <c r="G4485" s="521">
        <v>12.5</v>
      </c>
      <c r="H4485" s="524">
        <v>1.1999999999999999E-3</v>
      </c>
      <c r="I4485" s="523">
        <v>0.38</v>
      </c>
      <c r="J4485" s="523">
        <v>0.36</v>
      </c>
    </row>
    <row r="4486" spans="1:10" s="559" customFormat="1">
      <c r="A4486" s="521" t="s">
        <v>318</v>
      </c>
      <c r="B4486" s="522" t="s">
        <v>617</v>
      </c>
      <c r="C4486" s="423" t="s">
        <v>331</v>
      </c>
      <c r="D4486" s="521" t="s">
        <v>618</v>
      </c>
      <c r="E4486" s="522">
        <v>201604</v>
      </c>
      <c r="F4486" s="523">
        <v>-1.07</v>
      </c>
      <c r="G4486" s="521">
        <v>12.5</v>
      </c>
      <c r="H4486" s="524">
        <v>1.3083000000000001E-3</v>
      </c>
      <c r="I4486" s="523">
        <v>-0.02</v>
      </c>
      <c r="J4486" s="523">
        <v>-0.02</v>
      </c>
    </row>
    <row r="4487" spans="1:10" s="559" customFormat="1">
      <c r="A4487" s="521" t="s">
        <v>322</v>
      </c>
      <c r="B4487" s="522" t="s">
        <v>617</v>
      </c>
      <c r="C4487" s="423" t="s">
        <v>331</v>
      </c>
      <c r="D4487" s="521" t="s">
        <v>618</v>
      </c>
      <c r="E4487" s="522">
        <v>201604</v>
      </c>
      <c r="F4487" s="523">
        <v>-0.46</v>
      </c>
      <c r="G4487" s="521">
        <v>12.5</v>
      </c>
      <c r="H4487" s="524">
        <v>1.1999999999999999E-3</v>
      </c>
      <c r="I4487" s="523">
        <v>-0.01</v>
      </c>
      <c r="J4487" s="523">
        <v>-0.01</v>
      </c>
    </row>
    <row r="4488" spans="1:10" s="559" customFormat="1">
      <c r="A4488" s="521" t="s">
        <v>318</v>
      </c>
      <c r="B4488" s="522" t="s">
        <v>617</v>
      </c>
      <c r="C4488" s="423" t="s">
        <v>331</v>
      </c>
      <c r="D4488" s="521" t="s">
        <v>618</v>
      </c>
      <c r="E4488" s="522">
        <v>201604</v>
      </c>
      <c r="F4488" s="523">
        <v>-0.05</v>
      </c>
      <c r="G4488" s="521">
        <v>12.5</v>
      </c>
      <c r="H4488" s="524">
        <v>1.3083000000000001E-3</v>
      </c>
      <c r="I4488" s="523">
        <v>0</v>
      </c>
      <c r="J4488" s="523">
        <v>0</v>
      </c>
    </row>
    <row r="4489" spans="1:10" s="559" customFormat="1">
      <c r="A4489" s="521" t="s">
        <v>318</v>
      </c>
      <c r="B4489" s="522" t="s">
        <v>719</v>
      </c>
      <c r="C4489" s="423" t="s">
        <v>331</v>
      </c>
      <c r="D4489" s="521" t="s">
        <v>720</v>
      </c>
      <c r="E4489" s="522">
        <v>201604</v>
      </c>
      <c r="F4489" s="523">
        <v>490.15</v>
      </c>
      <c r="G4489" s="521">
        <v>12.5</v>
      </c>
      <c r="H4489" s="524">
        <v>1.3083000000000001E-3</v>
      </c>
      <c r="I4489" s="523">
        <v>8.02</v>
      </c>
      <c r="J4489" s="523">
        <v>7.7</v>
      </c>
    </row>
    <row r="4490" spans="1:10" s="559" customFormat="1">
      <c r="A4490" s="521" t="s">
        <v>318</v>
      </c>
      <c r="B4490" s="522" t="s">
        <v>719</v>
      </c>
      <c r="C4490" s="423" t="s">
        <v>331</v>
      </c>
      <c r="D4490" s="521" t="s">
        <v>720</v>
      </c>
      <c r="E4490" s="522">
        <v>201604</v>
      </c>
      <c r="F4490" s="523">
        <v>10.94</v>
      </c>
      <c r="G4490" s="521">
        <v>12.5</v>
      </c>
      <c r="H4490" s="524">
        <v>1.3083000000000001E-3</v>
      </c>
      <c r="I4490" s="523">
        <v>0.18</v>
      </c>
      <c r="J4490" s="523">
        <v>0.17</v>
      </c>
    </row>
    <row r="4491" spans="1:10" s="559" customFormat="1">
      <c r="A4491" s="521" t="s">
        <v>322</v>
      </c>
      <c r="B4491" s="522" t="s">
        <v>721</v>
      </c>
      <c r="C4491" s="423" t="s">
        <v>331</v>
      </c>
      <c r="D4491" s="521" t="s">
        <v>722</v>
      </c>
      <c r="E4491" s="522">
        <v>201604</v>
      </c>
      <c r="F4491" s="523">
        <v>405.28</v>
      </c>
      <c r="G4491" s="521">
        <v>12.5</v>
      </c>
      <c r="H4491" s="524">
        <v>1.1999999999999999E-3</v>
      </c>
      <c r="I4491" s="523">
        <v>6.08</v>
      </c>
      <c r="J4491" s="523">
        <v>5.84</v>
      </c>
    </row>
    <row r="4492" spans="1:10" s="559" customFormat="1">
      <c r="A4492" s="521" t="s">
        <v>318</v>
      </c>
      <c r="B4492" s="522" t="s">
        <v>723</v>
      </c>
      <c r="C4492" s="423" t="s">
        <v>331</v>
      </c>
      <c r="D4492" s="521" t="s">
        <v>724</v>
      </c>
      <c r="E4492" s="522">
        <v>201604</v>
      </c>
      <c r="F4492" s="523">
        <v>4.1900000000000004</v>
      </c>
      <c r="G4492" s="521">
        <v>12.5</v>
      </c>
      <c r="H4492" s="524">
        <v>1.3083000000000001E-3</v>
      </c>
      <c r="I4492" s="523">
        <v>7.0000000000000007E-2</v>
      </c>
      <c r="J4492" s="523">
        <v>7.0000000000000007E-2</v>
      </c>
    </row>
    <row r="4493" spans="1:10" s="559" customFormat="1">
      <c r="A4493" s="521" t="s">
        <v>318</v>
      </c>
      <c r="B4493" s="522" t="s">
        <v>723</v>
      </c>
      <c r="C4493" s="423" t="s">
        <v>331</v>
      </c>
      <c r="D4493" s="521" t="s">
        <v>724</v>
      </c>
      <c r="E4493" s="522">
        <v>201604</v>
      </c>
      <c r="F4493" s="523">
        <v>0.14000000000000001</v>
      </c>
      <c r="G4493" s="521">
        <v>12.5</v>
      </c>
      <c r="H4493" s="524">
        <v>1.3083000000000001E-3</v>
      </c>
      <c r="I4493" s="523">
        <v>0</v>
      </c>
      <c r="J4493" s="523">
        <v>0</v>
      </c>
    </row>
    <row r="4494" spans="1:10" s="559" customFormat="1">
      <c r="A4494" s="521" t="s">
        <v>318</v>
      </c>
      <c r="B4494" s="522" t="s">
        <v>623</v>
      </c>
      <c r="C4494" s="423" t="s">
        <v>331</v>
      </c>
      <c r="D4494" s="521" t="s">
        <v>624</v>
      </c>
      <c r="E4494" s="522">
        <v>201604</v>
      </c>
      <c r="F4494" s="523">
        <v>5394.55</v>
      </c>
      <c r="G4494" s="521">
        <v>12.5</v>
      </c>
      <c r="H4494" s="524">
        <v>1.3083000000000001E-3</v>
      </c>
      <c r="I4494" s="523">
        <v>88.22</v>
      </c>
      <c r="J4494" s="523">
        <v>84.69</v>
      </c>
    </row>
    <row r="4495" spans="1:10" s="559" customFormat="1">
      <c r="A4495" s="521" t="s">
        <v>318</v>
      </c>
      <c r="B4495" s="522" t="s">
        <v>710</v>
      </c>
      <c r="C4495" s="423" t="s">
        <v>439</v>
      </c>
      <c r="D4495" s="521" t="s">
        <v>711</v>
      </c>
      <c r="E4495" s="522">
        <v>201604</v>
      </c>
      <c r="F4495" s="523">
        <v>4.87</v>
      </c>
      <c r="G4495" s="521">
        <v>12.5</v>
      </c>
      <c r="H4495" s="524">
        <v>1.3083000000000001E-3</v>
      </c>
      <c r="I4495" s="523">
        <v>0.08</v>
      </c>
      <c r="J4495" s="523">
        <v>0.08</v>
      </c>
    </row>
    <row r="4496" spans="1:10" s="559" customFormat="1">
      <c r="A4496" s="521" t="s">
        <v>318</v>
      </c>
      <c r="B4496" s="522" t="s">
        <v>710</v>
      </c>
      <c r="C4496" s="423" t="s">
        <v>439</v>
      </c>
      <c r="D4496" s="521" t="s">
        <v>711</v>
      </c>
      <c r="E4496" s="522">
        <v>201604</v>
      </c>
      <c r="F4496" s="523">
        <v>0.28000000000000003</v>
      </c>
      <c r="G4496" s="521">
        <v>12.5</v>
      </c>
      <c r="H4496" s="524">
        <v>1.3083000000000001E-3</v>
      </c>
      <c r="I4496" s="523">
        <v>0</v>
      </c>
      <c r="J4496" s="523">
        <v>0</v>
      </c>
    </row>
    <row r="4497" spans="1:10" s="559" customFormat="1">
      <c r="A4497" s="521" t="s">
        <v>322</v>
      </c>
      <c r="B4497" s="522" t="s">
        <v>712</v>
      </c>
      <c r="C4497" s="423" t="s">
        <v>331</v>
      </c>
      <c r="D4497" s="521" t="s">
        <v>713</v>
      </c>
      <c r="E4497" s="522">
        <v>201604</v>
      </c>
      <c r="F4497" s="523">
        <v>5795.37</v>
      </c>
      <c r="G4497" s="521">
        <v>12.5</v>
      </c>
      <c r="H4497" s="524">
        <v>1.1999999999999999E-3</v>
      </c>
      <c r="I4497" s="523">
        <v>86.93</v>
      </c>
      <c r="J4497" s="523">
        <v>83.45</v>
      </c>
    </row>
    <row r="4498" spans="1:10" s="559" customFormat="1">
      <c r="A4498" s="521" t="s">
        <v>318</v>
      </c>
      <c r="B4498" s="522" t="s">
        <v>712</v>
      </c>
      <c r="C4498" s="423" t="s">
        <v>331</v>
      </c>
      <c r="D4498" s="521" t="s">
        <v>713</v>
      </c>
      <c r="E4498" s="522">
        <v>201604</v>
      </c>
      <c r="F4498" s="523">
        <v>8748.01</v>
      </c>
      <c r="G4498" s="521">
        <v>12.5</v>
      </c>
      <c r="H4498" s="524">
        <v>1.3083000000000001E-3</v>
      </c>
      <c r="I4498" s="523">
        <v>143.06</v>
      </c>
      <c r="J4498" s="523">
        <v>137.34</v>
      </c>
    </row>
    <row r="4499" spans="1:10" s="559" customFormat="1">
      <c r="A4499" s="521" t="s">
        <v>318</v>
      </c>
      <c r="B4499" s="522" t="s">
        <v>712</v>
      </c>
      <c r="C4499" s="423" t="s">
        <v>331</v>
      </c>
      <c r="D4499" s="521" t="s">
        <v>713</v>
      </c>
      <c r="E4499" s="522">
        <v>201604</v>
      </c>
      <c r="F4499" s="523">
        <v>195.93</v>
      </c>
      <c r="G4499" s="521">
        <v>12.5</v>
      </c>
      <c r="H4499" s="524">
        <v>1.3083000000000001E-3</v>
      </c>
      <c r="I4499" s="523">
        <v>3.2</v>
      </c>
      <c r="J4499" s="523">
        <v>3.08</v>
      </c>
    </row>
    <row r="4500" spans="1:10" s="559" customFormat="1">
      <c r="A4500" s="521" t="s">
        <v>318</v>
      </c>
      <c r="B4500" s="522" t="s">
        <v>625</v>
      </c>
      <c r="C4500" s="423" t="s">
        <v>331</v>
      </c>
      <c r="D4500" s="521" t="s">
        <v>626</v>
      </c>
      <c r="E4500" s="522">
        <v>201604</v>
      </c>
      <c r="F4500" s="523">
        <v>11.39</v>
      </c>
      <c r="G4500" s="521">
        <v>12.5</v>
      </c>
      <c r="H4500" s="524">
        <v>1.3083000000000001E-3</v>
      </c>
      <c r="I4500" s="523">
        <v>0.19</v>
      </c>
      <c r="J4500" s="523">
        <v>0.18</v>
      </c>
    </row>
    <row r="4501" spans="1:10" s="559" customFormat="1">
      <c r="A4501" s="521" t="s">
        <v>318</v>
      </c>
      <c r="B4501" s="522" t="s">
        <v>625</v>
      </c>
      <c r="C4501" s="423" t="s">
        <v>331</v>
      </c>
      <c r="D4501" s="521" t="s">
        <v>626</v>
      </c>
      <c r="E4501" s="522">
        <v>201604</v>
      </c>
      <c r="F4501" s="523">
        <v>0.71</v>
      </c>
      <c r="G4501" s="521">
        <v>12.5</v>
      </c>
      <c r="H4501" s="524">
        <v>1.3083000000000001E-3</v>
      </c>
      <c r="I4501" s="523">
        <v>0.01</v>
      </c>
      <c r="J4501" s="523">
        <v>0.01</v>
      </c>
    </row>
    <row r="4502" spans="1:10" s="559" customFormat="1">
      <c r="A4502" s="521" t="s">
        <v>318</v>
      </c>
      <c r="B4502" s="522" t="s">
        <v>796</v>
      </c>
      <c r="C4502" s="423" t="s">
        <v>331</v>
      </c>
      <c r="D4502" s="521" t="s">
        <v>797</v>
      </c>
      <c r="E4502" s="522">
        <v>201604</v>
      </c>
      <c r="F4502" s="523">
        <v>2565.7399999999998</v>
      </c>
      <c r="G4502" s="521">
        <v>12.5</v>
      </c>
      <c r="H4502" s="524">
        <v>1.3083000000000001E-3</v>
      </c>
      <c r="I4502" s="523">
        <v>41.96</v>
      </c>
      <c r="J4502" s="523">
        <v>40.28</v>
      </c>
    </row>
    <row r="4503" spans="1:10" s="559" customFormat="1">
      <c r="A4503" s="521" t="s">
        <v>318</v>
      </c>
      <c r="B4503" s="522" t="s">
        <v>796</v>
      </c>
      <c r="C4503" s="423" t="s">
        <v>331</v>
      </c>
      <c r="D4503" s="521" t="s">
        <v>797</v>
      </c>
      <c r="E4503" s="522">
        <v>201604</v>
      </c>
      <c r="F4503" s="523">
        <v>48.05</v>
      </c>
      <c r="G4503" s="521">
        <v>12.5</v>
      </c>
      <c r="H4503" s="524">
        <v>1.3083000000000001E-3</v>
      </c>
      <c r="I4503" s="523">
        <v>0.79</v>
      </c>
      <c r="J4503" s="523">
        <v>0.75</v>
      </c>
    </row>
    <row r="4504" spans="1:10" s="559" customFormat="1">
      <c r="A4504" s="521" t="s">
        <v>318</v>
      </c>
      <c r="B4504" s="522" t="s">
        <v>794</v>
      </c>
      <c r="C4504" s="423" t="s">
        <v>331</v>
      </c>
      <c r="D4504" s="521" t="s">
        <v>795</v>
      </c>
      <c r="E4504" s="522">
        <v>201604</v>
      </c>
      <c r="F4504" s="523">
        <v>4979.37</v>
      </c>
      <c r="G4504" s="521">
        <v>12.5</v>
      </c>
      <c r="H4504" s="524">
        <v>1.3083000000000001E-3</v>
      </c>
      <c r="I4504" s="523">
        <v>81.430000000000007</v>
      </c>
      <c r="J4504" s="523">
        <v>78.17</v>
      </c>
    </row>
    <row r="4505" spans="1:10" s="559" customFormat="1">
      <c r="A4505" s="521" t="s">
        <v>318</v>
      </c>
      <c r="B4505" s="522" t="s">
        <v>794</v>
      </c>
      <c r="C4505" s="423" t="s">
        <v>331</v>
      </c>
      <c r="D4505" s="521" t="s">
        <v>795</v>
      </c>
      <c r="E4505" s="522">
        <v>201604</v>
      </c>
      <c r="F4505" s="523">
        <v>220.77</v>
      </c>
      <c r="G4505" s="521">
        <v>12.5</v>
      </c>
      <c r="H4505" s="524">
        <v>1.3083000000000001E-3</v>
      </c>
      <c r="I4505" s="523">
        <v>3.61</v>
      </c>
      <c r="J4505" s="523">
        <v>3.47</v>
      </c>
    </row>
    <row r="4506" spans="1:10" s="559" customFormat="1">
      <c r="A4506" s="521" t="s">
        <v>318</v>
      </c>
      <c r="B4506" s="522" t="s">
        <v>614</v>
      </c>
      <c r="C4506" s="423" t="s">
        <v>331</v>
      </c>
      <c r="D4506" s="521" t="s">
        <v>714</v>
      </c>
      <c r="E4506" s="522">
        <v>201604</v>
      </c>
      <c r="F4506" s="523">
        <v>-0.03</v>
      </c>
      <c r="G4506" s="521">
        <v>12.5</v>
      </c>
      <c r="H4506" s="524">
        <v>1.3083000000000001E-3</v>
      </c>
      <c r="I4506" s="523">
        <v>0</v>
      </c>
      <c r="J4506" s="523">
        <v>0</v>
      </c>
    </row>
    <row r="4507" spans="1:10" s="559" customFormat="1">
      <c r="A4507" s="521" t="s">
        <v>322</v>
      </c>
      <c r="B4507" s="522" t="s">
        <v>614</v>
      </c>
      <c r="C4507" s="423" t="s">
        <v>331</v>
      </c>
      <c r="D4507" s="521" t="s">
        <v>714</v>
      </c>
      <c r="E4507" s="522">
        <v>201604</v>
      </c>
      <c r="F4507" s="523">
        <v>0.01</v>
      </c>
      <c r="G4507" s="521">
        <v>12.5</v>
      </c>
      <c r="H4507" s="524">
        <v>1.1999999999999999E-3</v>
      </c>
      <c r="I4507" s="523">
        <v>0</v>
      </c>
      <c r="J4507" s="523">
        <v>0</v>
      </c>
    </row>
    <row r="4508" spans="1:10" s="559" customFormat="1">
      <c r="A4508" s="521" t="s">
        <v>318</v>
      </c>
      <c r="B4508" s="522" t="s">
        <v>614</v>
      </c>
      <c r="C4508" s="423" t="s">
        <v>331</v>
      </c>
      <c r="D4508" s="521" t="s">
        <v>714</v>
      </c>
      <c r="E4508" s="522">
        <v>201604</v>
      </c>
      <c r="F4508" s="523">
        <v>-0.01</v>
      </c>
      <c r="G4508" s="521">
        <v>12.5</v>
      </c>
      <c r="H4508" s="524">
        <v>1.3083000000000001E-3</v>
      </c>
      <c r="I4508" s="523">
        <v>0</v>
      </c>
      <c r="J4508" s="523">
        <v>0</v>
      </c>
    </row>
    <row r="4509" spans="1:10" s="559" customFormat="1">
      <c r="A4509" s="521" t="s">
        <v>318</v>
      </c>
      <c r="B4509" s="522" t="s">
        <v>891</v>
      </c>
      <c r="C4509" s="423" t="s">
        <v>331</v>
      </c>
      <c r="D4509" s="521" t="s">
        <v>892</v>
      </c>
      <c r="E4509" s="522">
        <v>201604</v>
      </c>
      <c r="F4509" s="523">
        <v>450.35</v>
      </c>
      <c r="G4509" s="521">
        <v>12.5</v>
      </c>
      <c r="H4509" s="524">
        <v>1.3083000000000001E-3</v>
      </c>
      <c r="I4509" s="523">
        <v>7.36</v>
      </c>
      <c r="J4509" s="523">
        <v>7.07</v>
      </c>
    </row>
    <row r="4510" spans="1:10" s="559" customFormat="1">
      <c r="A4510" s="521" t="s">
        <v>318</v>
      </c>
      <c r="B4510" s="522" t="s">
        <v>704</v>
      </c>
      <c r="C4510" s="423" t="s">
        <v>330</v>
      </c>
      <c r="D4510" s="521" t="s">
        <v>884</v>
      </c>
      <c r="E4510" s="522">
        <v>201604</v>
      </c>
      <c r="F4510" s="523">
        <v>68.599999999999994</v>
      </c>
      <c r="G4510" s="521">
        <v>12.5</v>
      </c>
      <c r="H4510" s="524">
        <v>1.3083000000000001E-3</v>
      </c>
      <c r="I4510" s="523">
        <v>1.1200000000000001</v>
      </c>
      <c r="J4510" s="523">
        <v>1.08</v>
      </c>
    </row>
    <row r="4511" spans="1:10" s="559" customFormat="1">
      <c r="A4511" s="521" t="s">
        <v>318</v>
      </c>
      <c r="B4511" s="522" t="s">
        <v>704</v>
      </c>
      <c r="C4511" s="423" t="s">
        <v>330</v>
      </c>
      <c r="D4511" s="521" t="s">
        <v>884</v>
      </c>
      <c r="E4511" s="522">
        <v>201604</v>
      </c>
      <c r="F4511" s="523">
        <v>4.22</v>
      </c>
      <c r="G4511" s="521">
        <v>12.5</v>
      </c>
      <c r="H4511" s="524">
        <v>1.3083000000000001E-3</v>
      </c>
      <c r="I4511" s="523">
        <v>7.0000000000000007E-2</v>
      </c>
      <c r="J4511" s="523">
        <v>7.0000000000000007E-2</v>
      </c>
    </row>
    <row r="4512" spans="1:10" s="559" customFormat="1">
      <c r="A4512" s="521" t="s">
        <v>318</v>
      </c>
      <c r="B4512" s="522" t="s">
        <v>727</v>
      </c>
      <c r="C4512" s="423" t="s">
        <v>343</v>
      </c>
      <c r="D4512" s="521" t="s">
        <v>728</v>
      </c>
      <c r="E4512" s="522">
        <v>201604</v>
      </c>
      <c r="F4512" s="523">
        <v>260.60000000000002</v>
      </c>
      <c r="G4512" s="521">
        <v>12.5</v>
      </c>
      <c r="H4512" s="524">
        <v>1.3083000000000001E-3</v>
      </c>
      <c r="I4512" s="523">
        <v>4.26</v>
      </c>
      <c r="J4512" s="523">
        <v>4.09</v>
      </c>
    </row>
    <row r="4513" spans="1:10" s="559" customFormat="1">
      <c r="A4513" s="521" t="s">
        <v>318</v>
      </c>
      <c r="B4513" s="522" t="s">
        <v>729</v>
      </c>
      <c r="C4513" s="423" t="s">
        <v>331</v>
      </c>
      <c r="D4513" s="521" t="s">
        <v>730</v>
      </c>
      <c r="E4513" s="522">
        <v>201604</v>
      </c>
      <c r="F4513" s="523">
        <v>-2633.26</v>
      </c>
      <c r="G4513" s="521">
        <v>12.5</v>
      </c>
      <c r="H4513" s="524">
        <v>1.3083000000000001E-3</v>
      </c>
      <c r="I4513" s="523">
        <v>-43.06</v>
      </c>
      <c r="J4513" s="523">
        <v>-41.34</v>
      </c>
    </row>
    <row r="4514" spans="1:10" s="559" customFormat="1">
      <c r="A4514" s="521" t="s">
        <v>322</v>
      </c>
      <c r="B4514" s="522" t="s">
        <v>729</v>
      </c>
      <c r="C4514" s="423" t="s">
        <v>331</v>
      </c>
      <c r="D4514" s="521" t="s">
        <v>730</v>
      </c>
      <c r="E4514" s="522">
        <v>201604</v>
      </c>
      <c r="F4514" s="523">
        <v>5933.12</v>
      </c>
      <c r="G4514" s="521">
        <v>12.5</v>
      </c>
      <c r="H4514" s="524">
        <v>1.1999999999999999E-3</v>
      </c>
      <c r="I4514" s="523">
        <v>89</v>
      </c>
      <c r="J4514" s="523">
        <v>85.44</v>
      </c>
    </row>
    <row r="4515" spans="1:10" s="559" customFormat="1">
      <c r="A4515" s="521" t="s">
        <v>318</v>
      </c>
      <c r="B4515" s="522" t="s">
        <v>729</v>
      </c>
      <c r="C4515" s="423" t="s">
        <v>331</v>
      </c>
      <c r="D4515" s="521" t="s">
        <v>730</v>
      </c>
      <c r="E4515" s="522">
        <v>201604</v>
      </c>
      <c r="F4515" s="523">
        <v>-377.68</v>
      </c>
      <c r="G4515" s="521">
        <v>12.5</v>
      </c>
      <c r="H4515" s="524">
        <v>1.3083000000000001E-3</v>
      </c>
      <c r="I4515" s="523">
        <v>-6.18</v>
      </c>
      <c r="J4515" s="523">
        <v>-5.93</v>
      </c>
    </row>
    <row r="4516" spans="1:10" s="559" customFormat="1">
      <c r="A4516" s="521" t="s">
        <v>318</v>
      </c>
      <c r="B4516" s="522" t="s">
        <v>706</v>
      </c>
      <c r="C4516" s="423" t="s">
        <v>343</v>
      </c>
      <c r="D4516" s="521" t="s">
        <v>707</v>
      </c>
      <c r="E4516" s="522">
        <v>201605</v>
      </c>
      <c r="F4516" s="523">
        <v>-87.22</v>
      </c>
      <c r="G4516" s="521">
        <v>11.5</v>
      </c>
      <c r="H4516" s="524">
        <v>1.3083000000000001E-3</v>
      </c>
      <c r="I4516" s="523">
        <v>-1.31</v>
      </c>
      <c r="J4516" s="523">
        <v>-1.37</v>
      </c>
    </row>
    <row r="4517" spans="1:10" s="559" customFormat="1">
      <c r="A4517" s="521" t="s">
        <v>322</v>
      </c>
      <c r="B4517" s="522" t="s">
        <v>708</v>
      </c>
      <c r="C4517" s="423" t="s">
        <v>331</v>
      </c>
      <c r="D4517" s="521" t="s">
        <v>709</v>
      </c>
      <c r="E4517" s="522">
        <v>201605</v>
      </c>
      <c r="F4517" s="523">
        <v>3112.57</v>
      </c>
      <c r="G4517" s="521">
        <v>11.5</v>
      </c>
      <c r="H4517" s="524">
        <v>1.1999999999999999E-3</v>
      </c>
      <c r="I4517" s="523">
        <v>42.95</v>
      </c>
      <c r="J4517" s="523">
        <v>44.82</v>
      </c>
    </row>
    <row r="4518" spans="1:10" s="559" customFormat="1">
      <c r="A4518" s="521" t="s">
        <v>318</v>
      </c>
      <c r="B4518" s="522" t="s">
        <v>708</v>
      </c>
      <c r="C4518" s="423" t="s">
        <v>331</v>
      </c>
      <c r="D4518" s="521" t="s">
        <v>709</v>
      </c>
      <c r="E4518" s="522">
        <v>201605</v>
      </c>
      <c r="F4518" s="523">
        <v>20539.080000000002</v>
      </c>
      <c r="G4518" s="521">
        <v>11.5</v>
      </c>
      <c r="H4518" s="524">
        <v>1.3083000000000001E-3</v>
      </c>
      <c r="I4518" s="523">
        <v>309.02</v>
      </c>
      <c r="J4518" s="523">
        <v>322.45999999999998</v>
      </c>
    </row>
    <row r="4519" spans="1:10" s="559" customFormat="1">
      <c r="A4519" s="521" t="s">
        <v>318</v>
      </c>
      <c r="B4519" s="522" t="s">
        <v>717</v>
      </c>
      <c r="C4519" s="423" t="s">
        <v>331</v>
      </c>
      <c r="D4519" s="521" t="s">
        <v>718</v>
      </c>
      <c r="E4519" s="522">
        <v>201605</v>
      </c>
      <c r="F4519" s="523">
        <v>-140783.17000000001</v>
      </c>
      <c r="G4519" s="521">
        <v>11.5</v>
      </c>
      <c r="H4519" s="524">
        <v>1.3083000000000001E-3</v>
      </c>
      <c r="I4519" s="523">
        <v>-2118.15</v>
      </c>
      <c r="J4519" s="523">
        <v>-2210.2399999999998</v>
      </c>
    </row>
    <row r="4520" spans="1:10" s="559" customFormat="1">
      <c r="A4520" s="521" t="s">
        <v>322</v>
      </c>
      <c r="B4520" s="522" t="s">
        <v>717</v>
      </c>
      <c r="C4520" s="423" t="s">
        <v>331</v>
      </c>
      <c r="D4520" s="521" t="s">
        <v>718</v>
      </c>
      <c r="E4520" s="522">
        <v>201605</v>
      </c>
      <c r="F4520" s="523">
        <v>117497.34</v>
      </c>
      <c r="G4520" s="521">
        <v>11.5</v>
      </c>
      <c r="H4520" s="524">
        <v>1.1999999999999999E-3</v>
      </c>
      <c r="I4520" s="523">
        <v>1621.46</v>
      </c>
      <c r="J4520" s="523">
        <v>1691.96</v>
      </c>
    </row>
    <row r="4521" spans="1:10" s="559" customFormat="1">
      <c r="A4521" s="521" t="s">
        <v>318</v>
      </c>
      <c r="B4521" s="522" t="s">
        <v>717</v>
      </c>
      <c r="C4521" s="423" t="s">
        <v>331</v>
      </c>
      <c r="D4521" s="521" t="s">
        <v>718</v>
      </c>
      <c r="E4521" s="522">
        <v>201605</v>
      </c>
      <c r="F4521" s="523">
        <v>2262.2800000000002</v>
      </c>
      <c r="G4521" s="521">
        <v>11.5</v>
      </c>
      <c r="H4521" s="524">
        <v>1.3083000000000001E-3</v>
      </c>
      <c r="I4521" s="523">
        <v>34.04</v>
      </c>
      <c r="J4521" s="523">
        <v>35.520000000000003</v>
      </c>
    </row>
    <row r="4522" spans="1:10" s="559" customFormat="1">
      <c r="A4522" s="521" t="s">
        <v>322</v>
      </c>
      <c r="B4522" s="522" t="s">
        <v>717</v>
      </c>
      <c r="C4522" s="423" t="s">
        <v>331</v>
      </c>
      <c r="D4522" s="521" t="s">
        <v>718</v>
      </c>
      <c r="E4522" s="522">
        <v>201605</v>
      </c>
      <c r="F4522" s="523">
        <v>5659.95</v>
      </c>
      <c r="G4522" s="521">
        <v>11.5</v>
      </c>
      <c r="H4522" s="524">
        <v>1.1999999999999999E-3</v>
      </c>
      <c r="I4522" s="523">
        <v>78.11</v>
      </c>
      <c r="J4522" s="523">
        <v>81.5</v>
      </c>
    </row>
    <row r="4523" spans="1:10" s="559" customFormat="1">
      <c r="A4523" s="521" t="s">
        <v>318</v>
      </c>
      <c r="B4523" s="522" t="s">
        <v>617</v>
      </c>
      <c r="C4523" s="423" t="s">
        <v>331</v>
      </c>
      <c r="D4523" s="521" t="s">
        <v>618</v>
      </c>
      <c r="E4523" s="522">
        <v>201605</v>
      </c>
      <c r="F4523" s="523">
        <v>-1.0900000000000001</v>
      </c>
      <c r="G4523" s="521">
        <v>11.5</v>
      </c>
      <c r="H4523" s="524">
        <v>1.3083000000000001E-3</v>
      </c>
      <c r="I4523" s="523">
        <v>-0.02</v>
      </c>
      <c r="J4523" s="523">
        <v>-0.02</v>
      </c>
    </row>
    <row r="4524" spans="1:10" s="559" customFormat="1">
      <c r="A4524" s="521" t="s">
        <v>322</v>
      </c>
      <c r="B4524" s="522" t="s">
        <v>617</v>
      </c>
      <c r="C4524" s="423" t="s">
        <v>331</v>
      </c>
      <c r="D4524" s="521" t="s">
        <v>618</v>
      </c>
      <c r="E4524" s="522">
        <v>201605</v>
      </c>
      <c r="F4524" s="523">
        <v>-0.47</v>
      </c>
      <c r="G4524" s="521">
        <v>11.5</v>
      </c>
      <c r="H4524" s="524">
        <v>1.1999999999999999E-3</v>
      </c>
      <c r="I4524" s="523">
        <v>-0.01</v>
      </c>
      <c r="J4524" s="523">
        <v>-0.01</v>
      </c>
    </row>
    <row r="4525" spans="1:10" s="559" customFormat="1">
      <c r="A4525" s="521" t="s">
        <v>318</v>
      </c>
      <c r="B4525" s="522" t="s">
        <v>617</v>
      </c>
      <c r="C4525" s="423" t="s">
        <v>331</v>
      </c>
      <c r="D4525" s="521" t="s">
        <v>618</v>
      </c>
      <c r="E4525" s="522">
        <v>201605</v>
      </c>
      <c r="F4525" s="523">
        <v>-0.05</v>
      </c>
      <c r="G4525" s="521">
        <v>11.5</v>
      </c>
      <c r="H4525" s="524">
        <v>1.3083000000000001E-3</v>
      </c>
      <c r="I4525" s="523">
        <v>0</v>
      </c>
      <c r="J4525" s="523">
        <v>0</v>
      </c>
    </row>
    <row r="4526" spans="1:10" s="559" customFormat="1">
      <c r="A4526" s="521" t="s">
        <v>318</v>
      </c>
      <c r="B4526" s="522" t="s">
        <v>619</v>
      </c>
      <c r="C4526" s="423" t="s">
        <v>331</v>
      </c>
      <c r="D4526" s="521" t="s">
        <v>620</v>
      </c>
      <c r="E4526" s="522">
        <v>201605</v>
      </c>
      <c r="F4526" s="523">
        <v>13753.37</v>
      </c>
      <c r="G4526" s="521">
        <v>11.5</v>
      </c>
      <c r="H4526" s="524">
        <v>1.3083000000000001E-3</v>
      </c>
      <c r="I4526" s="523">
        <v>206.93</v>
      </c>
      <c r="J4526" s="523">
        <v>215.92</v>
      </c>
    </row>
    <row r="4527" spans="1:10" s="559" customFormat="1">
      <c r="A4527" s="521" t="s">
        <v>318</v>
      </c>
      <c r="B4527" s="522" t="s">
        <v>619</v>
      </c>
      <c r="C4527" s="423" t="s">
        <v>331</v>
      </c>
      <c r="D4527" s="521" t="s">
        <v>620</v>
      </c>
      <c r="E4527" s="522">
        <v>201605</v>
      </c>
      <c r="F4527" s="523">
        <v>2045.45</v>
      </c>
      <c r="G4527" s="521">
        <v>11.5</v>
      </c>
      <c r="H4527" s="524">
        <v>1.3083000000000001E-3</v>
      </c>
      <c r="I4527" s="523">
        <v>30.77</v>
      </c>
      <c r="J4527" s="523">
        <v>32.11</v>
      </c>
    </row>
    <row r="4528" spans="1:10" s="559" customFormat="1">
      <c r="A4528" s="521" t="s">
        <v>318</v>
      </c>
      <c r="B4528" s="522" t="s">
        <v>719</v>
      </c>
      <c r="C4528" s="423" t="s">
        <v>331</v>
      </c>
      <c r="D4528" s="521" t="s">
        <v>720</v>
      </c>
      <c r="E4528" s="522">
        <v>201605</v>
      </c>
      <c r="F4528" s="523">
        <v>431.65</v>
      </c>
      <c r="G4528" s="521">
        <v>11.5</v>
      </c>
      <c r="H4528" s="524">
        <v>1.3083000000000001E-3</v>
      </c>
      <c r="I4528" s="523">
        <v>6.49</v>
      </c>
      <c r="J4528" s="523">
        <v>6.78</v>
      </c>
    </row>
    <row r="4529" spans="1:10" s="559" customFormat="1">
      <c r="A4529" s="521" t="s">
        <v>318</v>
      </c>
      <c r="B4529" s="522" t="s">
        <v>719</v>
      </c>
      <c r="C4529" s="423" t="s">
        <v>331</v>
      </c>
      <c r="D4529" s="521" t="s">
        <v>720</v>
      </c>
      <c r="E4529" s="522">
        <v>201605</v>
      </c>
      <c r="F4529" s="523">
        <v>9.82</v>
      </c>
      <c r="G4529" s="521">
        <v>11.5</v>
      </c>
      <c r="H4529" s="524">
        <v>1.3083000000000001E-3</v>
      </c>
      <c r="I4529" s="523">
        <v>0.15</v>
      </c>
      <c r="J4529" s="523">
        <v>0.15</v>
      </c>
    </row>
    <row r="4530" spans="1:10" s="559" customFormat="1">
      <c r="A4530" s="521" t="s">
        <v>322</v>
      </c>
      <c r="B4530" s="522" t="s">
        <v>721</v>
      </c>
      <c r="C4530" s="423" t="s">
        <v>331</v>
      </c>
      <c r="D4530" s="521" t="s">
        <v>722</v>
      </c>
      <c r="E4530" s="522">
        <v>201605</v>
      </c>
      <c r="F4530" s="523">
        <v>365.71</v>
      </c>
      <c r="G4530" s="521">
        <v>11.5</v>
      </c>
      <c r="H4530" s="524">
        <v>1.1999999999999999E-3</v>
      </c>
      <c r="I4530" s="523">
        <v>5.05</v>
      </c>
      <c r="J4530" s="523">
        <v>5.27</v>
      </c>
    </row>
    <row r="4531" spans="1:10" s="559" customFormat="1">
      <c r="A4531" s="521" t="s">
        <v>318</v>
      </c>
      <c r="B4531" s="522" t="s">
        <v>723</v>
      </c>
      <c r="C4531" s="423" t="s">
        <v>331</v>
      </c>
      <c r="D4531" s="521" t="s">
        <v>724</v>
      </c>
      <c r="E4531" s="522">
        <v>201605</v>
      </c>
      <c r="F4531" s="523">
        <v>3.66</v>
      </c>
      <c r="G4531" s="521">
        <v>11.5</v>
      </c>
      <c r="H4531" s="524">
        <v>1.3083000000000001E-3</v>
      </c>
      <c r="I4531" s="523">
        <v>0.06</v>
      </c>
      <c r="J4531" s="523">
        <v>0.06</v>
      </c>
    </row>
    <row r="4532" spans="1:10" s="559" customFormat="1">
      <c r="A4532" s="521" t="s">
        <v>318</v>
      </c>
      <c r="B4532" s="522" t="s">
        <v>723</v>
      </c>
      <c r="C4532" s="423" t="s">
        <v>331</v>
      </c>
      <c r="D4532" s="521" t="s">
        <v>724</v>
      </c>
      <c r="E4532" s="522">
        <v>201605</v>
      </c>
      <c r="F4532" s="523">
        <v>0.12</v>
      </c>
      <c r="G4532" s="521">
        <v>11.5</v>
      </c>
      <c r="H4532" s="524">
        <v>1.3083000000000001E-3</v>
      </c>
      <c r="I4532" s="523">
        <v>0</v>
      </c>
      <c r="J4532" s="523">
        <v>0</v>
      </c>
    </row>
    <row r="4533" spans="1:10" s="559" customFormat="1">
      <c r="A4533" s="521" t="s">
        <v>318</v>
      </c>
      <c r="B4533" s="522" t="s">
        <v>623</v>
      </c>
      <c r="C4533" s="423" t="s">
        <v>331</v>
      </c>
      <c r="D4533" s="521" t="s">
        <v>624</v>
      </c>
      <c r="E4533" s="522">
        <v>201605</v>
      </c>
      <c r="F4533" s="523">
        <v>7562.79</v>
      </c>
      <c r="G4533" s="521">
        <v>11.5</v>
      </c>
      <c r="H4533" s="524">
        <v>1.3083000000000001E-3</v>
      </c>
      <c r="I4533" s="523">
        <v>113.79</v>
      </c>
      <c r="J4533" s="523">
        <v>118.73</v>
      </c>
    </row>
    <row r="4534" spans="1:10" s="559" customFormat="1">
      <c r="A4534" s="521" t="s">
        <v>318</v>
      </c>
      <c r="B4534" s="522" t="s">
        <v>710</v>
      </c>
      <c r="C4534" s="423" t="s">
        <v>439</v>
      </c>
      <c r="D4534" s="521" t="s">
        <v>711</v>
      </c>
      <c r="E4534" s="522">
        <v>201605</v>
      </c>
      <c r="F4534" s="523">
        <v>9.64</v>
      </c>
      <c r="G4534" s="521">
        <v>11.5</v>
      </c>
      <c r="H4534" s="524">
        <v>1.3083000000000001E-3</v>
      </c>
      <c r="I4534" s="523">
        <v>0.15</v>
      </c>
      <c r="J4534" s="523">
        <v>0.15</v>
      </c>
    </row>
    <row r="4535" spans="1:10" s="559" customFormat="1">
      <c r="A4535" s="521" t="s">
        <v>318</v>
      </c>
      <c r="B4535" s="522" t="s">
        <v>710</v>
      </c>
      <c r="C4535" s="423" t="s">
        <v>439</v>
      </c>
      <c r="D4535" s="521" t="s">
        <v>711</v>
      </c>
      <c r="E4535" s="522">
        <v>201605</v>
      </c>
      <c r="F4535" s="523">
        <v>0.36</v>
      </c>
      <c r="G4535" s="521">
        <v>11.5</v>
      </c>
      <c r="H4535" s="524">
        <v>1.3083000000000001E-3</v>
      </c>
      <c r="I4535" s="523">
        <v>0.01</v>
      </c>
      <c r="J4535" s="523">
        <v>0.01</v>
      </c>
    </row>
    <row r="4536" spans="1:10" s="559" customFormat="1">
      <c r="A4536" s="521" t="s">
        <v>322</v>
      </c>
      <c r="B4536" s="522" t="s">
        <v>712</v>
      </c>
      <c r="C4536" s="423" t="s">
        <v>331</v>
      </c>
      <c r="D4536" s="521" t="s">
        <v>713</v>
      </c>
      <c r="E4536" s="522">
        <v>201605</v>
      </c>
      <c r="F4536" s="523">
        <v>4461.37</v>
      </c>
      <c r="G4536" s="521">
        <v>11.5</v>
      </c>
      <c r="H4536" s="524">
        <v>1.1999999999999999E-3</v>
      </c>
      <c r="I4536" s="523">
        <v>61.57</v>
      </c>
      <c r="J4536" s="523">
        <v>64.239999999999995</v>
      </c>
    </row>
    <row r="4537" spans="1:10" s="559" customFormat="1">
      <c r="A4537" s="521" t="s">
        <v>318</v>
      </c>
      <c r="B4537" s="522" t="s">
        <v>712</v>
      </c>
      <c r="C4537" s="423" t="s">
        <v>331</v>
      </c>
      <c r="D4537" s="521" t="s">
        <v>713</v>
      </c>
      <c r="E4537" s="522">
        <v>201605</v>
      </c>
      <c r="F4537" s="523">
        <v>6734.37</v>
      </c>
      <c r="G4537" s="521">
        <v>11.5</v>
      </c>
      <c r="H4537" s="524">
        <v>1.3083000000000001E-3</v>
      </c>
      <c r="I4537" s="523">
        <v>101.32</v>
      </c>
      <c r="J4537" s="523">
        <v>105.73</v>
      </c>
    </row>
    <row r="4538" spans="1:10" s="559" customFormat="1">
      <c r="A4538" s="521" t="s">
        <v>318</v>
      </c>
      <c r="B4538" s="522" t="s">
        <v>712</v>
      </c>
      <c r="C4538" s="423" t="s">
        <v>331</v>
      </c>
      <c r="D4538" s="521" t="s">
        <v>713</v>
      </c>
      <c r="E4538" s="522">
        <v>201605</v>
      </c>
      <c r="F4538" s="523">
        <v>150.85</v>
      </c>
      <c r="G4538" s="521">
        <v>11.5</v>
      </c>
      <c r="H4538" s="524">
        <v>1.3083000000000001E-3</v>
      </c>
      <c r="I4538" s="523">
        <v>2.27</v>
      </c>
      <c r="J4538" s="523">
        <v>2.37</v>
      </c>
    </row>
    <row r="4539" spans="1:10" s="559" customFormat="1">
      <c r="A4539" s="521" t="s">
        <v>318</v>
      </c>
      <c r="B4539" s="522" t="s">
        <v>625</v>
      </c>
      <c r="C4539" s="423" t="s">
        <v>331</v>
      </c>
      <c r="D4539" s="521" t="s">
        <v>626</v>
      </c>
      <c r="E4539" s="522">
        <v>201605</v>
      </c>
      <c r="F4539" s="523">
        <v>11.55</v>
      </c>
      <c r="G4539" s="521">
        <v>11.5</v>
      </c>
      <c r="H4539" s="524">
        <v>1.3083000000000001E-3</v>
      </c>
      <c r="I4539" s="523">
        <v>0.17</v>
      </c>
      <c r="J4539" s="523">
        <v>0.18</v>
      </c>
    </row>
    <row r="4540" spans="1:10" s="559" customFormat="1">
      <c r="A4540" s="521" t="s">
        <v>318</v>
      </c>
      <c r="B4540" s="522" t="s">
        <v>625</v>
      </c>
      <c r="C4540" s="423" t="s">
        <v>331</v>
      </c>
      <c r="D4540" s="521" t="s">
        <v>626</v>
      </c>
      <c r="E4540" s="522">
        <v>201605</v>
      </c>
      <c r="F4540" s="523">
        <v>0.74</v>
      </c>
      <c r="G4540" s="521">
        <v>11.5</v>
      </c>
      <c r="H4540" s="524">
        <v>1.3083000000000001E-3</v>
      </c>
      <c r="I4540" s="523">
        <v>0.01</v>
      </c>
      <c r="J4540" s="523">
        <v>0.01</v>
      </c>
    </row>
    <row r="4541" spans="1:10" s="559" customFormat="1">
      <c r="A4541" s="521" t="s">
        <v>318</v>
      </c>
      <c r="B4541" s="522" t="s">
        <v>796</v>
      </c>
      <c r="C4541" s="423" t="s">
        <v>331</v>
      </c>
      <c r="D4541" s="521" t="s">
        <v>797</v>
      </c>
      <c r="E4541" s="522">
        <v>201605</v>
      </c>
      <c r="F4541" s="523">
        <v>3201.53</v>
      </c>
      <c r="G4541" s="521">
        <v>11.5</v>
      </c>
      <c r="H4541" s="524">
        <v>1.3083000000000001E-3</v>
      </c>
      <c r="I4541" s="523">
        <v>48.17</v>
      </c>
      <c r="J4541" s="523">
        <v>50.26</v>
      </c>
    </row>
    <row r="4542" spans="1:10" s="559" customFormat="1">
      <c r="A4542" s="521" t="s">
        <v>318</v>
      </c>
      <c r="B4542" s="522" t="s">
        <v>796</v>
      </c>
      <c r="C4542" s="423" t="s">
        <v>331</v>
      </c>
      <c r="D4542" s="521" t="s">
        <v>797</v>
      </c>
      <c r="E4542" s="522">
        <v>201605</v>
      </c>
      <c r="F4542" s="523">
        <v>-580.20000000000005</v>
      </c>
      <c r="G4542" s="521">
        <v>11.5</v>
      </c>
      <c r="H4542" s="524">
        <v>1.3083000000000001E-3</v>
      </c>
      <c r="I4542" s="523">
        <v>-8.73</v>
      </c>
      <c r="J4542" s="523">
        <v>-9.11</v>
      </c>
    </row>
    <row r="4543" spans="1:10" s="559" customFormat="1">
      <c r="A4543" s="521" t="s">
        <v>318</v>
      </c>
      <c r="B4543" s="522" t="s">
        <v>794</v>
      </c>
      <c r="C4543" s="423" t="s">
        <v>331</v>
      </c>
      <c r="D4543" s="521" t="s">
        <v>795</v>
      </c>
      <c r="E4543" s="522">
        <v>201605</v>
      </c>
      <c r="F4543" s="523">
        <v>4646.3500000000004</v>
      </c>
      <c r="G4543" s="521">
        <v>11.5</v>
      </c>
      <c r="H4543" s="524">
        <v>1.3083000000000001E-3</v>
      </c>
      <c r="I4543" s="523">
        <v>69.91</v>
      </c>
      <c r="J4543" s="523">
        <v>72.95</v>
      </c>
    </row>
    <row r="4544" spans="1:10" s="559" customFormat="1">
      <c r="A4544" s="521" t="s">
        <v>318</v>
      </c>
      <c r="B4544" s="522" t="s">
        <v>794</v>
      </c>
      <c r="C4544" s="423" t="s">
        <v>331</v>
      </c>
      <c r="D4544" s="521" t="s">
        <v>795</v>
      </c>
      <c r="E4544" s="522">
        <v>201605</v>
      </c>
      <c r="F4544" s="523">
        <v>-1160.44</v>
      </c>
      <c r="G4544" s="521">
        <v>11.5</v>
      </c>
      <c r="H4544" s="524">
        <v>1.3083000000000001E-3</v>
      </c>
      <c r="I4544" s="523">
        <v>-17.46</v>
      </c>
      <c r="J4544" s="523">
        <v>-18.22</v>
      </c>
    </row>
    <row r="4545" spans="1:10" s="559" customFormat="1">
      <c r="A4545" s="521" t="s">
        <v>318</v>
      </c>
      <c r="B4545" s="522" t="s">
        <v>614</v>
      </c>
      <c r="C4545" s="423" t="s">
        <v>331</v>
      </c>
      <c r="D4545" s="521" t="s">
        <v>714</v>
      </c>
      <c r="E4545" s="522">
        <v>201605</v>
      </c>
      <c r="F4545" s="523">
        <v>-0.5</v>
      </c>
      <c r="G4545" s="521">
        <v>11.5</v>
      </c>
      <c r="H4545" s="524">
        <v>1.3083000000000001E-3</v>
      </c>
      <c r="I4545" s="523">
        <v>-0.01</v>
      </c>
      <c r="J4545" s="523">
        <v>-0.01</v>
      </c>
    </row>
    <row r="4546" spans="1:10" s="559" customFormat="1">
      <c r="A4546" s="521" t="s">
        <v>322</v>
      </c>
      <c r="B4546" s="522" t="s">
        <v>614</v>
      </c>
      <c r="C4546" s="423" t="s">
        <v>331</v>
      </c>
      <c r="D4546" s="521" t="s">
        <v>714</v>
      </c>
      <c r="E4546" s="522">
        <v>201605</v>
      </c>
      <c r="F4546" s="523">
        <v>-0.04</v>
      </c>
      <c r="G4546" s="521">
        <v>11.5</v>
      </c>
      <c r="H4546" s="524">
        <v>1.1999999999999999E-3</v>
      </c>
      <c r="I4546" s="523">
        <v>0</v>
      </c>
      <c r="J4546" s="523">
        <v>0</v>
      </c>
    </row>
    <row r="4547" spans="1:10" s="559" customFormat="1">
      <c r="A4547" s="521" t="s">
        <v>318</v>
      </c>
      <c r="B4547" s="522" t="s">
        <v>614</v>
      </c>
      <c r="C4547" s="423" t="s">
        <v>331</v>
      </c>
      <c r="D4547" s="521" t="s">
        <v>714</v>
      </c>
      <c r="E4547" s="522">
        <v>201605</v>
      </c>
      <c r="F4547" s="523">
        <v>-0.06</v>
      </c>
      <c r="G4547" s="521">
        <v>11.5</v>
      </c>
      <c r="H4547" s="524">
        <v>1.3083000000000001E-3</v>
      </c>
      <c r="I4547" s="523">
        <v>0</v>
      </c>
      <c r="J4547" s="523">
        <v>0</v>
      </c>
    </row>
    <row r="4548" spans="1:10" s="559" customFormat="1">
      <c r="A4548" s="521" t="s">
        <v>318</v>
      </c>
      <c r="B4548" s="522" t="s">
        <v>891</v>
      </c>
      <c r="C4548" s="423" t="s">
        <v>331</v>
      </c>
      <c r="D4548" s="521" t="s">
        <v>892</v>
      </c>
      <c r="E4548" s="522">
        <v>201605</v>
      </c>
      <c r="F4548" s="523">
        <v>1360.8</v>
      </c>
      <c r="G4548" s="521">
        <v>11.5</v>
      </c>
      <c r="H4548" s="524">
        <v>1.3083000000000001E-3</v>
      </c>
      <c r="I4548" s="523">
        <v>20.47</v>
      </c>
      <c r="J4548" s="523">
        <v>21.36</v>
      </c>
    </row>
    <row r="4549" spans="1:10" s="559" customFormat="1">
      <c r="A4549" s="521" t="s">
        <v>318</v>
      </c>
      <c r="B4549" s="522" t="s">
        <v>704</v>
      </c>
      <c r="C4549" s="423" t="s">
        <v>330</v>
      </c>
      <c r="D4549" s="521" t="s">
        <v>884</v>
      </c>
      <c r="E4549" s="522">
        <v>201605</v>
      </c>
      <c r="F4549" s="523">
        <v>27.56</v>
      </c>
      <c r="G4549" s="521">
        <v>11.5</v>
      </c>
      <c r="H4549" s="524">
        <v>1.3083000000000001E-3</v>
      </c>
      <c r="I4549" s="523">
        <v>0.41</v>
      </c>
      <c r="J4549" s="523">
        <v>0.43</v>
      </c>
    </row>
    <row r="4550" spans="1:10" s="559" customFormat="1">
      <c r="A4550" s="521" t="s">
        <v>318</v>
      </c>
      <c r="B4550" s="522" t="s">
        <v>704</v>
      </c>
      <c r="C4550" s="423" t="s">
        <v>330</v>
      </c>
      <c r="D4550" s="521" t="s">
        <v>884</v>
      </c>
      <c r="E4550" s="522">
        <v>201605</v>
      </c>
      <c r="F4550" s="523">
        <v>1.35</v>
      </c>
      <c r="G4550" s="521">
        <v>11.5</v>
      </c>
      <c r="H4550" s="524">
        <v>1.3083000000000001E-3</v>
      </c>
      <c r="I4550" s="523">
        <v>0.02</v>
      </c>
      <c r="J4550" s="523">
        <v>0.02</v>
      </c>
    </row>
    <row r="4551" spans="1:10" s="559" customFormat="1">
      <c r="A4551" s="521" t="s">
        <v>318</v>
      </c>
      <c r="B4551" s="522" t="s">
        <v>727</v>
      </c>
      <c r="C4551" s="423" t="s">
        <v>343</v>
      </c>
      <c r="D4551" s="521" t="s">
        <v>728</v>
      </c>
      <c r="E4551" s="522">
        <v>201605</v>
      </c>
      <c r="F4551" s="523">
        <v>210.25</v>
      </c>
      <c r="G4551" s="521">
        <v>11.5</v>
      </c>
      <c r="H4551" s="524">
        <v>1.3083000000000001E-3</v>
      </c>
      <c r="I4551" s="523">
        <v>3.16</v>
      </c>
      <c r="J4551" s="523">
        <v>3.3</v>
      </c>
    </row>
    <row r="4552" spans="1:10" s="559" customFormat="1">
      <c r="A4552" s="521" t="s">
        <v>318</v>
      </c>
      <c r="B4552" s="522" t="s">
        <v>897</v>
      </c>
      <c r="C4552" s="423" t="s">
        <v>331</v>
      </c>
      <c r="D4552" s="521" t="s">
        <v>898</v>
      </c>
      <c r="E4552" s="522">
        <v>201605</v>
      </c>
      <c r="F4552" s="523">
        <v>37679.949999999997</v>
      </c>
      <c r="G4552" s="521">
        <v>11.5</v>
      </c>
      <c r="H4552" s="524">
        <v>1.3083000000000001E-3</v>
      </c>
      <c r="I4552" s="523">
        <v>566.91</v>
      </c>
      <c r="J4552" s="523">
        <v>591.55999999999995</v>
      </c>
    </row>
    <row r="4553" spans="1:10" s="559" customFormat="1">
      <c r="A4553" s="521" t="s">
        <v>318</v>
      </c>
      <c r="B4553" s="522" t="s">
        <v>897</v>
      </c>
      <c r="C4553" s="423" t="s">
        <v>331</v>
      </c>
      <c r="D4553" s="521" t="s">
        <v>898</v>
      </c>
      <c r="E4553" s="522">
        <v>201605</v>
      </c>
      <c r="F4553" s="523">
        <v>2353.6</v>
      </c>
      <c r="G4553" s="521">
        <v>11.5</v>
      </c>
      <c r="H4553" s="524">
        <v>1.3083000000000001E-3</v>
      </c>
      <c r="I4553" s="523">
        <v>35.409999999999997</v>
      </c>
      <c r="J4553" s="523">
        <v>36.950000000000003</v>
      </c>
    </row>
    <row r="4554" spans="1:10" s="559" customFormat="1">
      <c r="A4554" s="521" t="s">
        <v>322</v>
      </c>
      <c r="B4554" s="522" t="s">
        <v>729</v>
      </c>
      <c r="C4554" s="423" t="s">
        <v>331</v>
      </c>
      <c r="D4554" s="521" t="s">
        <v>730</v>
      </c>
      <c r="E4554" s="522">
        <v>201605</v>
      </c>
      <c r="F4554" s="523">
        <v>559.16</v>
      </c>
      <c r="G4554" s="521">
        <v>11.5</v>
      </c>
      <c r="H4554" s="524">
        <v>1.1999999999999999E-3</v>
      </c>
      <c r="I4554" s="523">
        <v>7.72</v>
      </c>
      <c r="J4554" s="523">
        <v>8.0500000000000007</v>
      </c>
    </row>
    <row r="4555" spans="1:10" s="559" customFormat="1">
      <c r="A4555" s="521" t="s">
        <v>318</v>
      </c>
      <c r="B4555" s="522" t="s">
        <v>729</v>
      </c>
      <c r="C4555" s="423" t="s">
        <v>331</v>
      </c>
      <c r="D4555" s="521" t="s">
        <v>730</v>
      </c>
      <c r="E4555" s="522">
        <v>201605</v>
      </c>
      <c r="F4555" s="523">
        <v>2681.31</v>
      </c>
      <c r="G4555" s="521">
        <v>11.5</v>
      </c>
      <c r="H4555" s="524">
        <v>1.3083000000000001E-3</v>
      </c>
      <c r="I4555" s="523">
        <v>40.340000000000003</v>
      </c>
      <c r="J4555" s="523">
        <v>42.1</v>
      </c>
    </row>
    <row r="4556" spans="1:10" s="559" customFormat="1">
      <c r="A4556" s="521" t="s">
        <v>318</v>
      </c>
      <c r="B4556" s="522" t="s">
        <v>729</v>
      </c>
      <c r="C4556" s="423" t="s">
        <v>331</v>
      </c>
      <c r="D4556" s="521" t="s">
        <v>730</v>
      </c>
      <c r="E4556" s="522">
        <v>201605</v>
      </c>
      <c r="F4556" s="523">
        <v>47.61</v>
      </c>
      <c r="G4556" s="521">
        <v>11.5</v>
      </c>
      <c r="H4556" s="524">
        <v>1.3083000000000001E-3</v>
      </c>
      <c r="I4556" s="523">
        <v>0.72</v>
      </c>
      <c r="J4556" s="523">
        <v>0.75</v>
      </c>
    </row>
    <row r="4557" spans="1:10" s="559" customFormat="1">
      <c r="A4557" s="521" t="s">
        <v>318</v>
      </c>
      <c r="B4557" s="522" t="s">
        <v>706</v>
      </c>
      <c r="C4557" s="423" t="s">
        <v>343</v>
      </c>
      <c r="D4557" s="521" t="s">
        <v>707</v>
      </c>
      <c r="E4557" s="522">
        <v>201606</v>
      </c>
      <c r="F4557" s="523">
        <v>-64.17</v>
      </c>
      <c r="G4557" s="521">
        <v>10.5</v>
      </c>
      <c r="H4557" s="524">
        <v>1.3083000000000001E-3</v>
      </c>
      <c r="I4557" s="523">
        <v>-0.88</v>
      </c>
      <c r="J4557" s="523">
        <v>-1.01</v>
      </c>
    </row>
    <row r="4558" spans="1:10" s="559" customFormat="1">
      <c r="A4558" s="521" t="s">
        <v>322</v>
      </c>
      <c r="B4558" s="522" t="s">
        <v>708</v>
      </c>
      <c r="C4558" s="423" t="s">
        <v>331</v>
      </c>
      <c r="D4558" s="521" t="s">
        <v>709</v>
      </c>
      <c r="E4558" s="522">
        <v>201606</v>
      </c>
      <c r="F4558" s="523">
        <v>-57822.27</v>
      </c>
      <c r="G4558" s="521">
        <v>10.5</v>
      </c>
      <c r="H4558" s="524">
        <v>1.1999999999999999E-3</v>
      </c>
      <c r="I4558" s="523">
        <v>-728.56</v>
      </c>
      <c r="J4558" s="523">
        <v>-832.64</v>
      </c>
    </row>
    <row r="4559" spans="1:10" s="559" customFormat="1">
      <c r="A4559" s="521" t="s">
        <v>322</v>
      </c>
      <c r="B4559" s="522" t="s">
        <v>708</v>
      </c>
      <c r="C4559" s="423" t="s">
        <v>331</v>
      </c>
      <c r="D4559" s="521" t="s">
        <v>709</v>
      </c>
      <c r="E4559" s="522">
        <v>201606</v>
      </c>
      <c r="F4559" s="523">
        <v>1836.54</v>
      </c>
      <c r="G4559" s="521">
        <v>10.5</v>
      </c>
      <c r="H4559" s="524">
        <v>1.1999999999999999E-3</v>
      </c>
      <c r="I4559" s="523">
        <v>23.14</v>
      </c>
      <c r="J4559" s="523">
        <v>26.45</v>
      </c>
    </row>
    <row r="4560" spans="1:10" s="559" customFormat="1">
      <c r="A4560" s="521" t="s">
        <v>318</v>
      </c>
      <c r="B4560" s="522" t="s">
        <v>708</v>
      </c>
      <c r="C4560" s="423" t="s">
        <v>331</v>
      </c>
      <c r="D4560" s="521" t="s">
        <v>709</v>
      </c>
      <c r="E4560" s="522">
        <v>201606</v>
      </c>
      <c r="F4560" s="523">
        <v>13360.84</v>
      </c>
      <c r="G4560" s="521">
        <v>10.5</v>
      </c>
      <c r="H4560" s="524">
        <v>1.3083000000000001E-3</v>
      </c>
      <c r="I4560" s="523">
        <v>183.54</v>
      </c>
      <c r="J4560" s="523">
        <v>209.76</v>
      </c>
    </row>
    <row r="4561" spans="1:10" s="559" customFormat="1">
      <c r="A4561" s="521" t="s">
        <v>318</v>
      </c>
      <c r="B4561" s="522" t="s">
        <v>708</v>
      </c>
      <c r="C4561" s="423" t="s">
        <v>331</v>
      </c>
      <c r="D4561" s="521" t="s">
        <v>709</v>
      </c>
      <c r="E4561" s="522">
        <v>201606</v>
      </c>
      <c r="F4561" s="523">
        <v>40826.550000000003</v>
      </c>
      <c r="G4561" s="521">
        <v>10.5</v>
      </c>
      <c r="H4561" s="524">
        <v>1.3083000000000001E-3</v>
      </c>
      <c r="I4561" s="523">
        <v>560.84</v>
      </c>
      <c r="J4561" s="523">
        <v>640.96</v>
      </c>
    </row>
    <row r="4562" spans="1:10" s="559" customFormat="1">
      <c r="A4562" s="521" t="s">
        <v>318</v>
      </c>
      <c r="B4562" s="522" t="s">
        <v>717</v>
      </c>
      <c r="C4562" s="423" t="s">
        <v>331</v>
      </c>
      <c r="D4562" s="521" t="s">
        <v>718</v>
      </c>
      <c r="E4562" s="522">
        <v>201606</v>
      </c>
      <c r="F4562" s="523">
        <v>38.72</v>
      </c>
      <c r="G4562" s="521">
        <v>10.5</v>
      </c>
      <c r="H4562" s="524">
        <v>1.3083000000000001E-3</v>
      </c>
      <c r="I4562" s="523">
        <v>0.53</v>
      </c>
      <c r="J4562" s="523">
        <v>0.61</v>
      </c>
    </row>
    <row r="4563" spans="1:10" s="559" customFormat="1">
      <c r="A4563" s="521" t="s">
        <v>318</v>
      </c>
      <c r="B4563" s="522" t="s">
        <v>717</v>
      </c>
      <c r="C4563" s="423" t="s">
        <v>331</v>
      </c>
      <c r="D4563" s="521" t="s">
        <v>718</v>
      </c>
      <c r="E4563" s="522">
        <v>201606</v>
      </c>
      <c r="F4563" s="523">
        <v>96.88</v>
      </c>
      <c r="G4563" s="521">
        <v>10.5</v>
      </c>
      <c r="H4563" s="524">
        <v>1.3083000000000001E-3</v>
      </c>
      <c r="I4563" s="523">
        <v>1.33</v>
      </c>
      <c r="J4563" s="523">
        <v>1.52</v>
      </c>
    </row>
    <row r="4564" spans="1:10" s="559" customFormat="1">
      <c r="A4564" s="521" t="s">
        <v>322</v>
      </c>
      <c r="B4564" s="522" t="s">
        <v>717</v>
      </c>
      <c r="C4564" s="423" t="s">
        <v>331</v>
      </c>
      <c r="D4564" s="521" t="s">
        <v>718</v>
      </c>
      <c r="E4564" s="522">
        <v>201606</v>
      </c>
      <c r="F4564" s="523">
        <v>113.37</v>
      </c>
      <c r="G4564" s="521">
        <v>10.5</v>
      </c>
      <c r="H4564" s="524">
        <v>1.1999999999999999E-3</v>
      </c>
      <c r="I4564" s="523">
        <v>1.43</v>
      </c>
      <c r="J4564" s="523">
        <v>1.63</v>
      </c>
    </row>
    <row r="4565" spans="1:10" s="559" customFormat="1">
      <c r="A4565" s="521" t="s">
        <v>322</v>
      </c>
      <c r="B4565" s="522" t="s">
        <v>717</v>
      </c>
      <c r="C4565" s="423" t="s">
        <v>331</v>
      </c>
      <c r="D4565" s="521" t="s">
        <v>718</v>
      </c>
      <c r="E4565" s="522">
        <v>201606</v>
      </c>
      <c r="F4565" s="523">
        <v>2900.53</v>
      </c>
      <c r="G4565" s="521">
        <v>10.5</v>
      </c>
      <c r="H4565" s="524">
        <v>1.1999999999999999E-3</v>
      </c>
      <c r="I4565" s="523">
        <v>36.549999999999997</v>
      </c>
      <c r="J4565" s="523">
        <v>41.77</v>
      </c>
    </row>
    <row r="4566" spans="1:10" s="559" customFormat="1">
      <c r="A4566" s="521" t="s">
        <v>318</v>
      </c>
      <c r="B4566" s="522" t="s">
        <v>717</v>
      </c>
      <c r="C4566" s="423" t="s">
        <v>331</v>
      </c>
      <c r="D4566" s="521" t="s">
        <v>718</v>
      </c>
      <c r="E4566" s="522">
        <v>201606</v>
      </c>
      <c r="F4566" s="523">
        <v>3922.33</v>
      </c>
      <c r="G4566" s="521">
        <v>10.5</v>
      </c>
      <c r="H4566" s="524">
        <v>1.3083000000000001E-3</v>
      </c>
      <c r="I4566" s="523">
        <v>53.88</v>
      </c>
      <c r="J4566" s="523">
        <v>61.58</v>
      </c>
    </row>
    <row r="4567" spans="1:10" s="559" customFormat="1">
      <c r="A4567" s="521" t="s">
        <v>318</v>
      </c>
      <c r="B4567" s="522" t="s">
        <v>617</v>
      </c>
      <c r="C4567" s="423" t="s">
        <v>331</v>
      </c>
      <c r="D4567" s="521" t="s">
        <v>618</v>
      </c>
      <c r="E4567" s="522">
        <v>201606</v>
      </c>
      <c r="F4567" s="523">
        <v>-0.75</v>
      </c>
      <c r="G4567" s="521">
        <v>10.5</v>
      </c>
      <c r="H4567" s="524">
        <v>1.3083000000000001E-3</v>
      </c>
      <c r="I4567" s="523">
        <v>-0.01</v>
      </c>
      <c r="J4567" s="523">
        <v>-0.01</v>
      </c>
    </row>
    <row r="4568" spans="1:10" s="559" customFormat="1">
      <c r="A4568" s="521" t="s">
        <v>322</v>
      </c>
      <c r="B4568" s="522" t="s">
        <v>617</v>
      </c>
      <c r="C4568" s="423" t="s">
        <v>331</v>
      </c>
      <c r="D4568" s="521" t="s">
        <v>618</v>
      </c>
      <c r="E4568" s="522">
        <v>201606</v>
      </c>
      <c r="F4568" s="523">
        <v>-0.32</v>
      </c>
      <c r="G4568" s="521">
        <v>10.5</v>
      </c>
      <c r="H4568" s="524">
        <v>1.1999999999999999E-3</v>
      </c>
      <c r="I4568" s="523">
        <v>0</v>
      </c>
      <c r="J4568" s="523">
        <v>0</v>
      </c>
    </row>
    <row r="4569" spans="1:10" s="559" customFormat="1">
      <c r="A4569" s="521" t="s">
        <v>318</v>
      </c>
      <c r="B4569" s="522" t="s">
        <v>617</v>
      </c>
      <c r="C4569" s="423" t="s">
        <v>331</v>
      </c>
      <c r="D4569" s="521" t="s">
        <v>618</v>
      </c>
      <c r="E4569" s="522">
        <v>201606</v>
      </c>
      <c r="F4569" s="523">
        <v>-0.04</v>
      </c>
      <c r="G4569" s="521">
        <v>10.5</v>
      </c>
      <c r="H4569" s="524">
        <v>1.3083000000000001E-3</v>
      </c>
      <c r="I4569" s="523">
        <v>0</v>
      </c>
      <c r="J4569" s="523">
        <v>0</v>
      </c>
    </row>
    <row r="4570" spans="1:10" s="559" customFormat="1">
      <c r="A4570" s="521" t="s">
        <v>318</v>
      </c>
      <c r="B4570" s="522" t="s">
        <v>619</v>
      </c>
      <c r="C4570" s="423" t="s">
        <v>331</v>
      </c>
      <c r="D4570" s="521" t="s">
        <v>620</v>
      </c>
      <c r="E4570" s="522">
        <v>201606</v>
      </c>
      <c r="F4570" s="523">
        <v>-5160.0200000000004</v>
      </c>
      <c r="G4570" s="521">
        <v>10.5</v>
      </c>
      <c r="H4570" s="524">
        <v>1.3083000000000001E-3</v>
      </c>
      <c r="I4570" s="523">
        <v>-70.88</v>
      </c>
      <c r="J4570" s="523">
        <v>-81.010000000000005</v>
      </c>
    </row>
    <row r="4571" spans="1:10" s="559" customFormat="1">
      <c r="A4571" s="521" t="s">
        <v>318</v>
      </c>
      <c r="B4571" s="522" t="s">
        <v>619</v>
      </c>
      <c r="C4571" s="423" t="s">
        <v>331</v>
      </c>
      <c r="D4571" s="521" t="s">
        <v>620</v>
      </c>
      <c r="E4571" s="522">
        <v>201606</v>
      </c>
      <c r="F4571" s="523">
        <v>-767.4</v>
      </c>
      <c r="G4571" s="521">
        <v>10.5</v>
      </c>
      <c r="H4571" s="524">
        <v>1.3083000000000001E-3</v>
      </c>
      <c r="I4571" s="523">
        <v>-10.54</v>
      </c>
      <c r="J4571" s="523">
        <v>-12.05</v>
      </c>
    </row>
    <row r="4572" spans="1:10" s="559" customFormat="1">
      <c r="A4572" s="521" t="s">
        <v>318</v>
      </c>
      <c r="B4572" s="522" t="s">
        <v>719</v>
      </c>
      <c r="C4572" s="423" t="s">
        <v>331</v>
      </c>
      <c r="D4572" s="521" t="s">
        <v>720</v>
      </c>
      <c r="E4572" s="522">
        <v>201606</v>
      </c>
      <c r="F4572" s="523">
        <v>7.01</v>
      </c>
      <c r="G4572" s="521">
        <v>10.5</v>
      </c>
      <c r="H4572" s="524">
        <v>1.3083000000000001E-3</v>
      </c>
      <c r="I4572" s="523">
        <v>0.1</v>
      </c>
      <c r="J4572" s="523">
        <v>0.11</v>
      </c>
    </row>
    <row r="4573" spans="1:10" s="559" customFormat="1">
      <c r="A4573" s="521" t="s">
        <v>318</v>
      </c>
      <c r="B4573" s="522" t="s">
        <v>719</v>
      </c>
      <c r="C4573" s="423" t="s">
        <v>331</v>
      </c>
      <c r="D4573" s="521" t="s">
        <v>720</v>
      </c>
      <c r="E4573" s="522">
        <v>201606</v>
      </c>
      <c r="F4573" s="523">
        <v>306.66000000000003</v>
      </c>
      <c r="G4573" s="521">
        <v>10.5</v>
      </c>
      <c r="H4573" s="524">
        <v>1.3083000000000001E-3</v>
      </c>
      <c r="I4573" s="523">
        <v>4.21</v>
      </c>
      <c r="J4573" s="523">
        <v>4.8099999999999996</v>
      </c>
    </row>
    <row r="4574" spans="1:10" s="559" customFormat="1">
      <c r="A4574" s="521" t="s">
        <v>318</v>
      </c>
      <c r="B4574" s="522" t="s">
        <v>893</v>
      </c>
      <c r="C4574" s="423" t="s">
        <v>331</v>
      </c>
      <c r="D4574" s="521" t="s">
        <v>894</v>
      </c>
      <c r="E4574" s="522">
        <v>201606</v>
      </c>
      <c r="F4574" s="523">
        <v>-65173.61</v>
      </c>
      <c r="G4574" s="521">
        <v>10.5</v>
      </c>
      <c r="H4574" s="524">
        <v>1.3083000000000001E-3</v>
      </c>
      <c r="I4574" s="523">
        <v>-895.3</v>
      </c>
      <c r="J4574" s="523">
        <v>-1023.2</v>
      </c>
    </row>
    <row r="4575" spans="1:10" s="559" customFormat="1">
      <c r="A4575" s="521" t="s">
        <v>322</v>
      </c>
      <c r="B4575" s="522" t="s">
        <v>721</v>
      </c>
      <c r="C4575" s="423" t="s">
        <v>331</v>
      </c>
      <c r="D4575" s="521" t="s">
        <v>722</v>
      </c>
      <c r="E4575" s="522">
        <v>201606</v>
      </c>
      <c r="F4575" s="523">
        <v>243.73</v>
      </c>
      <c r="G4575" s="521">
        <v>10.5</v>
      </c>
      <c r="H4575" s="524">
        <v>1.1999999999999999E-3</v>
      </c>
      <c r="I4575" s="523">
        <v>3.07</v>
      </c>
      <c r="J4575" s="523">
        <v>3.51</v>
      </c>
    </row>
    <row r="4576" spans="1:10" s="559" customFormat="1">
      <c r="A4576" s="521" t="s">
        <v>318</v>
      </c>
      <c r="B4576" s="522" t="s">
        <v>723</v>
      </c>
      <c r="C4576" s="423" t="s">
        <v>331</v>
      </c>
      <c r="D4576" s="521" t="s">
        <v>724</v>
      </c>
      <c r="E4576" s="522">
        <v>201606</v>
      </c>
      <c r="F4576" s="523">
        <v>0.09</v>
      </c>
      <c r="G4576" s="521">
        <v>10.5</v>
      </c>
      <c r="H4576" s="524">
        <v>1.3083000000000001E-3</v>
      </c>
      <c r="I4576" s="523">
        <v>0</v>
      </c>
      <c r="J4576" s="523">
        <v>0</v>
      </c>
    </row>
    <row r="4577" spans="1:10" s="559" customFormat="1">
      <c r="A4577" s="521" t="s">
        <v>318</v>
      </c>
      <c r="B4577" s="522" t="s">
        <v>723</v>
      </c>
      <c r="C4577" s="423" t="s">
        <v>331</v>
      </c>
      <c r="D4577" s="521" t="s">
        <v>724</v>
      </c>
      <c r="E4577" s="522">
        <v>201606</v>
      </c>
      <c r="F4577" s="523">
        <v>2.54</v>
      </c>
      <c r="G4577" s="521">
        <v>10.5</v>
      </c>
      <c r="H4577" s="524">
        <v>1.3083000000000001E-3</v>
      </c>
      <c r="I4577" s="523">
        <v>0.03</v>
      </c>
      <c r="J4577" s="523">
        <v>0.04</v>
      </c>
    </row>
    <row r="4578" spans="1:10" s="559" customFormat="1">
      <c r="A4578" s="521" t="s">
        <v>318</v>
      </c>
      <c r="B4578" s="522" t="s">
        <v>623</v>
      </c>
      <c r="C4578" s="423" t="s">
        <v>331</v>
      </c>
      <c r="D4578" s="521" t="s">
        <v>624</v>
      </c>
      <c r="E4578" s="522">
        <v>201606</v>
      </c>
      <c r="F4578" s="523">
        <v>-5485.96</v>
      </c>
      <c r="G4578" s="521">
        <v>10.5</v>
      </c>
      <c r="H4578" s="524">
        <v>1.3083000000000001E-3</v>
      </c>
      <c r="I4578" s="523">
        <v>-75.36</v>
      </c>
      <c r="J4578" s="523">
        <v>-86.13</v>
      </c>
    </row>
    <row r="4579" spans="1:10" s="559" customFormat="1">
      <c r="A4579" s="521" t="s">
        <v>318</v>
      </c>
      <c r="B4579" s="522" t="s">
        <v>899</v>
      </c>
      <c r="C4579" s="423" t="s">
        <v>331</v>
      </c>
      <c r="D4579" s="521" t="s">
        <v>900</v>
      </c>
      <c r="E4579" s="522">
        <v>201606</v>
      </c>
      <c r="F4579" s="523">
        <v>876.38</v>
      </c>
      <c r="G4579" s="521">
        <v>10.5</v>
      </c>
      <c r="H4579" s="524">
        <v>1.3083000000000001E-3</v>
      </c>
      <c r="I4579" s="523">
        <v>12.04</v>
      </c>
      <c r="J4579" s="523">
        <v>13.76</v>
      </c>
    </row>
    <row r="4580" spans="1:10" s="559" customFormat="1">
      <c r="A4580" s="521" t="s">
        <v>318</v>
      </c>
      <c r="B4580" s="522" t="s">
        <v>899</v>
      </c>
      <c r="C4580" s="423" t="s">
        <v>331</v>
      </c>
      <c r="D4580" s="521" t="s">
        <v>900</v>
      </c>
      <c r="E4580" s="522">
        <v>201606</v>
      </c>
      <c r="F4580" s="523">
        <v>31564.17</v>
      </c>
      <c r="G4580" s="521">
        <v>10.5</v>
      </c>
      <c r="H4580" s="524">
        <v>1.3083000000000001E-3</v>
      </c>
      <c r="I4580" s="523">
        <v>433.6</v>
      </c>
      <c r="J4580" s="523">
        <v>495.54</v>
      </c>
    </row>
    <row r="4581" spans="1:10" s="559" customFormat="1">
      <c r="A4581" s="521" t="s">
        <v>318</v>
      </c>
      <c r="B4581" s="522" t="s">
        <v>710</v>
      </c>
      <c r="C4581" s="423" t="s">
        <v>439</v>
      </c>
      <c r="D4581" s="521" t="s">
        <v>711</v>
      </c>
      <c r="E4581" s="522">
        <v>201606</v>
      </c>
      <c r="F4581" s="523">
        <v>0.25</v>
      </c>
      <c r="G4581" s="521">
        <v>10.5</v>
      </c>
      <c r="H4581" s="524">
        <v>1.3083000000000001E-3</v>
      </c>
      <c r="I4581" s="523">
        <v>0</v>
      </c>
      <c r="J4581" s="523">
        <v>0</v>
      </c>
    </row>
    <row r="4582" spans="1:10" s="559" customFormat="1">
      <c r="A4582" s="521" t="s">
        <v>318</v>
      </c>
      <c r="B4582" s="522" t="s">
        <v>710</v>
      </c>
      <c r="C4582" s="423" t="s">
        <v>439</v>
      </c>
      <c r="D4582" s="521" t="s">
        <v>711</v>
      </c>
      <c r="E4582" s="522">
        <v>201606</v>
      </c>
      <c r="F4582" s="523">
        <v>6.71</v>
      </c>
      <c r="G4582" s="521">
        <v>10.5</v>
      </c>
      <c r="H4582" s="524">
        <v>1.3083000000000001E-3</v>
      </c>
      <c r="I4582" s="523">
        <v>0.09</v>
      </c>
      <c r="J4582" s="523">
        <v>0.11</v>
      </c>
    </row>
    <row r="4583" spans="1:10" s="559" customFormat="1">
      <c r="A4583" s="521" t="s">
        <v>318</v>
      </c>
      <c r="B4583" s="522" t="s">
        <v>712</v>
      </c>
      <c r="C4583" s="423" t="s">
        <v>331</v>
      </c>
      <c r="D4583" s="521" t="s">
        <v>713</v>
      </c>
      <c r="E4583" s="522">
        <v>201606</v>
      </c>
      <c r="F4583" s="523">
        <v>223.05</v>
      </c>
      <c r="G4583" s="521">
        <v>10.5</v>
      </c>
      <c r="H4583" s="524">
        <v>1.3083000000000001E-3</v>
      </c>
      <c r="I4583" s="523">
        <v>3.06</v>
      </c>
      <c r="J4583" s="523">
        <v>3.5</v>
      </c>
    </row>
    <row r="4584" spans="1:10" s="559" customFormat="1">
      <c r="A4584" s="521" t="s">
        <v>322</v>
      </c>
      <c r="B4584" s="522" t="s">
        <v>712</v>
      </c>
      <c r="C4584" s="423" t="s">
        <v>331</v>
      </c>
      <c r="D4584" s="521" t="s">
        <v>713</v>
      </c>
      <c r="E4584" s="522">
        <v>201606</v>
      </c>
      <c r="F4584" s="523">
        <v>6596.74</v>
      </c>
      <c r="G4584" s="521">
        <v>10.5</v>
      </c>
      <c r="H4584" s="524">
        <v>1.1999999999999999E-3</v>
      </c>
      <c r="I4584" s="523">
        <v>83.12</v>
      </c>
      <c r="J4584" s="523">
        <v>94.99</v>
      </c>
    </row>
    <row r="4585" spans="1:10" s="559" customFormat="1">
      <c r="A4585" s="521" t="s">
        <v>318</v>
      </c>
      <c r="B4585" s="522" t="s">
        <v>712</v>
      </c>
      <c r="C4585" s="423" t="s">
        <v>331</v>
      </c>
      <c r="D4585" s="521" t="s">
        <v>713</v>
      </c>
      <c r="E4585" s="522">
        <v>201606</v>
      </c>
      <c r="F4585" s="523">
        <v>9957.64</v>
      </c>
      <c r="G4585" s="521">
        <v>10.5</v>
      </c>
      <c r="H4585" s="524">
        <v>1.3083000000000001E-3</v>
      </c>
      <c r="I4585" s="523">
        <v>136.79</v>
      </c>
      <c r="J4585" s="523">
        <v>156.33000000000001</v>
      </c>
    </row>
    <row r="4586" spans="1:10" s="559" customFormat="1">
      <c r="A4586" s="521" t="s">
        <v>318</v>
      </c>
      <c r="B4586" s="522" t="s">
        <v>625</v>
      </c>
      <c r="C4586" s="423" t="s">
        <v>331</v>
      </c>
      <c r="D4586" s="521" t="s">
        <v>626</v>
      </c>
      <c r="E4586" s="522">
        <v>201606</v>
      </c>
      <c r="F4586" s="523">
        <v>0.51</v>
      </c>
      <c r="G4586" s="521">
        <v>10.5</v>
      </c>
      <c r="H4586" s="524">
        <v>1.3083000000000001E-3</v>
      </c>
      <c r="I4586" s="523">
        <v>0.01</v>
      </c>
      <c r="J4586" s="523">
        <v>0.01</v>
      </c>
    </row>
    <row r="4587" spans="1:10" s="559" customFormat="1">
      <c r="A4587" s="521" t="s">
        <v>318</v>
      </c>
      <c r="B4587" s="522" t="s">
        <v>625</v>
      </c>
      <c r="C4587" s="423" t="s">
        <v>331</v>
      </c>
      <c r="D4587" s="521" t="s">
        <v>626</v>
      </c>
      <c r="E4587" s="522">
        <v>201606</v>
      </c>
      <c r="F4587" s="523">
        <v>8.11</v>
      </c>
      <c r="G4587" s="521">
        <v>10.5</v>
      </c>
      <c r="H4587" s="524">
        <v>1.3083000000000001E-3</v>
      </c>
      <c r="I4587" s="523">
        <v>0.11</v>
      </c>
      <c r="J4587" s="523">
        <v>0.13</v>
      </c>
    </row>
    <row r="4588" spans="1:10" s="559" customFormat="1">
      <c r="A4588" s="521" t="s">
        <v>318</v>
      </c>
      <c r="B4588" s="522" t="s">
        <v>796</v>
      </c>
      <c r="C4588" s="423" t="s">
        <v>331</v>
      </c>
      <c r="D4588" s="521" t="s">
        <v>797</v>
      </c>
      <c r="E4588" s="522">
        <v>201606</v>
      </c>
      <c r="F4588" s="523">
        <v>1678.54</v>
      </c>
      <c r="G4588" s="521">
        <v>10.5</v>
      </c>
      <c r="H4588" s="524">
        <v>1.3083000000000001E-3</v>
      </c>
      <c r="I4588" s="523">
        <v>23.06</v>
      </c>
      <c r="J4588" s="523">
        <v>26.35</v>
      </c>
    </row>
    <row r="4589" spans="1:10" s="559" customFormat="1">
      <c r="A4589" s="521" t="s">
        <v>318</v>
      </c>
      <c r="B4589" s="522" t="s">
        <v>614</v>
      </c>
      <c r="C4589" s="423" t="s">
        <v>331</v>
      </c>
      <c r="D4589" s="521" t="s">
        <v>714</v>
      </c>
      <c r="E4589" s="522">
        <v>201606</v>
      </c>
      <c r="F4589" s="523">
        <v>-0.35</v>
      </c>
      <c r="G4589" s="521">
        <v>10.5</v>
      </c>
      <c r="H4589" s="524">
        <v>1.3083000000000001E-3</v>
      </c>
      <c r="I4589" s="523">
        <v>0</v>
      </c>
      <c r="J4589" s="523">
        <v>-0.01</v>
      </c>
    </row>
    <row r="4590" spans="1:10" s="559" customFormat="1">
      <c r="A4590" s="521" t="s">
        <v>318</v>
      </c>
      <c r="B4590" s="522" t="s">
        <v>614</v>
      </c>
      <c r="C4590" s="423" t="s">
        <v>331</v>
      </c>
      <c r="D4590" s="521" t="s">
        <v>714</v>
      </c>
      <c r="E4590" s="522">
        <v>201606</v>
      </c>
      <c r="F4590" s="523">
        <v>-0.04</v>
      </c>
      <c r="G4590" s="521">
        <v>10.5</v>
      </c>
      <c r="H4590" s="524">
        <v>1.3083000000000001E-3</v>
      </c>
      <c r="I4590" s="523">
        <v>0</v>
      </c>
      <c r="J4590" s="523">
        <v>0</v>
      </c>
    </row>
    <row r="4591" spans="1:10" s="559" customFormat="1">
      <c r="A4591" s="521" t="s">
        <v>322</v>
      </c>
      <c r="B4591" s="522" t="s">
        <v>614</v>
      </c>
      <c r="C4591" s="423" t="s">
        <v>331</v>
      </c>
      <c r="D4591" s="521" t="s">
        <v>714</v>
      </c>
      <c r="E4591" s="522">
        <v>201606</v>
      </c>
      <c r="F4591" s="523">
        <v>-0.03</v>
      </c>
      <c r="G4591" s="521">
        <v>10.5</v>
      </c>
      <c r="H4591" s="524">
        <v>1.1999999999999999E-3</v>
      </c>
      <c r="I4591" s="523">
        <v>0</v>
      </c>
      <c r="J4591" s="523">
        <v>0</v>
      </c>
    </row>
    <row r="4592" spans="1:10" s="559" customFormat="1">
      <c r="A4592" s="521" t="s">
        <v>318</v>
      </c>
      <c r="B4592" s="522" t="s">
        <v>891</v>
      </c>
      <c r="C4592" s="423" t="s">
        <v>331</v>
      </c>
      <c r="D4592" s="521" t="s">
        <v>892</v>
      </c>
      <c r="E4592" s="522">
        <v>201606</v>
      </c>
      <c r="F4592" s="523">
        <v>972.77</v>
      </c>
      <c r="G4592" s="521">
        <v>10.5</v>
      </c>
      <c r="H4592" s="524">
        <v>1.3083000000000001E-3</v>
      </c>
      <c r="I4592" s="523">
        <v>13.36</v>
      </c>
      <c r="J4592" s="523">
        <v>15.27</v>
      </c>
    </row>
    <row r="4593" spans="1:10" s="559" customFormat="1">
      <c r="A4593" s="521" t="s">
        <v>318</v>
      </c>
      <c r="B4593" s="522" t="s">
        <v>727</v>
      </c>
      <c r="C4593" s="423" t="s">
        <v>343</v>
      </c>
      <c r="D4593" s="521" t="s">
        <v>728</v>
      </c>
      <c r="E4593" s="522">
        <v>201606</v>
      </c>
      <c r="F4593" s="523">
        <v>162.57</v>
      </c>
      <c r="G4593" s="521">
        <v>10.5</v>
      </c>
      <c r="H4593" s="524">
        <v>1.3083000000000001E-3</v>
      </c>
      <c r="I4593" s="523">
        <v>2.23</v>
      </c>
      <c r="J4593" s="523">
        <v>2.5499999999999998</v>
      </c>
    </row>
    <row r="4594" spans="1:10" s="559" customFormat="1">
      <c r="A4594" s="521" t="s">
        <v>318</v>
      </c>
      <c r="B4594" s="522" t="s">
        <v>897</v>
      </c>
      <c r="C4594" s="423" t="s">
        <v>331</v>
      </c>
      <c r="D4594" s="521" t="s">
        <v>898</v>
      </c>
      <c r="E4594" s="522">
        <v>201606</v>
      </c>
      <c r="F4594" s="523">
        <v>128.38999999999999</v>
      </c>
      <c r="G4594" s="521">
        <v>10.5</v>
      </c>
      <c r="H4594" s="524">
        <v>1.3083000000000001E-3</v>
      </c>
      <c r="I4594" s="523">
        <v>1.76</v>
      </c>
      <c r="J4594" s="523">
        <v>2.02</v>
      </c>
    </row>
    <row r="4595" spans="1:10" s="559" customFormat="1">
      <c r="A4595" s="521" t="s">
        <v>318</v>
      </c>
      <c r="B4595" s="522" t="s">
        <v>897</v>
      </c>
      <c r="C4595" s="423" t="s">
        <v>331</v>
      </c>
      <c r="D4595" s="521" t="s">
        <v>898</v>
      </c>
      <c r="E4595" s="522">
        <v>201606</v>
      </c>
      <c r="F4595" s="523">
        <v>2055.63</v>
      </c>
      <c r="G4595" s="521">
        <v>10.5</v>
      </c>
      <c r="H4595" s="524">
        <v>1.3083000000000001E-3</v>
      </c>
      <c r="I4595" s="523">
        <v>28.24</v>
      </c>
      <c r="J4595" s="523">
        <v>32.270000000000003</v>
      </c>
    </row>
    <row r="4596" spans="1:10" s="559" customFormat="1">
      <c r="A4596" s="521" t="s">
        <v>318</v>
      </c>
      <c r="B4596" s="522" t="s">
        <v>729</v>
      </c>
      <c r="C4596" s="423" t="s">
        <v>331</v>
      </c>
      <c r="D4596" s="521" t="s">
        <v>730</v>
      </c>
      <c r="E4596" s="522">
        <v>201606</v>
      </c>
      <c r="F4596" s="523">
        <v>26.88</v>
      </c>
      <c r="G4596" s="521">
        <v>10.5</v>
      </c>
      <c r="H4596" s="524">
        <v>1.3083000000000001E-3</v>
      </c>
      <c r="I4596" s="523">
        <v>0.37</v>
      </c>
      <c r="J4596" s="523">
        <v>0.42</v>
      </c>
    </row>
    <row r="4597" spans="1:10" s="559" customFormat="1">
      <c r="A4597" s="521" t="s">
        <v>322</v>
      </c>
      <c r="B4597" s="522" t="s">
        <v>729</v>
      </c>
      <c r="C4597" s="423" t="s">
        <v>331</v>
      </c>
      <c r="D4597" s="521" t="s">
        <v>730</v>
      </c>
      <c r="E4597" s="522">
        <v>201606</v>
      </c>
      <c r="F4597" s="523">
        <v>317.86</v>
      </c>
      <c r="G4597" s="521">
        <v>10.5</v>
      </c>
      <c r="H4597" s="524">
        <v>1.1999999999999999E-3</v>
      </c>
      <c r="I4597" s="523">
        <v>4.01</v>
      </c>
      <c r="J4597" s="523">
        <v>4.58</v>
      </c>
    </row>
    <row r="4598" spans="1:10" s="559" customFormat="1">
      <c r="A4598" s="521" t="s">
        <v>318</v>
      </c>
      <c r="B4598" s="522" t="s">
        <v>729</v>
      </c>
      <c r="C4598" s="423" t="s">
        <v>331</v>
      </c>
      <c r="D4598" s="521" t="s">
        <v>730</v>
      </c>
      <c r="E4598" s="522">
        <v>201606</v>
      </c>
      <c r="F4598" s="523">
        <v>1524.85</v>
      </c>
      <c r="G4598" s="521">
        <v>10.5</v>
      </c>
      <c r="H4598" s="524">
        <v>1.3083000000000001E-3</v>
      </c>
      <c r="I4598" s="523">
        <v>20.95</v>
      </c>
      <c r="J4598" s="523">
        <v>23.94</v>
      </c>
    </row>
    <row r="4599" spans="1:10" s="559" customFormat="1">
      <c r="A4599" s="521" t="s">
        <v>318</v>
      </c>
      <c r="B4599" s="522" t="s">
        <v>895</v>
      </c>
      <c r="C4599" s="423" t="s">
        <v>343</v>
      </c>
      <c r="D4599" s="521" t="s">
        <v>896</v>
      </c>
      <c r="E4599" s="522">
        <v>201606</v>
      </c>
      <c r="F4599" s="523">
        <v>12879.07</v>
      </c>
      <c r="G4599" s="521">
        <v>10.5</v>
      </c>
      <c r="H4599" s="524">
        <v>1.3083000000000001E-3</v>
      </c>
      <c r="I4599" s="523">
        <v>176.92</v>
      </c>
      <c r="J4599" s="523">
        <v>202.2</v>
      </c>
    </row>
    <row r="4600" spans="1:10" s="559" customFormat="1">
      <c r="A4600" s="521" t="s">
        <v>322</v>
      </c>
      <c r="B4600" s="522" t="s">
        <v>901</v>
      </c>
      <c r="C4600" s="423" t="s">
        <v>331</v>
      </c>
      <c r="D4600" s="521" t="s">
        <v>902</v>
      </c>
      <c r="E4600" s="522">
        <v>201606</v>
      </c>
      <c r="F4600" s="523">
        <v>62.92</v>
      </c>
      <c r="G4600" s="521">
        <v>10.5</v>
      </c>
      <c r="H4600" s="524">
        <v>1.1999999999999999E-3</v>
      </c>
      <c r="I4600" s="523">
        <v>0.79</v>
      </c>
      <c r="J4600" s="523">
        <v>0.91</v>
      </c>
    </row>
    <row r="4601" spans="1:10" s="559" customFormat="1">
      <c r="A4601" s="521" t="s">
        <v>322</v>
      </c>
      <c r="B4601" s="522" t="s">
        <v>901</v>
      </c>
      <c r="C4601" s="423" t="s">
        <v>331</v>
      </c>
      <c r="D4601" s="521" t="s">
        <v>902</v>
      </c>
      <c r="E4601" s="522">
        <v>201606</v>
      </c>
      <c r="F4601" s="523">
        <v>4389.87</v>
      </c>
      <c r="G4601" s="521">
        <v>10.5</v>
      </c>
      <c r="H4601" s="524">
        <v>1.1999999999999999E-3</v>
      </c>
      <c r="I4601" s="523">
        <v>55.31</v>
      </c>
      <c r="J4601" s="523">
        <v>63.21</v>
      </c>
    </row>
    <row r="4602" spans="1:10" s="559" customFormat="1">
      <c r="A4602" s="521" t="s">
        <v>318</v>
      </c>
      <c r="B4602" s="522" t="s">
        <v>706</v>
      </c>
      <c r="C4602" s="423" t="s">
        <v>343</v>
      </c>
      <c r="D4602" s="521" t="s">
        <v>707</v>
      </c>
      <c r="E4602" s="522">
        <v>201607</v>
      </c>
      <c r="F4602" s="523">
        <v>-102.06</v>
      </c>
      <c r="G4602" s="521">
        <v>9.5</v>
      </c>
      <c r="H4602" s="524">
        <v>1.3083000000000001E-3</v>
      </c>
      <c r="I4602" s="523">
        <v>-1.27</v>
      </c>
      <c r="J4602" s="523">
        <v>-1.6</v>
      </c>
    </row>
    <row r="4603" spans="1:10" s="559" customFormat="1">
      <c r="A4603" s="521" t="s">
        <v>318</v>
      </c>
      <c r="B4603" s="522" t="s">
        <v>708</v>
      </c>
      <c r="C4603" s="423" t="s">
        <v>331</v>
      </c>
      <c r="D4603" s="521" t="s">
        <v>709</v>
      </c>
      <c r="E4603" s="522">
        <v>201607</v>
      </c>
      <c r="F4603" s="523">
        <v>582.16999999999996</v>
      </c>
      <c r="G4603" s="521">
        <v>9.5</v>
      </c>
      <c r="H4603" s="524">
        <v>1.3083000000000001E-3</v>
      </c>
      <c r="I4603" s="523">
        <v>7.24</v>
      </c>
      <c r="J4603" s="523">
        <v>9.14</v>
      </c>
    </row>
    <row r="4604" spans="1:10" s="559" customFormat="1">
      <c r="A4604" s="521" t="s">
        <v>322</v>
      </c>
      <c r="B4604" s="522" t="s">
        <v>708</v>
      </c>
      <c r="C4604" s="423" t="s">
        <v>331</v>
      </c>
      <c r="D4604" s="521" t="s">
        <v>709</v>
      </c>
      <c r="E4604" s="522">
        <v>201607</v>
      </c>
      <c r="F4604" s="523">
        <v>1275.46</v>
      </c>
      <c r="G4604" s="521">
        <v>9.5</v>
      </c>
      <c r="H4604" s="524">
        <v>1.1999999999999999E-3</v>
      </c>
      <c r="I4604" s="523">
        <v>14.54</v>
      </c>
      <c r="J4604" s="523">
        <v>18.37</v>
      </c>
    </row>
    <row r="4605" spans="1:10" s="559" customFormat="1">
      <c r="A4605" s="521" t="s">
        <v>318</v>
      </c>
      <c r="B4605" s="522" t="s">
        <v>708</v>
      </c>
      <c r="C4605" s="423" t="s">
        <v>331</v>
      </c>
      <c r="D4605" s="521" t="s">
        <v>709</v>
      </c>
      <c r="E4605" s="522">
        <v>201607</v>
      </c>
      <c r="F4605" s="523">
        <v>16974.55</v>
      </c>
      <c r="G4605" s="521">
        <v>9.5</v>
      </c>
      <c r="H4605" s="524">
        <v>1.3083000000000001E-3</v>
      </c>
      <c r="I4605" s="523">
        <v>210.97</v>
      </c>
      <c r="J4605" s="523">
        <v>266.49</v>
      </c>
    </row>
    <row r="4606" spans="1:10" s="559" customFormat="1">
      <c r="A4606" s="521" t="s">
        <v>318</v>
      </c>
      <c r="B4606" s="522" t="s">
        <v>717</v>
      </c>
      <c r="C4606" s="423" t="s">
        <v>331</v>
      </c>
      <c r="D4606" s="521" t="s">
        <v>718</v>
      </c>
      <c r="E4606" s="522">
        <v>201607</v>
      </c>
      <c r="F4606" s="523">
        <v>36.33</v>
      </c>
      <c r="G4606" s="521">
        <v>9.5</v>
      </c>
      <c r="H4606" s="524">
        <v>1.3083000000000001E-3</v>
      </c>
      <c r="I4606" s="523">
        <v>0.45</v>
      </c>
      <c r="J4606" s="523">
        <v>0.56999999999999995</v>
      </c>
    </row>
    <row r="4607" spans="1:10" s="559" customFormat="1">
      <c r="A4607" s="521" t="s">
        <v>322</v>
      </c>
      <c r="B4607" s="522" t="s">
        <v>717</v>
      </c>
      <c r="C4607" s="423" t="s">
        <v>331</v>
      </c>
      <c r="D4607" s="521" t="s">
        <v>718</v>
      </c>
      <c r="E4607" s="522">
        <v>201607</v>
      </c>
      <c r="F4607" s="523">
        <v>106.47</v>
      </c>
      <c r="G4607" s="521">
        <v>9.5</v>
      </c>
      <c r="H4607" s="524">
        <v>1.1999999999999999E-3</v>
      </c>
      <c r="I4607" s="523">
        <v>1.21</v>
      </c>
      <c r="J4607" s="523">
        <v>1.53</v>
      </c>
    </row>
    <row r="4608" spans="1:10" s="559" customFormat="1">
      <c r="A4608" s="521" t="s">
        <v>322</v>
      </c>
      <c r="B4608" s="522" t="s">
        <v>717</v>
      </c>
      <c r="C4608" s="423" t="s">
        <v>331</v>
      </c>
      <c r="D4608" s="521" t="s">
        <v>718</v>
      </c>
      <c r="E4608" s="522">
        <v>201607</v>
      </c>
      <c r="F4608" s="523">
        <v>2723.13</v>
      </c>
      <c r="G4608" s="521">
        <v>9.5</v>
      </c>
      <c r="H4608" s="524">
        <v>1.1999999999999999E-3</v>
      </c>
      <c r="I4608" s="523">
        <v>31.04</v>
      </c>
      <c r="J4608" s="523">
        <v>39.21</v>
      </c>
    </row>
    <row r="4609" spans="1:10" s="559" customFormat="1">
      <c r="A4609" s="521" t="s">
        <v>318</v>
      </c>
      <c r="B4609" s="522" t="s">
        <v>717</v>
      </c>
      <c r="C4609" s="423" t="s">
        <v>331</v>
      </c>
      <c r="D4609" s="521" t="s">
        <v>718</v>
      </c>
      <c r="E4609" s="522">
        <v>201607</v>
      </c>
      <c r="F4609" s="523">
        <v>3774.07</v>
      </c>
      <c r="G4609" s="521">
        <v>9.5</v>
      </c>
      <c r="H4609" s="524">
        <v>1.3083000000000001E-3</v>
      </c>
      <c r="I4609" s="523">
        <v>46.91</v>
      </c>
      <c r="J4609" s="523">
        <v>59.25</v>
      </c>
    </row>
    <row r="4610" spans="1:10" s="559" customFormat="1">
      <c r="A4610" s="521" t="s">
        <v>318</v>
      </c>
      <c r="B4610" s="522" t="s">
        <v>617</v>
      </c>
      <c r="C4610" s="423" t="s">
        <v>331</v>
      </c>
      <c r="D4610" s="521" t="s">
        <v>618</v>
      </c>
      <c r="E4610" s="522">
        <v>201607</v>
      </c>
      <c r="F4610" s="523">
        <v>-0.67</v>
      </c>
      <c r="G4610" s="521">
        <v>9.5</v>
      </c>
      <c r="H4610" s="524">
        <v>1.3083000000000001E-3</v>
      </c>
      <c r="I4610" s="523">
        <v>-0.01</v>
      </c>
      <c r="J4610" s="523">
        <v>-0.01</v>
      </c>
    </row>
    <row r="4611" spans="1:10" s="559" customFormat="1">
      <c r="A4611" s="521" t="s">
        <v>322</v>
      </c>
      <c r="B4611" s="522" t="s">
        <v>617</v>
      </c>
      <c r="C4611" s="423" t="s">
        <v>331</v>
      </c>
      <c r="D4611" s="521" t="s">
        <v>618</v>
      </c>
      <c r="E4611" s="522">
        <v>201607</v>
      </c>
      <c r="F4611" s="523">
        <v>-0.28000000000000003</v>
      </c>
      <c r="G4611" s="521">
        <v>9.5</v>
      </c>
      <c r="H4611" s="524">
        <v>1.1999999999999999E-3</v>
      </c>
      <c r="I4611" s="523">
        <v>0</v>
      </c>
      <c r="J4611" s="523">
        <v>0</v>
      </c>
    </row>
    <row r="4612" spans="1:10" s="559" customFormat="1">
      <c r="A4612" s="521" t="s">
        <v>318</v>
      </c>
      <c r="B4612" s="522" t="s">
        <v>617</v>
      </c>
      <c r="C4612" s="423" t="s">
        <v>331</v>
      </c>
      <c r="D4612" s="521" t="s">
        <v>618</v>
      </c>
      <c r="E4612" s="522">
        <v>201607</v>
      </c>
      <c r="F4612" s="523">
        <v>-0.03</v>
      </c>
      <c r="G4612" s="521">
        <v>9.5</v>
      </c>
      <c r="H4612" s="524">
        <v>1.3083000000000001E-3</v>
      </c>
      <c r="I4612" s="523">
        <v>0</v>
      </c>
      <c r="J4612" s="523">
        <v>0</v>
      </c>
    </row>
    <row r="4613" spans="1:10" s="559" customFormat="1">
      <c r="A4613" s="521" t="s">
        <v>318</v>
      </c>
      <c r="B4613" s="522" t="s">
        <v>619</v>
      </c>
      <c r="C4613" s="423" t="s">
        <v>331</v>
      </c>
      <c r="D4613" s="521" t="s">
        <v>620</v>
      </c>
      <c r="E4613" s="522">
        <v>201607</v>
      </c>
      <c r="F4613" s="523">
        <v>2347.3000000000002</v>
      </c>
      <c r="G4613" s="521">
        <v>9.5</v>
      </c>
      <c r="H4613" s="524">
        <v>1.3083000000000001E-3</v>
      </c>
      <c r="I4613" s="523">
        <v>29.17</v>
      </c>
      <c r="J4613" s="523">
        <v>36.85</v>
      </c>
    </row>
    <row r="4614" spans="1:10" s="559" customFormat="1">
      <c r="A4614" s="521" t="s">
        <v>318</v>
      </c>
      <c r="B4614" s="522" t="s">
        <v>619</v>
      </c>
      <c r="C4614" s="423" t="s">
        <v>331</v>
      </c>
      <c r="D4614" s="521" t="s">
        <v>620</v>
      </c>
      <c r="E4614" s="522">
        <v>201607</v>
      </c>
      <c r="F4614" s="523">
        <v>15783.07</v>
      </c>
      <c r="G4614" s="521">
        <v>9.5</v>
      </c>
      <c r="H4614" s="524">
        <v>1.3083000000000001E-3</v>
      </c>
      <c r="I4614" s="523">
        <v>196.17</v>
      </c>
      <c r="J4614" s="523">
        <v>247.79</v>
      </c>
    </row>
    <row r="4615" spans="1:10" s="559" customFormat="1">
      <c r="A4615" s="521" t="s">
        <v>318</v>
      </c>
      <c r="B4615" s="522" t="s">
        <v>719</v>
      </c>
      <c r="C4615" s="423" t="s">
        <v>331</v>
      </c>
      <c r="D4615" s="521" t="s">
        <v>720</v>
      </c>
      <c r="E4615" s="522">
        <v>201607</v>
      </c>
      <c r="F4615" s="523">
        <v>6.29</v>
      </c>
      <c r="G4615" s="521">
        <v>9.5</v>
      </c>
      <c r="H4615" s="524">
        <v>1.3083000000000001E-3</v>
      </c>
      <c r="I4615" s="523">
        <v>0.08</v>
      </c>
      <c r="J4615" s="523">
        <v>0.1</v>
      </c>
    </row>
    <row r="4616" spans="1:10" s="559" customFormat="1">
      <c r="A4616" s="521" t="s">
        <v>318</v>
      </c>
      <c r="B4616" s="522" t="s">
        <v>719</v>
      </c>
      <c r="C4616" s="423" t="s">
        <v>331</v>
      </c>
      <c r="D4616" s="521" t="s">
        <v>720</v>
      </c>
      <c r="E4616" s="522">
        <v>201607</v>
      </c>
      <c r="F4616" s="523">
        <v>275.62</v>
      </c>
      <c r="G4616" s="521">
        <v>9.5</v>
      </c>
      <c r="H4616" s="524">
        <v>1.3083000000000001E-3</v>
      </c>
      <c r="I4616" s="523">
        <v>3.43</v>
      </c>
      <c r="J4616" s="523">
        <v>4.33</v>
      </c>
    </row>
    <row r="4617" spans="1:10" s="559" customFormat="1">
      <c r="A4617" s="521" t="s">
        <v>318</v>
      </c>
      <c r="B4617" s="522" t="s">
        <v>893</v>
      </c>
      <c r="C4617" s="423" t="s">
        <v>331</v>
      </c>
      <c r="D4617" s="521" t="s">
        <v>894</v>
      </c>
      <c r="E4617" s="522">
        <v>201607</v>
      </c>
      <c r="F4617" s="523">
        <v>6844.34</v>
      </c>
      <c r="G4617" s="521">
        <v>9.5</v>
      </c>
      <c r="H4617" s="524">
        <v>1.3083000000000001E-3</v>
      </c>
      <c r="I4617" s="523">
        <v>85.07</v>
      </c>
      <c r="J4617" s="523">
        <v>107.45</v>
      </c>
    </row>
    <row r="4618" spans="1:10" s="559" customFormat="1">
      <c r="A4618" s="521" t="s">
        <v>322</v>
      </c>
      <c r="B4618" s="522" t="s">
        <v>721</v>
      </c>
      <c r="C4618" s="423" t="s">
        <v>331</v>
      </c>
      <c r="D4618" s="521" t="s">
        <v>722</v>
      </c>
      <c r="E4618" s="522">
        <v>201607</v>
      </c>
      <c r="F4618" s="523">
        <v>236.82</v>
      </c>
      <c r="G4618" s="521">
        <v>9.5</v>
      </c>
      <c r="H4618" s="524">
        <v>1.1999999999999999E-3</v>
      </c>
      <c r="I4618" s="523">
        <v>2.7</v>
      </c>
      <c r="J4618" s="523">
        <v>3.41</v>
      </c>
    </row>
    <row r="4619" spans="1:10" s="559" customFormat="1">
      <c r="A4619" s="521" t="s">
        <v>318</v>
      </c>
      <c r="B4619" s="522" t="s">
        <v>723</v>
      </c>
      <c r="C4619" s="423" t="s">
        <v>331</v>
      </c>
      <c r="D4619" s="521" t="s">
        <v>724</v>
      </c>
      <c r="E4619" s="522">
        <v>201607</v>
      </c>
      <c r="F4619" s="523">
        <v>0.08</v>
      </c>
      <c r="G4619" s="521">
        <v>9.5</v>
      </c>
      <c r="H4619" s="524">
        <v>1.3083000000000001E-3</v>
      </c>
      <c r="I4619" s="523">
        <v>0</v>
      </c>
      <c r="J4619" s="523">
        <v>0</v>
      </c>
    </row>
    <row r="4620" spans="1:10" s="559" customFormat="1">
      <c r="A4620" s="521" t="s">
        <v>318</v>
      </c>
      <c r="B4620" s="522" t="s">
        <v>723</v>
      </c>
      <c r="C4620" s="423" t="s">
        <v>331</v>
      </c>
      <c r="D4620" s="521" t="s">
        <v>724</v>
      </c>
      <c r="E4620" s="522">
        <v>201607</v>
      </c>
      <c r="F4620" s="523">
        <v>2.2599999999999998</v>
      </c>
      <c r="G4620" s="521">
        <v>9.5</v>
      </c>
      <c r="H4620" s="524">
        <v>1.3083000000000001E-3</v>
      </c>
      <c r="I4620" s="523">
        <v>0.03</v>
      </c>
      <c r="J4620" s="523">
        <v>0.04</v>
      </c>
    </row>
    <row r="4621" spans="1:10" s="559" customFormat="1">
      <c r="A4621" s="521" t="s">
        <v>318</v>
      </c>
      <c r="B4621" s="522" t="s">
        <v>623</v>
      </c>
      <c r="C4621" s="423" t="s">
        <v>331</v>
      </c>
      <c r="D4621" s="521" t="s">
        <v>624</v>
      </c>
      <c r="E4621" s="522">
        <v>201607</v>
      </c>
      <c r="F4621" s="523">
        <v>3074.58</v>
      </c>
      <c r="G4621" s="521">
        <v>9.5</v>
      </c>
      <c r="H4621" s="524">
        <v>1.3083000000000001E-3</v>
      </c>
      <c r="I4621" s="523">
        <v>38.21</v>
      </c>
      <c r="J4621" s="523">
        <v>48.27</v>
      </c>
    </row>
    <row r="4622" spans="1:10" s="559" customFormat="1">
      <c r="A4622" s="521" t="s">
        <v>318</v>
      </c>
      <c r="B4622" s="522" t="s">
        <v>899</v>
      </c>
      <c r="C4622" s="423" t="s">
        <v>331</v>
      </c>
      <c r="D4622" s="521" t="s">
        <v>900</v>
      </c>
      <c r="E4622" s="522">
        <v>201607</v>
      </c>
      <c r="F4622" s="523">
        <v>-1898.58</v>
      </c>
      <c r="G4622" s="521">
        <v>9.5</v>
      </c>
      <c r="H4622" s="524">
        <v>1.3083000000000001E-3</v>
      </c>
      <c r="I4622" s="523">
        <v>-23.6</v>
      </c>
      <c r="J4622" s="523">
        <v>-29.81</v>
      </c>
    </row>
    <row r="4623" spans="1:10" s="559" customFormat="1">
      <c r="A4623" s="521" t="s">
        <v>318</v>
      </c>
      <c r="B4623" s="522" t="s">
        <v>899</v>
      </c>
      <c r="C4623" s="423" t="s">
        <v>331</v>
      </c>
      <c r="D4623" s="521" t="s">
        <v>900</v>
      </c>
      <c r="E4623" s="522">
        <v>201607</v>
      </c>
      <c r="F4623" s="523">
        <v>-52.7</v>
      </c>
      <c r="G4623" s="521">
        <v>9.5</v>
      </c>
      <c r="H4623" s="524">
        <v>1.3083000000000001E-3</v>
      </c>
      <c r="I4623" s="523">
        <v>-0.66</v>
      </c>
      <c r="J4623" s="523">
        <v>-0.83</v>
      </c>
    </row>
    <row r="4624" spans="1:10" s="559" customFormat="1">
      <c r="A4624" s="521" t="s">
        <v>318</v>
      </c>
      <c r="B4624" s="522" t="s">
        <v>710</v>
      </c>
      <c r="C4624" s="423" t="s">
        <v>439</v>
      </c>
      <c r="D4624" s="521" t="s">
        <v>711</v>
      </c>
      <c r="E4624" s="522">
        <v>201607</v>
      </c>
      <c r="F4624" s="523">
        <v>0.22</v>
      </c>
      <c r="G4624" s="521">
        <v>9.5</v>
      </c>
      <c r="H4624" s="524">
        <v>1.3083000000000001E-3</v>
      </c>
      <c r="I4624" s="523">
        <v>0</v>
      </c>
      <c r="J4624" s="523">
        <v>0</v>
      </c>
    </row>
    <row r="4625" spans="1:10" s="559" customFormat="1">
      <c r="A4625" s="521" t="s">
        <v>318</v>
      </c>
      <c r="B4625" s="522" t="s">
        <v>710</v>
      </c>
      <c r="C4625" s="423" t="s">
        <v>439</v>
      </c>
      <c r="D4625" s="521" t="s">
        <v>711</v>
      </c>
      <c r="E4625" s="522">
        <v>201607</v>
      </c>
      <c r="F4625" s="523">
        <v>6.01</v>
      </c>
      <c r="G4625" s="521">
        <v>9.5</v>
      </c>
      <c r="H4625" s="524">
        <v>1.3083000000000001E-3</v>
      </c>
      <c r="I4625" s="523">
        <v>7.0000000000000007E-2</v>
      </c>
      <c r="J4625" s="523">
        <v>0.09</v>
      </c>
    </row>
    <row r="4626" spans="1:10" s="559" customFormat="1">
      <c r="A4626" s="521" t="s">
        <v>318</v>
      </c>
      <c r="B4626" s="522" t="s">
        <v>712</v>
      </c>
      <c r="C4626" s="423" t="s">
        <v>331</v>
      </c>
      <c r="D4626" s="521" t="s">
        <v>713</v>
      </c>
      <c r="E4626" s="522">
        <v>201607</v>
      </c>
      <c r="F4626" s="523">
        <v>829.84</v>
      </c>
      <c r="G4626" s="521">
        <v>9.5</v>
      </c>
      <c r="H4626" s="524">
        <v>1.3083000000000001E-3</v>
      </c>
      <c r="I4626" s="523">
        <v>10.31</v>
      </c>
      <c r="J4626" s="523">
        <v>13.03</v>
      </c>
    </row>
    <row r="4627" spans="1:10" s="559" customFormat="1">
      <c r="A4627" s="521" t="s">
        <v>322</v>
      </c>
      <c r="B4627" s="522" t="s">
        <v>712</v>
      </c>
      <c r="C4627" s="423" t="s">
        <v>331</v>
      </c>
      <c r="D4627" s="521" t="s">
        <v>713</v>
      </c>
      <c r="E4627" s="522">
        <v>201607</v>
      </c>
      <c r="F4627" s="523">
        <v>24543.64</v>
      </c>
      <c r="G4627" s="521">
        <v>9.5</v>
      </c>
      <c r="H4627" s="524">
        <v>1.1999999999999999E-3</v>
      </c>
      <c r="I4627" s="523">
        <v>279.8</v>
      </c>
      <c r="J4627" s="523">
        <v>353.43</v>
      </c>
    </row>
    <row r="4628" spans="1:10" s="559" customFormat="1">
      <c r="A4628" s="521" t="s">
        <v>318</v>
      </c>
      <c r="B4628" s="522" t="s">
        <v>712</v>
      </c>
      <c r="C4628" s="423" t="s">
        <v>331</v>
      </c>
      <c r="D4628" s="521" t="s">
        <v>713</v>
      </c>
      <c r="E4628" s="522">
        <v>201607</v>
      </c>
      <c r="F4628" s="523">
        <v>37048.239999999998</v>
      </c>
      <c r="G4628" s="521">
        <v>9.5</v>
      </c>
      <c r="H4628" s="524">
        <v>1.3083000000000001E-3</v>
      </c>
      <c r="I4628" s="523">
        <v>460.47</v>
      </c>
      <c r="J4628" s="523">
        <v>581.64</v>
      </c>
    </row>
    <row r="4629" spans="1:10" s="559" customFormat="1">
      <c r="A4629" s="521" t="s">
        <v>318</v>
      </c>
      <c r="B4629" s="522" t="s">
        <v>625</v>
      </c>
      <c r="C4629" s="423" t="s">
        <v>331</v>
      </c>
      <c r="D4629" s="521" t="s">
        <v>626</v>
      </c>
      <c r="E4629" s="522">
        <v>201607</v>
      </c>
      <c r="F4629" s="523">
        <v>0.44</v>
      </c>
      <c r="G4629" s="521">
        <v>9.5</v>
      </c>
      <c r="H4629" s="524">
        <v>1.3083000000000001E-3</v>
      </c>
      <c r="I4629" s="523">
        <v>0.01</v>
      </c>
      <c r="J4629" s="523">
        <v>0.01</v>
      </c>
    </row>
    <row r="4630" spans="1:10" s="559" customFormat="1">
      <c r="A4630" s="521" t="s">
        <v>318</v>
      </c>
      <c r="B4630" s="522" t="s">
        <v>625</v>
      </c>
      <c r="C4630" s="423" t="s">
        <v>331</v>
      </c>
      <c r="D4630" s="521" t="s">
        <v>626</v>
      </c>
      <c r="E4630" s="522">
        <v>201607</v>
      </c>
      <c r="F4630" s="523">
        <v>7.11</v>
      </c>
      <c r="G4630" s="521">
        <v>9.5</v>
      </c>
      <c r="H4630" s="524">
        <v>1.3083000000000001E-3</v>
      </c>
      <c r="I4630" s="523">
        <v>0.09</v>
      </c>
      <c r="J4630" s="523">
        <v>0.11</v>
      </c>
    </row>
    <row r="4631" spans="1:10" s="559" customFormat="1">
      <c r="A4631" s="521" t="s">
        <v>318</v>
      </c>
      <c r="B4631" s="522" t="s">
        <v>796</v>
      </c>
      <c r="C4631" s="423" t="s">
        <v>331</v>
      </c>
      <c r="D4631" s="521" t="s">
        <v>797</v>
      </c>
      <c r="E4631" s="522">
        <v>201607</v>
      </c>
      <c r="F4631" s="523">
        <v>1583.03</v>
      </c>
      <c r="G4631" s="521">
        <v>9.5</v>
      </c>
      <c r="H4631" s="524">
        <v>1.3083000000000001E-3</v>
      </c>
      <c r="I4631" s="523">
        <v>19.68</v>
      </c>
      <c r="J4631" s="523">
        <v>24.85</v>
      </c>
    </row>
    <row r="4632" spans="1:10" s="559" customFormat="1">
      <c r="A4632" s="521" t="s">
        <v>318</v>
      </c>
      <c r="B4632" s="522" t="s">
        <v>614</v>
      </c>
      <c r="C4632" s="423" t="s">
        <v>331</v>
      </c>
      <c r="D4632" s="521" t="s">
        <v>714</v>
      </c>
      <c r="E4632" s="522">
        <v>201607</v>
      </c>
      <c r="F4632" s="523">
        <v>-0.28999999999999998</v>
      </c>
      <c r="G4632" s="521">
        <v>9.5</v>
      </c>
      <c r="H4632" s="524">
        <v>1.3083000000000001E-3</v>
      </c>
      <c r="I4632" s="523">
        <v>0</v>
      </c>
      <c r="J4632" s="523">
        <v>0</v>
      </c>
    </row>
    <row r="4633" spans="1:10" s="559" customFormat="1">
      <c r="A4633" s="521" t="s">
        <v>318</v>
      </c>
      <c r="B4633" s="522" t="s">
        <v>614</v>
      </c>
      <c r="C4633" s="423" t="s">
        <v>331</v>
      </c>
      <c r="D4633" s="521" t="s">
        <v>714</v>
      </c>
      <c r="E4633" s="522">
        <v>201607</v>
      </c>
      <c r="F4633" s="523">
        <v>-0.04</v>
      </c>
      <c r="G4633" s="521">
        <v>9.5</v>
      </c>
      <c r="H4633" s="524">
        <v>1.3083000000000001E-3</v>
      </c>
      <c r="I4633" s="523">
        <v>0</v>
      </c>
      <c r="J4633" s="523">
        <v>0</v>
      </c>
    </row>
    <row r="4634" spans="1:10" s="559" customFormat="1">
      <c r="A4634" s="521" t="s">
        <v>322</v>
      </c>
      <c r="B4634" s="522" t="s">
        <v>614</v>
      </c>
      <c r="C4634" s="423" t="s">
        <v>331</v>
      </c>
      <c r="D4634" s="521" t="s">
        <v>714</v>
      </c>
      <c r="E4634" s="522">
        <v>201607</v>
      </c>
      <c r="F4634" s="523">
        <v>-0.02</v>
      </c>
      <c r="G4634" s="521">
        <v>9.5</v>
      </c>
      <c r="H4634" s="524">
        <v>1.1999999999999999E-3</v>
      </c>
      <c r="I4634" s="523">
        <v>0</v>
      </c>
      <c r="J4634" s="523">
        <v>0</v>
      </c>
    </row>
    <row r="4635" spans="1:10" s="559" customFormat="1">
      <c r="A4635" s="521" t="s">
        <v>318</v>
      </c>
      <c r="B4635" s="522" t="s">
        <v>891</v>
      </c>
      <c r="C4635" s="423" t="s">
        <v>331</v>
      </c>
      <c r="D4635" s="521" t="s">
        <v>892</v>
      </c>
      <c r="E4635" s="522">
        <v>201607</v>
      </c>
      <c r="F4635" s="523">
        <v>901.52</v>
      </c>
      <c r="G4635" s="521">
        <v>9.5</v>
      </c>
      <c r="H4635" s="524">
        <v>1.3083000000000001E-3</v>
      </c>
      <c r="I4635" s="523">
        <v>11.2</v>
      </c>
      <c r="J4635" s="523">
        <v>14.15</v>
      </c>
    </row>
    <row r="4636" spans="1:10" s="559" customFormat="1">
      <c r="A4636" s="521" t="s">
        <v>318</v>
      </c>
      <c r="B4636" s="522" t="s">
        <v>727</v>
      </c>
      <c r="C4636" s="423" t="s">
        <v>343</v>
      </c>
      <c r="D4636" s="521" t="s">
        <v>728</v>
      </c>
      <c r="E4636" s="522">
        <v>201607</v>
      </c>
      <c r="F4636" s="523">
        <v>178.39</v>
      </c>
      <c r="G4636" s="521">
        <v>9.5</v>
      </c>
      <c r="H4636" s="524">
        <v>1.3083000000000001E-3</v>
      </c>
      <c r="I4636" s="523">
        <v>2.2200000000000002</v>
      </c>
      <c r="J4636" s="523">
        <v>2.8</v>
      </c>
    </row>
    <row r="4637" spans="1:10" s="559" customFormat="1">
      <c r="A4637" s="521" t="s">
        <v>318</v>
      </c>
      <c r="B4637" s="522" t="s">
        <v>897</v>
      </c>
      <c r="C4637" s="423" t="s">
        <v>331</v>
      </c>
      <c r="D4637" s="521" t="s">
        <v>898</v>
      </c>
      <c r="E4637" s="522">
        <v>201607</v>
      </c>
      <c r="F4637" s="523">
        <v>119.61</v>
      </c>
      <c r="G4637" s="521">
        <v>9.5</v>
      </c>
      <c r="H4637" s="524">
        <v>1.3083000000000001E-3</v>
      </c>
      <c r="I4637" s="523">
        <v>1.49</v>
      </c>
      <c r="J4637" s="523">
        <v>1.88</v>
      </c>
    </row>
    <row r="4638" spans="1:10" s="559" customFormat="1">
      <c r="A4638" s="521" t="s">
        <v>318</v>
      </c>
      <c r="B4638" s="522" t="s">
        <v>897</v>
      </c>
      <c r="C4638" s="423" t="s">
        <v>331</v>
      </c>
      <c r="D4638" s="521" t="s">
        <v>898</v>
      </c>
      <c r="E4638" s="522">
        <v>201607</v>
      </c>
      <c r="F4638" s="523">
        <v>1914.75</v>
      </c>
      <c r="G4638" s="521">
        <v>9.5</v>
      </c>
      <c r="H4638" s="524">
        <v>1.3083000000000001E-3</v>
      </c>
      <c r="I4638" s="523">
        <v>23.8</v>
      </c>
      <c r="J4638" s="523">
        <v>30.06</v>
      </c>
    </row>
    <row r="4639" spans="1:10" s="559" customFormat="1">
      <c r="A4639" s="521" t="s">
        <v>318</v>
      </c>
      <c r="B4639" s="522" t="s">
        <v>729</v>
      </c>
      <c r="C4639" s="423" t="s">
        <v>331</v>
      </c>
      <c r="D4639" s="521" t="s">
        <v>730</v>
      </c>
      <c r="E4639" s="522">
        <v>201607</v>
      </c>
      <c r="F4639" s="523">
        <v>24.46</v>
      </c>
      <c r="G4639" s="521">
        <v>9.5</v>
      </c>
      <c r="H4639" s="524">
        <v>1.3083000000000001E-3</v>
      </c>
      <c r="I4639" s="523">
        <v>0.3</v>
      </c>
      <c r="J4639" s="523">
        <v>0.38</v>
      </c>
    </row>
    <row r="4640" spans="1:10" s="559" customFormat="1">
      <c r="A4640" s="521" t="s">
        <v>322</v>
      </c>
      <c r="B4640" s="522" t="s">
        <v>729</v>
      </c>
      <c r="C4640" s="423" t="s">
        <v>331</v>
      </c>
      <c r="D4640" s="521" t="s">
        <v>730</v>
      </c>
      <c r="E4640" s="522">
        <v>201607</v>
      </c>
      <c r="F4640" s="523">
        <v>289.07</v>
      </c>
      <c r="G4640" s="521">
        <v>9.5</v>
      </c>
      <c r="H4640" s="524">
        <v>1.1999999999999999E-3</v>
      </c>
      <c r="I4640" s="523">
        <v>3.3</v>
      </c>
      <c r="J4640" s="523">
        <v>4.16</v>
      </c>
    </row>
    <row r="4641" spans="1:10" s="559" customFormat="1">
      <c r="A4641" s="521" t="s">
        <v>318</v>
      </c>
      <c r="B4641" s="522" t="s">
        <v>729</v>
      </c>
      <c r="C4641" s="423" t="s">
        <v>331</v>
      </c>
      <c r="D4641" s="521" t="s">
        <v>730</v>
      </c>
      <c r="E4641" s="522">
        <v>201607</v>
      </c>
      <c r="F4641" s="523">
        <v>1386.55</v>
      </c>
      <c r="G4641" s="521">
        <v>9.5</v>
      </c>
      <c r="H4641" s="524">
        <v>1.3083000000000001E-3</v>
      </c>
      <c r="I4641" s="523">
        <v>17.23</v>
      </c>
      <c r="J4641" s="523">
        <v>21.77</v>
      </c>
    </row>
    <row r="4642" spans="1:10" s="559" customFormat="1">
      <c r="A4642" s="521" t="s">
        <v>318</v>
      </c>
      <c r="B4642" s="522" t="s">
        <v>895</v>
      </c>
      <c r="C4642" s="423" t="s">
        <v>343</v>
      </c>
      <c r="D4642" s="521" t="s">
        <v>896</v>
      </c>
      <c r="E4642" s="522">
        <v>201607</v>
      </c>
      <c r="F4642" s="523">
        <v>1066.1400000000001</v>
      </c>
      <c r="G4642" s="521">
        <v>9.5</v>
      </c>
      <c r="H4642" s="524">
        <v>1.3083000000000001E-3</v>
      </c>
      <c r="I4642" s="523">
        <v>13.25</v>
      </c>
      <c r="J4642" s="523">
        <v>16.739999999999998</v>
      </c>
    </row>
    <row r="4643" spans="1:10" s="559" customFormat="1">
      <c r="A4643" s="521" t="s">
        <v>322</v>
      </c>
      <c r="B4643" s="522" t="s">
        <v>901</v>
      </c>
      <c r="C4643" s="423" t="s">
        <v>331</v>
      </c>
      <c r="D4643" s="521" t="s">
        <v>902</v>
      </c>
      <c r="E4643" s="522">
        <v>201607</v>
      </c>
      <c r="F4643" s="523">
        <v>4.08</v>
      </c>
      <c r="G4643" s="521">
        <v>9.5</v>
      </c>
      <c r="H4643" s="524">
        <v>1.1999999999999999E-3</v>
      </c>
      <c r="I4643" s="523">
        <v>0.05</v>
      </c>
      <c r="J4643" s="523">
        <v>0.06</v>
      </c>
    </row>
    <row r="4644" spans="1:10" s="559" customFormat="1">
      <c r="A4644" s="521" t="s">
        <v>322</v>
      </c>
      <c r="B4644" s="522" t="s">
        <v>901</v>
      </c>
      <c r="C4644" s="423" t="s">
        <v>331</v>
      </c>
      <c r="D4644" s="521" t="s">
        <v>902</v>
      </c>
      <c r="E4644" s="522">
        <v>201607</v>
      </c>
      <c r="F4644" s="523">
        <v>285.11</v>
      </c>
      <c r="G4644" s="521">
        <v>9.5</v>
      </c>
      <c r="H4644" s="524">
        <v>1.1999999999999999E-3</v>
      </c>
      <c r="I4644" s="523">
        <v>3.25</v>
      </c>
      <c r="J4644" s="523">
        <v>4.1100000000000003</v>
      </c>
    </row>
    <row r="4645" spans="1:10" s="559" customFormat="1">
      <c r="A4645" s="521" t="s">
        <v>318</v>
      </c>
      <c r="B4645" s="522" t="s">
        <v>706</v>
      </c>
      <c r="C4645" s="423" t="s">
        <v>343</v>
      </c>
      <c r="D4645" s="521" t="s">
        <v>707</v>
      </c>
      <c r="E4645" s="522">
        <v>201608</v>
      </c>
      <c r="F4645" s="523">
        <v>-12.96</v>
      </c>
      <c r="G4645" s="521">
        <v>8.5</v>
      </c>
      <c r="H4645" s="524">
        <v>1.3083000000000001E-3</v>
      </c>
      <c r="I4645" s="523">
        <v>-0.14000000000000001</v>
      </c>
      <c r="J4645" s="523">
        <v>-0.2</v>
      </c>
    </row>
    <row r="4646" spans="1:10" s="559" customFormat="1">
      <c r="A4646" s="521" t="s">
        <v>318</v>
      </c>
      <c r="B4646" s="522" t="s">
        <v>708</v>
      </c>
      <c r="C4646" s="423" t="s">
        <v>331</v>
      </c>
      <c r="D4646" s="521" t="s">
        <v>709</v>
      </c>
      <c r="E4646" s="522">
        <v>201608</v>
      </c>
      <c r="F4646" s="523">
        <v>10410.82</v>
      </c>
      <c r="G4646" s="521">
        <v>8.5</v>
      </c>
      <c r="H4646" s="524">
        <v>1.3083000000000001E-3</v>
      </c>
      <c r="I4646" s="523">
        <v>115.77</v>
      </c>
      <c r="J4646" s="523">
        <v>163.44999999999999</v>
      </c>
    </row>
    <row r="4647" spans="1:10" s="559" customFormat="1">
      <c r="A4647" s="521" t="s">
        <v>322</v>
      </c>
      <c r="B4647" s="522" t="s">
        <v>708</v>
      </c>
      <c r="C4647" s="423" t="s">
        <v>331</v>
      </c>
      <c r="D4647" s="521" t="s">
        <v>709</v>
      </c>
      <c r="E4647" s="522">
        <v>201608</v>
      </c>
      <c r="F4647" s="523">
        <v>782.33</v>
      </c>
      <c r="G4647" s="521">
        <v>8.5</v>
      </c>
      <c r="H4647" s="524">
        <v>1.1999999999999999E-3</v>
      </c>
      <c r="I4647" s="523">
        <v>7.98</v>
      </c>
      <c r="J4647" s="523">
        <v>11.27</v>
      </c>
    </row>
    <row r="4648" spans="1:10" s="559" customFormat="1">
      <c r="A4648" s="521" t="s">
        <v>318</v>
      </c>
      <c r="B4648" s="522" t="s">
        <v>708</v>
      </c>
      <c r="C4648" s="423" t="s">
        <v>331</v>
      </c>
      <c r="D4648" s="521" t="s">
        <v>709</v>
      </c>
      <c r="E4648" s="522">
        <v>201608</v>
      </c>
      <c r="F4648" s="523">
        <v>357.2</v>
      </c>
      <c r="G4648" s="521">
        <v>8.5</v>
      </c>
      <c r="H4648" s="524">
        <v>1.3083000000000001E-3</v>
      </c>
      <c r="I4648" s="523">
        <v>3.97</v>
      </c>
      <c r="J4648" s="523">
        <v>5.61</v>
      </c>
    </row>
    <row r="4649" spans="1:10" s="559" customFormat="1">
      <c r="A4649" s="521" t="s">
        <v>322</v>
      </c>
      <c r="B4649" s="522" t="s">
        <v>717</v>
      </c>
      <c r="C4649" s="423" t="s">
        <v>331</v>
      </c>
      <c r="D4649" s="521" t="s">
        <v>718</v>
      </c>
      <c r="E4649" s="522">
        <v>201608</v>
      </c>
      <c r="F4649" s="523">
        <v>1863.81</v>
      </c>
      <c r="G4649" s="521">
        <v>8.5</v>
      </c>
      <c r="H4649" s="524">
        <v>1.1999999999999999E-3</v>
      </c>
      <c r="I4649" s="523">
        <v>19.010000000000002</v>
      </c>
      <c r="J4649" s="523">
        <v>26.84</v>
      </c>
    </row>
    <row r="4650" spans="1:10" s="559" customFormat="1">
      <c r="A4650" s="521" t="s">
        <v>318</v>
      </c>
      <c r="B4650" s="522" t="s">
        <v>717</v>
      </c>
      <c r="C4650" s="423" t="s">
        <v>331</v>
      </c>
      <c r="D4650" s="521" t="s">
        <v>718</v>
      </c>
      <c r="E4650" s="522">
        <v>201608</v>
      </c>
      <c r="F4650" s="523">
        <v>2582.02</v>
      </c>
      <c r="G4650" s="521">
        <v>8.5</v>
      </c>
      <c r="H4650" s="524">
        <v>1.3083000000000001E-3</v>
      </c>
      <c r="I4650" s="523">
        <v>28.71</v>
      </c>
      <c r="J4650" s="523">
        <v>40.54</v>
      </c>
    </row>
    <row r="4651" spans="1:10" s="559" customFormat="1">
      <c r="A4651" s="521" t="s">
        <v>322</v>
      </c>
      <c r="B4651" s="522" t="s">
        <v>717</v>
      </c>
      <c r="C4651" s="423" t="s">
        <v>331</v>
      </c>
      <c r="D4651" s="521" t="s">
        <v>718</v>
      </c>
      <c r="E4651" s="522">
        <v>201608</v>
      </c>
      <c r="F4651" s="523">
        <v>72.77</v>
      </c>
      <c r="G4651" s="521">
        <v>8.5</v>
      </c>
      <c r="H4651" s="524">
        <v>1.1999999999999999E-3</v>
      </c>
      <c r="I4651" s="523">
        <v>0.74</v>
      </c>
      <c r="J4651" s="523">
        <v>1.05</v>
      </c>
    </row>
    <row r="4652" spans="1:10" s="559" customFormat="1">
      <c r="A4652" s="521" t="s">
        <v>318</v>
      </c>
      <c r="B4652" s="522" t="s">
        <v>717</v>
      </c>
      <c r="C4652" s="423" t="s">
        <v>331</v>
      </c>
      <c r="D4652" s="521" t="s">
        <v>718</v>
      </c>
      <c r="E4652" s="522">
        <v>201608</v>
      </c>
      <c r="F4652" s="523">
        <v>24.86</v>
      </c>
      <c r="G4652" s="521">
        <v>8.5</v>
      </c>
      <c r="H4652" s="524">
        <v>1.3083000000000001E-3</v>
      </c>
      <c r="I4652" s="523">
        <v>0.28000000000000003</v>
      </c>
      <c r="J4652" s="523">
        <v>0.39</v>
      </c>
    </row>
    <row r="4653" spans="1:10" s="559" customFormat="1">
      <c r="A4653" s="521" t="s">
        <v>322</v>
      </c>
      <c r="B4653" s="522" t="s">
        <v>943</v>
      </c>
      <c r="C4653" s="423" t="s">
        <v>331</v>
      </c>
      <c r="D4653" s="521" t="s">
        <v>944</v>
      </c>
      <c r="E4653" s="522">
        <v>201608</v>
      </c>
      <c r="F4653" s="523">
        <v>78937.05</v>
      </c>
      <c r="G4653" s="521">
        <v>8.5</v>
      </c>
      <c r="H4653" s="524">
        <v>1.1999999999999999E-3</v>
      </c>
      <c r="I4653" s="523">
        <v>805.16</v>
      </c>
      <c r="J4653" s="523">
        <v>1136.69</v>
      </c>
    </row>
    <row r="4654" spans="1:10" s="559" customFormat="1">
      <c r="A4654" s="521" t="s">
        <v>322</v>
      </c>
      <c r="B4654" s="522" t="s">
        <v>943</v>
      </c>
      <c r="C4654" s="423" t="s">
        <v>331</v>
      </c>
      <c r="D4654" s="521" t="s">
        <v>944</v>
      </c>
      <c r="E4654" s="522">
        <v>201608</v>
      </c>
      <c r="F4654" s="523">
        <v>23094.85</v>
      </c>
      <c r="G4654" s="521">
        <v>8.5</v>
      </c>
      <c r="H4654" s="524">
        <v>1.1999999999999999E-3</v>
      </c>
      <c r="I4654" s="523">
        <v>235.57</v>
      </c>
      <c r="J4654" s="523">
        <v>332.57</v>
      </c>
    </row>
    <row r="4655" spans="1:10" s="559" customFormat="1">
      <c r="A4655" s="521" t="s">
        <v>318</v>
      </c>
      <c r="B4655" s="522" t="s">
        <v>617</v>
      </c>
      <c r="C4655" s="423" t="s">
        <v>331</v>
      </c>
      <c r="D4655" s="521" t="s">
        <v>618</v>
      </c>
      <c r="E4655" s="522">
        <v>201608</v>
      </c>
      <c r="F4655" s="523">
        <v>-0.47</v>
      </c>
      <c r="G4655" s="521">
        <v>8.5</v>
      </c>
      <c r="H4655" s="524">
        <v>1.3083000000000001E-3</v>
      </c>
      <c r="I4655" s="523">
        <v>-0.01</v>
      </c>
      <c r="J4655" s="523">
        <v>-0.01</v>
      </c>
    </row>
    <row r="4656" spans="1:10" s="559" customFormat="1">
      <c r="A4656" s="521" t="s">
        <v>322</v>
      </c>
      <c r="B4656" s="522" t="s">
        <v>617</v>
      </c>
      <c r="C4656" s="423" t="s">
        <v>331</v>
      </c>
      <c r="D4656" s="521" t="s">
        <v>618</v>
      </c>
      <c r="E4656" s="522">
        <v>201608</v>
      </c>
      <c r="F4656" s="523">
        <v>-0.2</v>
      </c>
      <c r="G4656" s="521">
        <v>8.5</v>
      </c>
      <c r="H4656" s="524">
        <v>1.1999999999999999E-3</v>
      </c>
      <c r="I4656" s="523">
        <v>0</v>
      </c>
      <c r="J4656" s="523">
        <v>0</v>
      </c>
    </row>
    <row r="4657" spans="1:10" s="559" customFormat="1">
      <c r="A4657" s="521" t="s">
        <v>318</v>
      </c>
      <c r="B4657" s="522" t="s">
        <v>617</v>
      </c>
      <c r="C4657" s="423" t="s">
        <v>331</v>
      </c>
      <c r="D4657" s="521" t="s">
        <v>618</v>
      </c>
      <c r="E4657" s="522">
        <v>201608</v>
      </c>
      <c r="F4657" s="523">
        <v>-0.02</v>
      </c>
      <c r="G4657" s="521">
        <v>8.5</v>
      </c>
      <c r="H4657" s="524">
        <v>1.3083000000000001E-3</v>
      </c>
      <c r="I4657" s="523">
        <v>0</v>
      </c>
      <c r="J4657" s="523">
        <v>0</v>
      </c>
    </row>
    <row r="4658" spans="1:10" s="559" customFormat="1">
      <c r="A4658" s="521" t="s">
        <v>318</v>
      </c>
      <c r="B4658" s="522" t="s">
        <v>619</v>
      </c>
      <c r="C4658" s="423" t="s">
        <v>331</v>
      </c>
      <c r="D4658" s="521" t="s">
        <v>620</v>
      </c>
      <c r="E4658" s="522">
        <v>201608</v>
      </c>
      <c r="F4658" s="523">
        <v>607.17999999999995</v>
      </c>
      <c r="G4658" s="521">
        <v>8.5</v>
      </c>
      <c r="H4658" s="524">
        <v>1.3083000000000001E-3</v>
      </c>
      <c r="I4658" s="523">
        <v>6.75</v>
      </c>
      <c r="J4658" s="523">
        <v>9.5299999999999994</v>
      </c>
    </row>
    <row r="4659" spans="1:10" s="559" customFormat="1">
      <c r="A4659" s="521" t="s">
        <v>318</v>
      </c>
      <c r="B4659" s="522" t="s">
        <v>619</v>
      </c>
      <c r="C4659" s="423" t="s">
        <v>331</v>
      </c>
      <c r="D4659" s="521" t="s">
        <v>620</v>
      </c>
      <c r="E4659" s="522">
        <v>201608</v>
      </c>
      <c r="F4659" s="523">
        <v>90.3</v>
      </c>
      <c r="G4659" s="521">
        <v>8.5</v>
      </c>
      <c r="H4659" s="524">
        <v>1.3083000000000001E-3</v>
      </c>
      <c r="I4659" s="523">
        <v>1</v>
      </c>
      <c r="J4659" s="523">
        <v>1.42</v>
      </c>
    </row>
    <row r="4660" spans="1:10" s="559" customFormat="1">
      <c r="A4660" s="521" t="s">
        <v>318</v>
      </c>
      <c r="B4660" s="522" t="s">
        <v>719</v>
      </c>
      <c r="C4660" s="423" t="s">
        <v>331</v>
      </c>
      <c r="D4660" s="521" t="s">
        <v>720</v>
      </c>
      <c r="E4660" s="522">
        <v>201608</v>
      </c>
      <c r="F4660" s="523">
        <v>196.78</v>
      </c>
      <c r="G4660" s="521">
        <v>8.5</v>
      </c>
      <c r="H4660" s="524">
        <v>1.3083000000000001E-3</v>
      </c>
      <c r="I4660" s="523">
        <v>2.19</v>
      </c>
      <c r="J4660" s="523">
        <v>3.09</v>
      </c>
    </row>
    <row r="4661" spans="1:10" s="559" customFormat="1">
      <c r="A4661" s="521" t="s">
        <v>318</v>
      </c>
      <c r="B4661" s="522" t="s">
        <v>719</v>
      </c>
      <c r="C4661" s="423" t="s">
        <v>331</v>
      </c>
      <c r="D4661" s="521" t="s">
        <v>720</v>
      </c>
      <c r="E4661" s="522">
        <v>201608</v>
      </c>
      <c r="F4661" s="523">
        <v>4.53</v>
      </c>
      <c r="G4661" s="521">
        <v>8.5</v>
      </c>
      <c r="H4661" s="524">
        <v>1.3083000000000001E-3</v>
      </c>
      <c r="I4661" s="523">
        <v>0.05</v>
      </c>
      <c r="J4661" s="523">
        <v>7.0000000000000007E-2</v>
      </c>
    </row>
    <row r="4662" spans="1:10" s="559" customFormat="1">
      <c r="A4662" s="521" t="s">
        <v>318</v>
      </c>
      <c r="B4662" s="522" t="s">
        <v>893</v>
      </c>
      <c r="C4662" s="423" t="s">
        <v>331</v>
      </c>
      <c r="D4662" s="521" t="s">
        <v>894</v>
      </c>
      <c r="E4662" s="522">
        <v>201608</v>
      </c>
      <c r="F4662" s="523">
        <v>4193.93</v>
      </c>
      <c r="G4662" s="521">
        <v>8.5</v>
      </c>
      <c r="H4662" s="524">
        <v>1.3083000000000001E-3</v>
      </c>
      <c r="I4662" s="523">
        <v>46.64</v>
      </c>
      <c r="J4662" s="523">
        <v>65.84</v>
      </c>
    </row>
    <row r="4663" spans="1:10" s="559" customFormat="1">
      <c r="A4663" s="521" t="s">
        <v>322</v>
      </c>
      <c r="B4663" s="522" t="s">
        <v>721</v>
      </c>
      <c r="C4663" s="423" t="s">
        <v>331</v>
      </c>
      <c r="D4663" s="521" t="s">
        <v>722</v>
      </c>
      <c r="E4663" s="522">
        <v>201608</v>
      </c>
      <c r="F4663" s="523">
        <v>148.04</v>
      </c>
      <c r="G4663" s="521">
        <v>8.5</v>
      </c>
      <c r="H4663" s="524">
        <v>1.1999999999999999E-3</v>
      </c>
      <c r="I4663" s="523">
        <v>1.51</v>
      </c>
      <c r="J4663" s="523">
        <v>2.13</v>
      </c>
    </row>
    <row r="4664" spans="1:10" s="559" customFormat="1">
      <c r="A4664" s="521" t="s">
        <v>318</v>
      </c>
      <c r="B4664" s="522" t="s">
        <v>723</v>
      </c>
      <c r="C4664" s="423" t="s">
        <v>331</v>
      </c>
      <c r="D4664" s="521" t="s">
        <v>724</v>
      </c>
      <c r="E4664" s="522">
        <v>201608</v>
      </c>
      <c r="F4664" s="523">
        <v>1.54</v>
      </c>
      <c r="G4664" s="521">
        <v>8.5</v>
      </c>
      <c r="H4664" s="524">
        <v>1.3083000000000001E-3</v>
      </c>
      <c r="I4664" s="523">
        <v>0.02</v>
      </c>
      <c r="J4664" s="523">
        <v>0.02</v>
      </c>
    </row>
    <row r="4665" spans="1:10" s="559" customFormat="1">
      <c r="A4665" s="521" t="s">
        <v>318</v>
      </c>
      <c r="B4665" s="522" t="s">
        <v>723</v>
      </c>
      <c r="C4665" s="423" t="s">
        <v>331</v>
      </c>
      <c r="D4665" s="521" t="s">
        <v>724</v>
      </c>
      <c r="E4665" s="522">
        <v>201608</v>
      </c>
      <c r="F4665" s="523">
        <v>0.05</v>
      </c>
      <c r="G4665" s="521">
        <v>8.5</v>
      </c>
      <c r="H4665" s="524">
        <v>1.3083000000000001E-3</v>
      </c>
      <c r="I4665" s="523">
        <v>0</v>
      </c>
      <c r="J4665" s="523">
        <v>0</v>
      </c>
    </row>
    <row r="4666" spans="1:10" s="559" customFormat="1">
      <c r="A4666" s="521" t="s">
        <v>318</v>
      </c>
      <c r="B4666" s="522" t="s">
        <v>969</v>
      </c>
      <c r="C4666" s="423" t="s">
        <v>331</v>
      </c>
      <c r="D4666" s="521" t="s">
        <v>970</v>
      </c>
      <c r="E4666" s="522">
        <v>201608</v>
      </c>
      <c r="F4666" s="523">
        <v>-6971.73</v>
      </c>
      <c r="G4666" s="521">
        <v>8.5</v>
      </c>
      <c r="H4666" s="524">
        <v>1.3083000000000001E-3</v>
      </c>
      <c r="I4666" s="523">
        <v>-77.53</v>
      </c>
      <c r="J4666" s="523">
        <v>-109.45</v>
      </c>
    </row>
    <row r="4667" spans="1:10" s="559" customFormat="1">
      <c r="A4667" s="521" t="s">
        <v>318</v>
      </c>
      <c r="B4667" s="522" t="s">
        <v>623</v>
      </c>
      <c r="C4667" s="423" t="s">
        <v>331</v>
      </c>
      <c r="D4667" s="521" t="s">
        <v>624</v>
      </c>
      <c r="E4667" s="522">
        <v>201608</v>
      </c>
      <c r="F4667" s="523">
        <v>2051.1</v>
      </c>
      <c r="G4667" s="521">
        <v>8.5</v>
      </c>
      <c r="H4667" s="524">
        <v>1.3083000000000001E-3</v>
      </c>
      <c r="I4667" s="523">
        <v>22.81</v>
      </c>
      <c r="J4667" s="523">
        <v>32.200000000000003</v>
      </c>
    </row>
    <row r="4668" spans="1:10" s="559" customFormat="1">
      <c r="A4668" s="521" t="s">
        <v>318</v>
      </c>
      <c r="B4668" s="522" t="s">
        <v>899</v>
      </c>
      <c r="C4668" s="423" t="s">
        <v>331</v>
      </c>
      <c r="D4668" s="521" t="s">
        <v>900</v>
      </c>
      <c r="E4668" s="522">
        <v>201608</v>
      </c>
      <c r="F4668" s="523">
        <v>9462.9699999999993</v>
      </c>
      <c r="G4668" s="521">
        <v>8.5</v>
      </c>
      <c r="H4668" s="524">
        <v>1.3083000000000001E-3</v>
      </c>
      <c r="I4668" s="523">
        <v>105.23</v>
      </c>
      <c r="J4668" s="523">
        <v>148.56</v>
      </c>
    </row>
    <row r="4669" spans="1:10" s="559" customFormat="1">
      <c r="A4669" s="521" t="s">
        <v>318</v>
      </c>
      <c r="B4669" s="522" t="s">
        <v>899</v>
      </c>
      <c r="C4669" s="423" t="s">
        <v>331</v>
      </c>
      <c r="D4669" s="521" t="s">
        <v>900</v>
      </c>
      <c r="E4669" s="522">
        <v>201608</v>
      </c>
      <c r="F4669" s="523">
        <v>262.74</v>
      </c>
      <c r="G4669" s="521">
        <v>8.5</v>
      </c>
      <c r="H4669" s="524">
        <v>1.3083000000000001E-3</v>
      </c>
      <c r="I4669" s="523">
        <v>2.92</v>
      </c>
      <c r="J4669" s="523">
        <v>4.12</v>
      </c>
    </row>
    <row r="4670" spans="1:10" s="559" customFormat="1">
      <c r="A4670" s="521" t="s">
        <v>318</v>
      </c>
      <c r="B4670" s="522" t="s">
        <v>710</v>
      </c>
      <c r="C4670" s="423" t="s">
        <v>439</v>
      </c>
      <c r="D4670" s="521" t="s">
        <v>711</v>
      </c>
      <c r="E4670" s="522">
        <v>201608</v>
      </c>
      <c r="F4670" s="523">
        <v>4.8499999999999996</v>
      </c>
      <c r="G4670" s="521">
        <v>8.5</v>
      </c>
      <c r="H4670" s="524">
        <v>1.3083000000000001E-3</v>
      </c>
      <c r="I4670" s="523">
        <v>0.05</v>
      </c>
      <c r="J4670" s="523">
        <v>0.08</v>
      </c>
    </row>
    <row r="4671" spans="1:10" s="559" customFormat="1">
      <c r="A4671" s="521" t="s">
        <v>318</v>
      </c>
      <c r="B4671" s="522" t="s">
        <v>710</v>
      </c>
      <c r="C4671" s="423" t="s">
        <v>439</v>
      </c>
      <c r="D4671" s="521" t="s">
        <v>711</v>
      </c>
      <c r="E4671" s="522">
        <v>201608</v>
      </c>
      <c r="F4671" s="523">
        <v>0.2</v>
      </c>
      <c r="G4671" s="521">
        <v>8.5</v>
      </c>
      <c r="H4671" s="524">
        <v>1.3083000000000001E-3</v>
      </c>
      <c r="I4671" s="523">
        <v>0</v>
      </c>
      <c r="J4671" s="523">
        <v>0</v>
      </c>
    </row>
    <row r="4672" spans="1:10" s="559" customFormat="1">
      <c r="A4672" s="521" t="s">
        <v>318</v>
      </c>
      <c r="B4672" s="522" t="s">
        <v>712</v>
      </c>
      <c r="C4672" s="423" t="s">
        <v>331</v>
      </c>
      <c r="D4672" s="521" t="s">
        <v>713</v>
      </c>
      <c r="E4672" s="522">
        <v>201608</v>
      </c>
      <c r="F4672" s="523">
        <v>-177.02</v>
      </c>
      <c r="G4672" s="521">
        <v>8.5</v>
      </c>
      <c r="H4672" s="524">
        <v>1.3083000000000001E-3</v>
      </c>
      <c r="I4672" s="523">
        <v>-1.97</v>
      </c>
      <c r="J4672" s="523">
        <v>-2.78</v>
      </c>
    </row>
    <row r="4673" spans="1:10" s="559" customFormat="1">
      <c r="A4673" s="521" t="s">
        <v>322</v>
      </c>
      <c r="B4673" s="522" t="s">
        <v>712</v>
      </c>
      <c r="C4673" s="423" t="s">
        <v>331</v>
      </c>
      <c r="D4673" s="521" t="s">
        <v>713</v>
      </c>
      <c r="E4673" s="522">
        <v>201608</v>
      </c>
      <c r="F4673" s="523">
        <v>-117.26</v>
      </c>
      <c r="G4673" s="521">
        <v>8.5</v>
      </c>
      <c r="H4673" s="524">
        <v>1.1999999999999999E-3</v>
      </c>
      <c r="I4673" s="523">
        <v>-1.2</v>
      </c>
      <c r="J4673" s="523">
        <v>-1.69</v>
      </c>
    </row>
    <row r="4674" spans="1:10" s="559" customFormat="1">
      <c r="A4674" s="521" t="s">
        <v>318</v>
      </c>
      <c r="B4674" s="522" t="s">
        <v>712</v>
      </c>
      <c r="C4674" s="423" t="s">
        <v>331</v>
      </c>
      <c r="D4674" s="521" t="s">
        <v>713</v>
      </c>
      <c r="E4674" s="522">
        <v>201608</v>
      </c>
      <c r="F4674" s="523">
        <v>-3.96</v>
      </c>
      <c r="G4674" s="521">
        <v>8.5</v>
      </c>
      <c r="H4674" s="524">
        <v>1.3083000000000001E-3</v>
      </c>
      <c r="I4674" s="523">
        <v>-0.04</v>
      </c>
      <c r="J4674" s="523">
        <v>-0.06</v>
      </c>
    </row>
    <row r="4675" spans="1:10" s="559" customFormat="1">
      <c r="A4675" s="521" t="s">
        <v>318</v>
      </c>
      <c r="B4675" s="522" t="s">
        <v>625</v>
      </c>
      <c r="C4675" s="423" t="s">
        <v>331</v>
      </c>
      <c r="D4675" s="521" t="s">
        <v>626</v>
      </c>
      <c r="E4675" s="522">
        <v>201608</v>
      </c>
      <c r="F4675" s="523">
        <v>4.87</v>
      </c>
      <c r="G4675" s="521">
        <v>8.5</v>
      </c>
      <c r="H4675" s="524">
        <v>1.3083000000000001E-3</v>
      </c>
      <c r="I4675" s="523">
        <v>0.05</v>
      </c>
      <c r="J4675" s="523">
        <v>0.08</v>
      </c>
    </row>
    <row r="4676" spans="1:10" s="559" customFormat="1">
      <c r="A4676" s="521" t="s">
        <v>318</v>
      </c>
      <c r="B4676" s="522" t="s">
        <v>625</v>
      </c>
      <c r="C4676" s="423" t="s">
        <v>331</v>
      </c>
      <c r="D4676" s="521" t="s">
        <v>626</v>
      </c>
      <c r="E4676" s="522">
        <v>201608</v>
      </c>
      <c r="F4676" s="523">
        <v>0.31</v>
      </c>
      <c r="G4676" s="521">
        <v>8.5</v>
      </c>
      <c r="H4676" s="524">
        <v>1.3083000000000001E-3</v>
      </c>
      <c r="I4676" s="523">
        <v>0</v>
      </c>
      <c r="J4676" s="523">
        <v>0</v>
      </c>
    </row>
    <row r="4677" spans="1:10" s="559" customFormat="1">
      <c r="A4677" s="521" t="s">
        <v>318</v>
      </c>
      <c r="B4677" s="522" t="s">
        <v>796</v>
      </c>
      <c r="C4677" s="423" t="s">
        <v>331</v>
      </c>
      <c r="D4677" s="521" t="s">
        <v>797</v>
      </c>
      <c r="E4677" s="522">
        <v>201608</v>
      </c>
      <c r="F4677" s="523">
        <v>1087.78</v>
      </c>
      <c r="G4677" s="521">
        <v>8.5</v>
      </c>
      <c r="H4677" s="524">
        <v>1.3083000000000001E-3</v>
      </c>
      <c r="I4677" s="523">
        <v>12.1</v>
      </c>
      <c r="J4677" s="523">
        <v>17.079999999999998</v>
      </c>
    </row>
    <row r="4678" spans="1:10" s="559" customFormat="1">
      <c r="A4678" s="521" t="s">
        <v>322</v>
      </c>
      <c r="B4678" s="522" t="s">
        <v>614</v>
      </c>
      <c r="C4678" s="423" t="s">
        <v>331</v>
      </c>
      <c r="D4678" s="521" t="s">
        <v>714</v>
      </c>
      <c r="E4678" s="522">
        <v>201608</v>
      </c>
      <c r="F4678" s="523">
        <v>-0.02</v>
      </c>
      <c r="G4678" s="521">
        <v>8.5</v>
      </c>
      <c r="H4678" s="524">
        <v>1.1999999999999999E-3</v>
      </c>
      <c r="I4678" s="523">
        <v>0</v>
      </c>
      <c r="J4678" s="523">
        <v>0</v>
      </c>
    </row>
    <row r="4679" spans="1:10" s="559" customFormat="1">
      <c r="A4679" s="521" t="s">
        <v>318</v>
      </c>
      <c r="B4679" s="522" t="s">
        <v>614</v>
      </c>
      <c r="C4679" s="423" t="s">
        <v>331</v>
      </c>
      <c r="D4679" s="521" t="s">
        <v>714</v>
      </c>
      <c r="E4679" s="522">
        <v>201608</v>
      </c>
      <c r="F4679" s="523">
        <v>-0.2</v>
      </c>
      <c r="G4679" s="521">
        <v>8.5</v>
      </c>
      <c r="H4679" s="524">
        <v>1.3083000000000001E-3</v>
      </c>
      <c r="I4679" s="523">
        <v>0</v>
      </c>
      <c r="J4679" s="523">
        <v>0</v>
      </c>
    </row>
    <row r="4680" spans="1:10" s="559" customFormat="1">
      <c r="A4680" s="521" t="s">
        <v>318</v>
      </c>
      <c r="B4680" s="522" t="s">
        <v>614</v>
      </c>
      <c r="C4680" s="423" t="s">
        <v>331</v>
      </c>
      <c r="D4680" s="521" t="s">
        <v>714</v>
      </c>
      <c r="E4680" s="522">
        <v>201608</v>
      </c>
      <c r="F4680" s="523">
        <v>-0.03</v>
      </c>
      <c r="G4680" s="521">
        <v>8.5</v>
      </c>
      <c r="H4680" s="524">
        <v>1.3083000000000001E-3</v>
      </c>
      <c r="I4680" s="523">
        <v>0</v>
      </c>
      <c r="J4680" s="523">
        <v>0</v>
      </c>
    </row>
    <row r="4681" spans="1:10" s="559" customFormat="1">
      <c r="A4681" s="521" t="s">
        <v>318</v>
      </c>
      <c r="B4681" s="522" t="s">
        <v>891</v>
      </c>
      <c r="C4681" s="423" t="s">
        <v>331</v>
      </c>
      <c r="D4681" s="521" t="s">
        <v>892</v>
      </c>
      <c r="E4681" s="522">
        <v>201608</v>
      </c>
      <c r="F4681" s="523">
        <v>-418.59</v>
      </c>
      <c r="G4681" s="521">
        <v>8.5</v>
      </c>
      <c r="H4681" s="524">
        <v>1.3083000000000001E-3</v>
      </c>
      <c r="I4681" s="523">
        <v>-4.6500000000000004</v>
      </c>
      <c r="J4681" s="523">
        <v>-6.57</v>
      </c>
    </row>
    <row r="4682" spans="1:10" s="559" customFormat="1">
      <c r="A4682" s="521" t="s">
        <v>318</v>
      </c>
      <c r="B4682" s="522" t="s">
        <v>727</v>
      </c>
      <c r="C4682" s="423" t="s">
        <v>343</v>
      </c>
      <c r="D4682" s="521" t="s">
        <v>728</v>
      </c>
      <c r="E4682" s="522">
        <v>201608</v>
      </c>
      <c r="F4682" s="523">
        <v>81.239999999999995</v>
      </c>
      <c r="G4682" s="521">
        <v>8.5</v>
      </c>
      <c r="H4682" s="524">
        <v>1.3083000000000001E-3</v>
      </c>
      <c r="I4682" s="523">
        <v>0.9</v>
      </c>
      <c r="J4682" s="523">
        <v>1.28</v>
      </c>
    </row>
    <row r="4683" spans="1:10" s="559" customFormat="1">
      <c r="A4683" s="521" t="s">
        <v>318</v>
      </c>
      <c r="B4683" s="522" t="s">
        <v>897</v>
      </c>
      <c r="C4683" s="423" t="s">
        <v>331</v>
      </c>
      <c r="D4683" s="521" t="s">
        <v>898</v>
      </c>
      <c r="E4683" s="522">
        <v>201608</v>
      </c>
      <c r="F4683" s="523">
        <v>1709.99</v>
      </c>
      <c r="G4683" s="521">
        <v>8.5</v>
      </c>
      <c r="H4683" s="524">
        <v>1.3083000000000001E-3</v>
      </c>
      <c r="I4683" s="523">
        <v>19.02</v>
      </c>
      <c r="J4683" s="523">
        <v>26.85</v>
      </c>
    </row>
    <row r="4684" spans="1:10" s="559" customFormat="1">
      <c r="A4684" s="521" t="s">
        <v>318</v>
      </c>
      <c r="B4684" s="522" t="s">
        <v>897</v>
      </c>
      <c r="C4684" s="423" t="s">
        <v>331</v>
      </c>
      <c r="D4684" s="521" t="s">
        <v>898</v>
      </c>
      <c r="E4684" s="522">
        <v>201608</v>
      </c>
      <c r="F4684" s="523">
        <v>214.94</v>
      </c>
      <c r="G4684" s="521">
        <v>8.5</v>
      </c>
      <c r="H4684" s="524">
        <v>1.3083000000000001E-3</v>
      </c>
      <c r="I4684" s="523">
        <v>2.39</v>
      </c>
      <c r="J4684" s="523">
        <v>3.37</v>
      </c>
    </row>
    <row r="4685" spans="1:10" s="559" customFormat="1">
      <c r="A4685" s="521" t="s">
        <v>318</v>
      </c>
      <c r="B4685" s="522" t="s">
        <v>1000</v>
      </c>
      <c r="C4685" s="423" t="s">
        <v>343</v>
      </c>
      <c r="D4685" s="521" t="s">
        <v>1001</v>
      </c>
      <c r="E4685" s="522">
        <v>201608</v>
      </c>
      <c r="F4685" s="523">
        <v>79078.899999999994</v>
      </c>
      <c r="G4685" s="521">
        <v>8.5</v>
      </c>
      <c r="H4685" s="524">
        <v>1.3083000000000001E-3</v>
      </c>
      <c r="I4685" s="523">
        <v>879.4</v>
      </c>
      <c r="J4685" s="523">
        <v>1241.51</v>
      </c>
    </row>
    <row r="4686" spans="1:10" s="559" customFormat="1">
      <c r="A4686" s="521" t="s">
        <v>318</v>
      </c>
      <c r="B4686" s="522" t="s">
        <v>1000</v>
      </c>
      <c r="C4686" s="423" t="s">
        <v>343</v>
      </c>
      <c r="D4686" s="521" t="s">
        <v>1001</v>
      </c>
      <c r="E4686" s="522">
        <v>201608</v>
      </c>
      <c r="F4686" s="523">
        <v>664.46</v>
      </c>
      <c r="G4686" s="521">
        <v>8.5</v>
      </c>
      <c r="H4686" s="524">
        <v>1.3083000000000001E-3</v>
      </c>
      <c r="I4686" s="523">
        <v>7.39</v>
      </c>
      <c r="J4686" s="523">
        <v>10.43</v>
      </c>
    </row>
    <row r="4687" spans="1:10" s="559" customFormat="1">
      <c r="A4687" s="521" t="s">
        <v>318</v>
      </c>
      <c r="B4687" s="522" t="s">
        <v>729</v>
      </c>
      <c r="C4687" s="423" t="s">
        <v>331</v>
      </c>
      <c r="D4687" s="521" t="s">
        <v>730</v>
      </c>
      <c r="E4687" s="522">
        <v>201608</v>
      </c>
      <c r="F4687" s="523">
        <v>993.27</v>
      </c>
      <c r="G4687" s="521">
        <v>8.5</v>
      </c>
      <c r="H4687" s="524">
        <v>1.3083000000000001E-3</v>
      </c>
      <c r="I4687" s="523">
        <v>11.05</v>
      </c>
      <c r="J4687" s="523">
        <v>15.59</v>
      </c>
    </row>
    <row r="4688" spans="1:10" s="559" customFormat="1">
      <c r="A4688" s="521" t="s">
        <v>322</v>
      </c>
      <c r="B4688" s="522" t="s">
        <v>729</v>
      </c>
      <c r="C4688" s="423" t="s">
        <v>331</v>
      </c>
      <c r="D4688" s="521" t="s">
        <v>730</v>
      </c>
      <c r="E4688" s="522">
        <v>201608</v>
      </c>
      <c r="F4688" s="523">
        <v>207.14</v>
      </c>
      <c r="G4688" s="521">
        <v>8.5</v>
      </c>
      <c r="H4688" s="524">
        <v>1.1999999999999999E-3</v>
      </c>
      <c r="I4688" s="523">
        <v>2.11</v>
      </c>
      <c r="J4688" s="523">
        <v>2.98</v>
      </c>
    </row>
    <row r="4689" spans="1:10" s="559" customFormat="1">
      <c r="A4689" s="521" t="s">
        <v>318</v>
      </c>
      <c r="B4689" s="522" t="s">
        <v>729</v>
      </c>
      <c r="C4689" s="423" t="s">
        <v>331</v>
      </c>
      <c r="D4689" s="521" t="s">
        <v>730</v>
      </c>
      <c r="E4689" s="522">
        <v>201608</v>
      </c>
      <c r="F4689" s="523">
        <v>17.61</v>
      </c>
      <c r="G4689" s="521">
        <v>8.5</v>
      </c>
      <c r="H4689" s="524">
        <v>1.3083000000000001E-3</v>
      </c>
      <c r="I4689" s="523">
        <v>0.2</v>
      </c>
      <c r="J4689" s="523">
        <v>0.28000000000000003</v>
      </c>
    </row>
    <row r="4690" spans="1:10" s="559" customFormat="1">
      <c r="A4690" s="521" t="s">
        <v>322</v>
      </c>
      <c r="B4690" s="522" t="s">
        <v>1002</v>
      </c>
      <c r="C4690" s="423" t="s">
        <v>343</v>
      </c>
      <c r="D4690" s="521" t="s">
        <v>1003</v>
      </c>
      <c r="E4690" s="522">
        <v>201608</v>
      </c>
      <c r="F4690" s="523">
        <v>6134.67</v>
      </c>
      <c r="G4690" s="521">
        <v>8.5</v>
      </c>
      <c r="H4690" s="524">
        <v>1.1999999999999999E-3</v>
      </c>
      <c r="I4690" s="523">
        <v>62.57</v>
      </c>
      <c r="J4690" s="523">
        <v>88.34</v>
      </c>
    </row>
    <row r="4691" spans="1:10" s="559" customFormat="1">
      <c r="A4691" s="521" t="s">
        <v>318</v>
      </c>
      <c r="B4691" s="522" t="s">
        <v>895</v>
      </c>
      <c r="C4691" s="423" t="s">
        <v>343</v>
      </c>
      <c r="D4691" s="521" t="s">
        <v>896</v>
      </c>
      <c r="E4691" s="522">
        <v>201608</v>
      </c>
      <c r="F4691" s="523">
        <v>321.73</v>
      </c>
      <c r="G4691" s="521">
        <v>8.5</v>
      </c>
      <c r="H4691" s="524">
        <v>1.3083000000000001E-3</v>
      </c>
      <c r="I4691" s="523">
        <v>3.58</v>
      </c>
      <c r="J4691" s="523">
        <v>5.05</v>
      </c>
    </row>
    <row r="4692" spans="1:10" s="559" customFormat="1">
      <c r="A4692" s="521" t="s">
        <v>322</v>
      </c>
      <c r="B4692" s="522" t="s">
        <v>901</v>
      </c>
      <c r="C4692" s="423" t="s">
        <v>331</v>
      </c>
      <c r="D4692" s="521" t="s">
        <v>902</v>
      </c>
      <c r="E4692" s="522">
        <v>201608</v>
      </c>
      <c r="F4692" s="523">
        <v>204.39</v>
      </c>
      <c r="G4692" s="521">
        <v>8.5</v>
      </c>
      <c r="H4692" s="524">
        <v>1.1999999999999999E-3</v>
      </c>
      <c r="I4692" s="523">
        <v>2.08</v>
      </c>
      <c r="J4692" s="523">
        <v>2.94</v>
      </c>
    </row>
    <row r="4693" spans="1:10" s="559" customFormat="1">
      <c r="A4693" s="521" t="s">
        <v>322</v>
      </c>
      <c r="B4693" s="522" t="s">
        <v>901</v>
      </c>
      <c r="C4693" s="423" t="s">
        <v>331</v>
      </c>
      <c r="D4693" s="521" t="s">
        <v>902</v>
      </c>
      <c r="E4693" s="522">
        <v>201608</v>
      </c>
      <c r="F4693" s="523">
        <v>2.93</v>
      </c>
      <c r="G4693" s="521">
        <v>8.5</v>
      </c>
      <c r="H4693" s="524">
        <v>1.1999999999999999E-3</v>
      </c>
      <c r="I4693" s="523">
        <v>0.03</v>
      </c>
      <c r="J4693" s="523">
        <v>0.04</v>
      </c>
    </row>
    <row r="4694" spans="1:10" s="559" customFormat="1">
      <c r="A4694" s="521" t="s">
        <v>318</v>
      </c>
      <c r="B4694" s="522" t="s">
        <v>1008</v>
      </c>
      <c r="C4694" s="423" t="s">
        <v>331</v>
      </c>
      <c r="D4694" s="521" t="s">
        <v>1009</v>
      </c>
      <c r="E4694" s="522">
        <v>201608</v>
      </c>
      <c r="F4694" s="523">
        <v>2507.6999999999998</v>
      </c>
      <c r="G4694" s="521">
        <v>8.5</v>
      </c>
      <c r="H4694" s="524">
        <v>1.3083000000000001E-3</v>
      </c>
      <c r="I4694" s="523">
        <v>27.89</v>
      </c>
      <c r="J4694" s="523">
        <v>39.369999999999997</v>
      </c>
    </row>
    <row r="4695" spans="1:10" s="559" customFormat="1">
      <c r="A4695" s="521" t="s">
        <v>318</v>
      </c>
      <c r="B4695" s="522" t="s">
        <v>1010</v>
      </c>
      <c r="C4695" s="423" t="s">
        <v>331</v>
      </c>
      <c r="D4695" s="521" t="s">
        <v>1011</v>
      </c>
      <c r="E4695" s="522">
        <v>201608</v>
      </c>
      <c r="F4695" s="523">
        <v>1276.72</v>
      </c>
      <c r="G4695" s="521">
        <v>8.5</v>
      </c>
      <c r="H4695" s="524">
        <v>1.3083000000000001E-3</v>
      </c>
      <c r="I4695" s="523">
        <v>14.2</v>
      </c>
      <c r="J4695" s="523">
        <v>20.04</v>
      </c>
    </row>
    <row r="4696" spans="1:10" s="559" customFormat="1">
      <c r="A4696" s="521" t="s">
        <v>318</v>
      </c>
      <c r="B4696" s="522" t="s">
        <v>1010</v>
      </c>
      <c r="C4696" s="423" t="s">
        <v>331</v>
      </c>
      <c r="D4696" s="521" t="s">
        <v>1011</v>
      </c>
      <c r="E4696" s="522">
        <v>201608</v>
      </c>
      <c r="F4696" s="523">
        <v>100.37</v>
      </c>
      <c r="G4696" s="521">
        <v>8.5</v>
      </c>
      <c r="H4696" s="524">
        <v>1.3083000000000001E-3</v>
      </c>
      <c r="I4696" s="523">
        <v>1.1200000000000001</v>
      </c>
      <c r="J4696" s="523">
        <v>1.58</v>
      </c>
    </row>
    <row r="4697" spans="1:10" s="559" customFormat="1">
      <c r="A4697" s="521" t="s">
        <v>318</v>
      </c>
      <c r="B4697" s="522" t="s">
        <v>1012</v>
      </c>
      <c r="C4697" s="423" t="s">
        <v>331</v>
      </c>
      <c r="D4697" s="521" t="s">
        <v>1013</v>
      </c>
      <c r="E4697" s="522">
        <v>201608</v>
      </c>
      <c r="F4697" s="523">
        <v>280.39999999999998</v>
      </c>
      <c r="G4697" s="521">
        <v>8.5</v>
      </c>
      <c r="H4697" s="524">
        <v>1.3083000000000001E-3</v>
      </c>
      <c r="I4697" s="523">
        <v>3.12</v>
      </c>
      <c r="J4697" s="523">
        <v>4.4000000000000004</v>
      </c>
    </row>
    <row r="4698" spans="1:10" s="559" customFormat="1">
      <c r="A4698" s="521" t="s">
        <v>318</v>
      </c>
      <c r="B4698" s="522" t="s">
        <v>1012</v>
      </c>
      <c r="C4698" s="423" t="s">
        <v>331</v>
      </c>
      <c r="D4698" s="521" t="s">
        <v>1013</v>
      </c>
      <c r="E4698" s="522">
        <v>201608</v>
      </c>
      <c r="F4698" s="523">
        <v>21.59</v>
      </c>
      <c r="G4698" s="521">
        <v>8.5</v>
      </c>
      <c r="H4698" s="524">
        <v>1.3083000000000001E-3</v>
      </c>
      <c r="I4698" s="523">
        <v>0.24</v>
      </c>
      <c r="J4698" s="523">
        <v>0.34</v>
      </c>
    </row>
    <row r="4699" spans="1:10" s="559" customFormat="1">
      <c r="A4699" s="521" t="s">
        <v>318</v>
      </c>
      <c r="B4699" s="522" t="s">
        <v>706</v>
      </c>
      <c r="C4699" s="423" t="s">
        <v>343</v>
      </c>
      <c r="D4699" s="521" t="s">
        <v>707</v>
      </c>
      <c r="E4699" s="522">
        <v>201609</v>
      </c>
      <c r="F4699" s="523">
        <v>-49.52</v>
      </c>
      <c r="G4699" s="521">
        <v>7.5</v>
      </c>
      <c r="H4699" s="524">
        <v>1.3083000000000001E-3</v>
      </c>
      <c r="I4699" s="523">
        <v>-0.49</v>
      </c>
      <c r="J4699" s="523">
        <v>-0.78</v>
      </c>
    </row>
    <row r="4700" spans="1:10" s="559" customFormat="1">
      <c r="A4700" s="521" t="s">
        <v>322</v>
      </c>
      <c r="B4700" s="522" t="s">
        <v>708</v>
      </c>
      <c r="C4700" s="423" t="s">
        <v>331</v>
      </c>
      <c r="D4700" s="521" t="s">
        <v>709</v>
      </c>
      <c r="E4700" s="522">
        <v>201609</v>
      </c>
      <c r="F4700" s="523">
        <v>15.9</v>
      </c>
      <c r="G4700" s="521">
        <v>7.5</v>
      </c>
      <c r="H4700" s="524">
        <v>1.1999999999999999E-3</v>
      </c>
      <c r="I4700" s="523">
        <v>0.14000000000000001</v>
      </c>
      <c r="J4700" s="523">
        <v>0.23</v>
      </c>
    </row>
    <row r="4701" spans="1:10" s="559" customFormat="1">
      <c r="A4701" s="521" t="s">
        <v>318</v>
      </c>
      <c r="B4701" s="522" t="s">
        <v>708</v>
      </c>
      <c r="C4701" s="423" t="s">
        <v>331</v>
      </c>
      <c r="D4701" s="521" t="s">
        <v>709</v>
      </c>
      <c r="E4701" s="522">
        <v>201609</v>
      </c>
      <c r="F4701" s="523">
        <v>270.33</v>
      </c>
      <c r="G4701" s="521">
        <v>7.5</v>
      </c>
      <c r="H4701" s="524">
        <v>1.3083000000000001E-3</v>
      </c>
      <c r="I4701" s="523">
        <v>2.65</v>
      </c>
      <c r="J4701" s="523">
        <v>4.24</v>
      </c>
    </row>
    <row r="4702" spans="1:10" s="559" customFormat="1">
      <c r="A4702" s="521" t="s">
        <v>322</v>
      </c>
      <c r="B4702" s="522" t="s">
        <v>708</v>
      </c>
      <c r="C4702" s="423" t="s">
        <v>331</v>
      </c>
      <c r="D4702" s="521" t="s">
        <v>709</v>
      </c>
      <c r="E4702" s="522">
        <v>201609</v>
      </c>
      <c r="F4702" s="523">
        <v>563.79</v>
      </c>
      <c r="G4702" s="521">
        <v>7.5</v>
      </c>
      <c r="H4702" s="524">
        <v>1.1999999999999999E-3</v>
      </c>
      <c r="I4702" s="523">
        <v>5.07</v>
      </c>
      <c r="J4702" s="523">
        <v>8.1199999999999992</v>
      </c>
    </row>
    <row r="4703" spans="1:10" s="559" customFormat="1">
      <c r="A4703" s="521" t="s">
        <v>318</v>
      </c>
      <c r="B4703" s="522" t="s">
        <v>708</v>
      </c>
      <c r="C4703" s="423" t="s">
        <v>331</v>
      </c>
      <c r="D4703" s="521" t="s">
        <v>709</v>
      </c>
      <c r="E4703" s="522">
        <v>201609</v>
      </c>
      <c r="F4703" s="523">
        <v>7676.13</v>
      </c>
      <c r="G4703" s="521">
        <v>7.5</v>
      </c>
      <c r="H4703" s="524">
        <v>1.3083000000000001E-3</v>
      </c>
      <c r="I4703" s="523">
        <v>75.319999999999993</v>
      </c>
      <c r="J4703" s="523">
        <v>120.51</v>
      </c>
    </row>
    <row r="4704" spans="1:10" s="559" customFormat="1">
      <c r="A4704" s="521" t="s">
        <v>318</v>
      </c>
      <c r="B4704" s="522" t="s">
        <v>717</v>
      </c>
      <c r="C4704" s="423" t="s">
        <v>331</v>
      </c>
      <c r="D4704" s="521" t="s">
        <v>718</v>
      </c>
      <c r="E4704" s="522">
        <v>201609</v>
      </c>
      <c r="F4704" s="523">
        <v>15.48</v>
      </c>
      <c r="G4704" s="521">
        <v>7.5</v>
      </c>
      <c r="H4704" s="524">
        <v>1.3083000000000001E-3</v>
      </c>
      <c r="I4704" s="523">
        <v>0.15</v>
      </c>
      <c r="J4704" s="523">
        <v>0.24</v>
      </c>
    </row>
    <row r="4705" spans="1:10" s="559" customFormat="1">
      <c r="A4705" s="521" t="s">
        <v>318</v>
      </c>
      <c r="B4705" s="522" t="s">
        <v>717</v>
      </c>
      <c r="C4705" s="423" t="s">
        <v>331</v>
      </c>
      <c r="D4705" s="521" t="s">
        <v>718</v>
      </c>
      <c r="E4705" s="522">
        <v>201609</v>
      </c>
      <c r="F4705" s="523">
        <v>38.76</v>
      </c>
      <c r="G4705" s="521">
        <v>7.5</v>
      </c>
      <c r="H4705" s="524">
        <v>1.3083000000000001E-3</v>
      </c>
      <c r="I4705" s="523">
        <v>0.38</v>
      </c>
      <c r="J4705" s="523">
        <v>0.61</v>
      </c>
    </row>
    <row r="4706" spans="1:10" s="559" customFormat="1">
      <c r="A4706" s="521" t="s">
        <v>322</v>
      </c>
      <c r="B4706" s="522" t="s">
        <v>717</v>
      </c>
      <c r="C4706" s="423" t="s">
        <v>331</v>
      </c>
      <c r="D4706" s="521" t="s">
        <v>718</v>
      </c>
      <c r="E4706" s="522">
        <v>201609</v>
      </c>
      <c r="F4706" s="523">
        <v>45.11</v>
      </c>
      <c r="G4706" s="521">
        <v>7.5</v>
      </c>
      <c r="H4706" s="524">
        <v>1.1999999999999999E-3</v>
      </c>
      <c r="I4706" s="523">
        <v>0.41</v>
      </c>
      <c r="J4706" s="523">
        <v>0.65</v>
      </c>
    </row>
    <row r="4707" spans="1:10" s="559" customFormat="1">
      <c r="A4707" s="521" t="s">
        <v>322</v>
      </c>
      <c r="B4707" s="522" t="s">
        <v>717</v>
      </c>
      <c r="C4707" s="423" t="s">
        <v>331</v>
      </c>
      <c r="D4707" s="521" t="s">
        <v>718</v>
      </c>
      <c r="E4707" s="522">
        <v>201609</v>
      </c>
      <c r="F4707" s="523">
        <v>1160.18</v>
      </c>
      <c r="G4707" s="521">
        <v>7.5</v>
      </c>
      <c r="H4707" s="524">
        <v>1.1999999999999999E-3</v>
      </c>
      <c r="I4707" s="523">
        <v>10.44</v>
      </c>
      <c r="J4707" s="523">
        <v>16.71</v>
      </c>
    </row>
    <row r="4708" spans="1:10" s="559" customFormat="1">
      <c r="A4708" s="521" t="s">
        <v>318</v>
      </c>
      <c r="B4708" s="522" t="s">
        <v>717</v>
      </c>
      <c r="C4708" s="423" t="s">
        <v>331</v>
      </c>
      <c r="D4708" s="521" t="s">
        <v>718</v>
      </c>
      <c r="E4708" s="522">
        <v>201609</v>
      </c>
      <c r="F4708" s="523">
        <v>1566.04</v>
      </c>
      <c r="G4708" s="521">
        <v>7.5</v>
      </c>
      <c r="H4708" s="524">
        <v>1.3083000000000001E-3</v>
      </c>
      <c r="I4708" s="523">
        <v>15.37</v>
      </c>
      <c r="J4708" s="523">
        <v>24.59</v>
      </c>
    </row>
    <row r="4709" spans="1:10" s="559" customFormat="1">
      <c r="A4709" s="521" t="s">
        <v>322</v>
      </c>
      <c r="B4709" s="522" t="s">
        <v>943</v>
      </c>
      <c r="C4709" s="423" t="s">
        <v>331</v>
      </c>
      <c r="D4709" s="521" t="s">
        <v>944</v>
      </c>
      <c r="E4709" s="522">
        <v>201609</v>
      </c>
      <c r="F4709" s="523">
        <v>356.65</v>
      </c>
      <c r="G4709" s="521">
        <v>7.5</v>
      </c>
      <c r="H4709" s="524">
        <v>1.1999999999999999E-3</v>
      </c>
      <c r="I4709" s="523">
        <v>3.21</v>
      </c>
      <c r="J4709" s="523">
        <v>5.14</v>
      </c>
    </row>
    <row r="4710" spans="1:10" s="559" customFormat="1">
      <c r="A4710" s="521" t="s">
        <v>322</v>
      </c>
      <c r="B4710" s="522" t="s">
        <v>943</v>
      </c>
      <c r="C4710" s="423" t="s">
        <v>331</v>
      </c>
      <c r="D4710" s="521" t="s">
        <v>944</v>
      </c>
      <c r="E4710" s="522">
        <v>201609</v>
      </c>
      <c r="F4710" s="523">
        <v>1219.03</v>
      </c>
      <c r="G4710" s="521">
        <v>7.5</v>
      </c>
      <c r="H4710" s="524">
        <v>1.1999999999999999E-3</v>
      </c>
      <c r="I4710" s="523">
        <v>10.97</v>
      </c>
      <c r="J4710" s="523">
        <v>17.55</v>
      </c>
    </row>
    <row r="4711" spans="1:10" s="559" customFormat="1">
      <c r="A4711" s="521" t="s">
        <v>318</v>
      </c>
      <c r="B4711" s="522" t="s">
        <v>617</v>
      </c>
      <c r="C4711" s="423" t="s">
        <v>331</v>
      </c>
      <c r="D4711" s="521" t="s">
        <v>618</v>
      </c>
      <c r="E4711" s="522">
        <v>201609</v>
      </c>
      <c r="F4711" s="523">
        <v>-0.56000000000000005</v>
      </c>
      <c r="G4711" s="521">
        <v>7.5</v>
      </c>
      <c r="H4711" s="524">
        <v>1.3083000000000001E-3</v>
      </c>
      <c r="I4711" s="523">
        <v>-0.01</v>
      </c>
      <c r="J4711" s="523">
        <v>-0.01</v>
      </c>
    </row>
    <row r="4712" spans="1:10" s="559" customFormat="1">
      <c r="A4712" s="521" t="s">
        <v>318</v>
      </c>
      <c r="B4712" s="522" t="s">
        <v>619</v>
      </c>
      <c r="C4712" s="423" t="s">
        <v>331</v>
      </c>
      <c r="D4712" s="521" t="s">
        <v>620</v>
      </c>
      <c r="E4712" s="522">
        <v>201609</v>
      </c>
      <c r="F4712" s="523">
        <v>-37800.1</v>
      </c>
      <c r="G4712" s="521">
        <v>7.5</v>
      </c>
      <c r="H4712" s="524">
        <v>1.3083000000000001E-3</v>
      </c>
      <c r="I4712" s="523">
        <v>-370.9</v>
      </c>
      <c r="J4712" s="523">
        <v>-593.45000000000005</v>
      </c>
    </row>
    <row r="4713" spans="1:10" s="559" customFormat="1">
      <c r="A4713" s="521" t="s">
        <v>318</v>
      </c>
      <c r="B4713" s="522" t="s">
        <v>619</v>
      </c>
      <c r="C4713" s="423" t="s">
        <v>331</v>
      </c>
      <c r="D4713" s="521" t="s">
        <v>620</v>
      </c>
      <c r="E4713" s="522">
        <v>201609</v>
      </c>
      <c r="F4713" s="523">
        <v>5610.76</v>
      </c>
      <c r="G4713" s="521">
        <v>7.5</v>
      </c>
      <c r="H4713" s="524">
        <v>1.3083000000000001E-3</v>
      </c>
      <c r="I4713" s="523">
        <v>55.05</v>
      </c>
      <c r="J4713" s="523">
        <v>88.09</v>
      </c>
    </row>
    <row r="4714" spans="1:10" s="559" customFormat="1">
      <c r="A4714" s="521" t="s">
        <v>318</v>
      </c>
      <c r="B4714" s="522" t="s">
        <v>619</v>
      </c>
      <c r="C4714" s="423" t="s">
        <v>331</v>
      </c>
      <c r="D4714" s="521" t="s">
        <v>620</v>
      </c>
      <c r="E4714" s="522">
        <v>201609</v>
      </c>
      <c r="F4714" s="523">
        <v>24522.5</v>
      </c>
      <c r="G4714" s="521">
        <v>7.5</v>
      </c>
      <c r="H4714" s="524">
        <v>1.3083000000000001E-3</v>
      </c>
      <c r="I4714" s="523">
        <v>240.62</v>
      </c>
      <c r="J4714" s="523">
        <v>384.99</v>
      </c>
    </row>
    <row r="4715" spans="1:10" s="559" customFormat="1">
      <c r="A4715" s="521" t="s">
        <v>318</v>
      </c>
      <c r="B4715" s="522" t="s">
        <v>719</v>
      </c>
      <c r="C4715" s="423" t="s">
        <v>331</v>
      </c>
      <c r="D4715" s="521" t="s">
        <v>720</v>
      </c>
      <c r="E4715" s="522">
        <v>201609</v>
      </c>
      <c r="F4715" s="523">
        <v>3.02</v>
      </c>
      <c r="G4715" s="521">
        <v>7.5</v>
      </c>
      <c r="H4715" s="524">
        <v>1.3083000000000001E-3</v>
      </c>
      <c r="I4715" s="523">
        <v>0.03</v>
      </c>
      <c r="J4715" s="523">
        <v>0.05</v>
      </c>
    </row>
    <row r="4716" spans="1:10" s="559" customFormat="1">
      <c r="A4716" s="521" t="s">
        <v>318</v>
      </c>
      <c r="B4716" s="522" t="s">
        <v>719</v>
      </c>
      <c r="C4716" s="423" t="s">
        <v>331</v>
      </c>
      <c r="D4716" s="521" t="s">
        <v>720</v>
      </c>
      <c r="E4716" s="522">
        <v>201609</v>
      </c>
      <c r="F4716" s="523">
        <v>129.81</v>
      </c>
      <c r="G4716" s="521">
        <v>7.5</v>
      </c>
      <c r="H4716" s="524">
        <v>1.3083000000000001E-3</v>
      </c>
      <c r="I4716" s="523">
        <v>1.27</v>
      </c>
      <c r="J4716" s="523">
        <v>2.04</v>
      </c>
    </row>
    <row r="4717" spans="1:10" s="559" customFormat="1">
      <c r="A4717" s="521" t="s">
        <v>318</v>
      </c>
      <c r="B4717" s="522" t="s">
        <v>893</v>
      </c>
      <c r="C4717" s="423" t="s">
        <v>331</v>
      </c>
      <c r="D4717" s="521" t="s">
        <v>894</v>
      </c>
      <c r="E4717" s="522">
        <v>201609</v>
      </c>
      <c r="F4717" s="523">
        <v>4659.8999999999996</v>
      </c>
      <c r="G4717" s="521">
        <v>7.5</v>
      </c>
      <c r="H4717" s="524">
        <v>1.3083000000000001E-3</v>
      </c>
      <c r="I4717" s="523">
        <v>45.72</v>
      </c>
      <c r="J4717" s="523">
        <v>73.16</v>
      </c>
    </row>
    <row r="4718" spans="1:10" s="559" customFormat="1">
      <c r="A4718" s="521" t="s">
        <v>322</v>
      </c>
      <c r="B4718" s="522" t="s">
        <v>721</v>
      </c>
      <c r="C4718" s="423" t="s">
        <v>331</v>
      </c>
      <c r="D4718" s="521" t="s">
        <v>722</v>
      </c>
      <c r="E4718" s="522">
        <v>201609</v>
      </c>
      <c r="F4718" s="523">
        <v>88.23</v>
      </c>
      <c r="G4718" s="521">
        <v>7.5</v>
      </c>
      <c r="H4718" s="524">
        <v>1.1999999999999999E-3</v>
      </c>
      <c r="I4718" s="523">
        <v>0.79</v>
      </c>
      <c r="J4718" s="523">
        <v>1.27</v>
      </c>
    </row>
    <row r="4719" spans="1:10" s="559" customFormat="1">
      <c r="A4719" s="521" t="s">
        <v>318</v>
      </c>
      <c r="B4719" s="522" t="s">
        <v>723</v>
      </c>
      <c r="C4719" s="423" t="s">
        <v>331</v>
      </c>
      <c r="D4719" s="521" t="s">
        <v>724</v>
      </c>
      <c r="E4719" s="522">
        <v>201609</v>
      </c>
      <c r="F4719" s="523">
        <v>0.05</v>
      </c>
      <c r="G4719" s="521">
        <v>7.5</v>
      </c>
      <c r="H4719" s="524">
        <v>1.3083000000000001E-3</v>
      </c>
      <c r="I4719" s="523">
        <v>0</v>
      </c>
      <c r="J4719" s="523">
        <v>0</v>
      </c>
    </row>
    <row r="4720" spans="1:10" s="559" customFormat="1">
      <c r="A4720" s="521" t="s">
        <v>318</v>
      </c>
      <c r="B4720" s="522" t="s">
        <v>723</v>
      </c>
      <c r="C4720" s="423" t="s">
        <v>331</v>
      </c>
      <c r="D4720" s="521" t="s">
        <v>724</v>
      </c>
      <c r="E4720" s="522">
        <v>201609</v>
      </c>
      <c r="F4720" s="523">
        <v>1.3</v>
      </c>
      <c r="G4720" s="521">
        <v>7.5</v>
      </c>
      <c r="H4720" s="524">
        <v>1.3083000000000001E-3</v>
      </c>
      <c r="I4720" s="523">
        <v>0.01</v>
      </c>
      <c r="J4720" s="523">
        <v>0.02</v>
      </c>
    </row>
    <row r="4721" spans="1:10" s="559" customFormat="1">
      <c r="A4721" s="521" t="s">
        <v>318</v>
      </c>
      <c r="B4721" s="522" t="s">
        <v>969</v>
      </c>
      <c r="C4721" s="423" t="s">
        <v>331</v>
      </c>
      <c r="D4721" s="521" t="s">
        <v>970</v>
      </c>
      <c r="E4721" s="522">
        <v>201609</v>
      </c>
      <c r="F4721" s="523">
        <v>-1528.52</v>
      </c>
      <c r="G4721" s="521">
        <v>7.5</v>
      </c>
      <c r="H4721" s="524">
        <v>1.3083000000000001E-3</v>
      </c>
      <c r="I4721" s="523">
        <v>-15</v>
      </c>
      <c r="J4721" s="523">
        <v>-24</v>
      </c>
    </row>
    <row r="4722" spans="1:10" s="559" customFormat="1">
      <c r="A4722" s="521" t="s">
        <v>318</v>
      </c>
      <c r="B4722" s="522" t="s">
        <v>623</v>
      </c>
      <c r="C4722" s="423" t="s">
        <v>331</v>
      </c>
      <c r="D4722" s="521" t="s">
        <v>624</v>
      </c>
      <c r="E4722" s="522">
        <v>201609</v>
      </c>
      <c r="F4722" s="523">
        <v>-32605.98</v>
      </c>
      <c r="G4722" s="521">
        <v>7.5</v>
      </c>
      <c r="H4722" s="524">
        <v>1.3083000000000001E-3</v>
      </c>
      <c r="I4722" s="523">
        <v>-319.94</v>
      </c>
      <c r="J4722" s="523">
        <v>-511.9</v>
      </c>
    </row>
    <row r="4723" spans="1:10" s="559" customFormat="1">
      <c r="A4723" s="521" t="s">
        <v>318</v>
      </c>
      <c r="B4723" s="522" t="s">
        <v>623</v>
      </c>
      <c r="C4723" s="423" t="s">
        <v>331</v>
      </c>
      <c r="D4723" s="521" t="s">
        <v>624</v>
      </c>
      <c r="E4723" s="522">
        <v>201609</v>
      </c>
      <c r="F4723" s="523">
        <v>1123.04</v>
      </c>
      <c r="G4723" s="521">
        <v>7.5</v>
      </c>
      <c r="H4723" s="524">
        <v>1.3083000000000001E-3</v>
      </c>
      <c r="I4723" s="523">
        <v>11.02</v>
      </c>
      <c r="J4723" s="523">
        <v>17.63</v>
      </c>
    </row>
    <row r="4724" spans="1:10" s="559" customFormat="1">
      <c r="A4724" s="521" t="s">
        <v>322</v>
      </c>
      <c r="B4724" s="522" t="s">
        <v>623</v>
      </c>
      <c r="C4724" s="423" t="s">
        <v>331</v>
      </c>
      <c r="D4724" s="521" t="s">
        <v>624</v>
      </c>
      <c r="E4724" s="522">
        <v>201609</v>
      </c>
      <c r="F4724" s="523">
        <v>10618.94</v>
      </c>
      <c r="G4724" s="521">
        <v>7.5</v>
      </c>
      <c r="H4724" s="524">
        <v>1.1999999999999999E-3</v>
      </c>
      <c r="I4724" s="523">
        <v>95.57</v>
      </c>
      <c r="J4724" s="523">
        <v>152.91</v>
      </c>
    </row>
    <row r="4725" spans="1:10" s="559" customFormat="1">
      <c r="A4725" s="521" t="s">
        <v>322</v>
      </c>
      <c r="B4725" s="522" t="s">
        <v>623</v>
      </c>
      <c r="C4725" s="423" t="s">
        <v>331</v>
      </c>
      <c r="D4725" s="521" t="s">
        <v>624</v>
      </c>
      <c r="E4725" s="522">
        <v>201609</v>
      </c>
      <c r="F4725" s="523">
        <v>19372.580000000002</v>
      </c>
      <c r="G4725" s="521">
        <v>7.5</v>
      </c>
      <c r="H4725" s="524">
        <v>1.1999999999999999E-3</v>
      </c>
      <c r="I4725" s="523">
        <v>174.35</v>
      </c>
      <c r="J4725" s="523">
        <v>278.97000000000003</v>
      </c>
    </row>
    <row r="4726" spans="1:10" s="559" customFormat="1">
      <c r="A4726" s="521" t="s">
        <v>318</v>
      </c>
      <c r="B4726" s="522" t="s">
        <v>899</v>
      </c>
      <c r="C4726" s="423" t="s">
        <v>331</v>
      </c>
      <c r="D4726" s="521" t="s">
        <v>900</v>
      </c>
      <c r="E4726" s="522">
        <v>201609</v>
      </c>
      <c r="F4726" s="523">
        <v>1081.3499999999999</v>
      </c>
      <c r="G4726" s="521">
        <v>7.5</v>
      </c>
      <c r="H4726" s="524">
        <v>1.3083000000000001E-3</v>
      </c>
      <c r="I4726" s="523">
        <v>10.61</v>
      </c>
      <c r="J4726" s="523">
        <v>16.98</v>
      </c>
    </row>
    <row r="4727" spans="1:10" s="559" customFormat="1">
      <c r="A4727" s="521" t="s">
        <v>318</v>
      </c>
      <c r="B4727" s="522" t="s">
        <v>899</v>
      </c>
      <c r="C4727" s="423" t="s">
        <v>331</v>
      </c>
      <c r="D4727" s="521" t="s">
        <v>900</v>
      </c>
      <c r="E4727" s="522">
        <v>201609</v>
      </c>
      <c r="F4727" s="523">
        <v>38945.769999999997</v>
      </c>
      <c r="G4727" s="521">
        <v>7.5</v>
      </c>
      <c r="H4727" s="524">
        <v>1.3083000000000001E-3</v>
      </c>
      <c r="I4727" s="523">
        <v>382.15</v>
      </c>
      <c r="J4727" s="523">
        <v>611.42999999999995</v>
      </c>
    </row>
    <row r="4728" spans="1:10" s="559" customFormat="1">
      <c r="A4728" s="521" t="s">
        <v>318</v>
      </c>
      <c r="B4728" s="522" t="s">
        <v>710</v>
      </c>
      <c r="C4728" s="423" t="s">
        <v>439</v>
      </c>
      <c r="D4728" s="521" t="s">
        <v>711</v>
      </c>
      <c r="E4728" s="522">
        <v>201609</v>
      </c>
      <c r="F4728" s="523">
        <v>7.0000000000000007E-2</v>
      </c>
      <c r="G4728" s="521">
        <v>7.5</v>
      </c>
      <c r="H4728" s="524">
        <v>1.3083000000000001E-3</v>
      </c>
      <c r="I4728" s="523">
        <v>0</v>
      </c>
      <c r="J4728" s="523">
        <v>0</v>
      </c>
    </row>
    <row r="4729" spans="1:10" s="559" customFormat="1">
      <c r="A4729" s="521" t="s">
        <v>318</v>
      </c>
      <c r="B4729" s="522" t="s">
        <v>710</v>
      </c>
      <c r="C4729" s="423" t="s">
        <v>439</v>
      </c>
      <c r="D4729" s="521" t="s">
        <v>711</v>
      </c>
      <c r="E4729" s="522">
        <v>201609</v>
      </c>
      <c r="F4729" s="523">
        <v>0.12</v>
      </c>
      <c r="G4729" s="521">
        <v>7.5</v>
      </c>
      <c r="H4729" s="524">
        <v>1.3083000000000001E-3</v>
      </c>
      <c r="I4729" s="523">
        <v>0</v>
      </c>
      <c r="J4729" s="523">
        <v>0</v>
      </c>
    </row>
    <row r="4730" spans="1:10" s="559" customFormat="1">
      <c r="A4730" s="521" t="s">
        <v>318</v>
      </c>
      <c r="B4730" s="522" t="s">
        <v>712</v>
      </c>
      <c r="C4730" s="423" t="s">
        <v>331</v>
      </c>
      <c r="D4730" s="521" t="s">
        <v>713</v>
      </c>
      <c r="E4730" s="522">
        <v>201609</v>
      </c>
      <c r="F4730" s="523">
        <v>79.959999999999994</v>
      </c>
      <c r="G4730" s="521">
        <v>7.5</v>
      </c>
      <c r="H4730" s="524">
        <v>1.3083000000000001E-3</v>
      </c>
      <c r="I4730" s="523">
        <v>0.78</v>
      </c>
      <c r="J4730" s="523">
        <v>1.26</v>
      </c>
    </row>
    <row r="4731" spans="1:10" s="559" customFormat="1">
      <c r="A4731" s="521" t="s">
        <v>322</v>
      </c>
      <c r="B4731" s="522" t="s">
        <v>712</v>
      </c>
      <c r="C4731" s="423" t="s">
        <v>331</v>
      </c>
      <c r="D4731" s="521" t="s">
        <v>713</v>
      </c>
      <c r="E4731" s="522">
        <v>201609</v>
      </c>
      <c r="F4731" s="523">
        <v>2364.7199999999998</v>
      </c>
      <c r="G4731" s="521">
        <v>7.5</v>
      </c>
      <c r="H4731" s="524">
        <v>1.1999999999999999E-3</v>
      </c>
      <c r="I4731" s="523">
        <v>21.28</v>
      </c>
      <c r="J4731" s="523">
        <v>34.049999999999997</v>
      </c>
    </row>
    <row r="4732" spans="1:10" s="559" customFormat="1">
      <c r="A4732" s="521" t="s">
        <v>318</v>
      </c>
      <c r="B4732" s="522" t="s">
        <v>712</v>
      </c>
      <c r="C4732" s="423" t="s">
        <v>331</v>
      </c>
      <c r="D4732" s="521" t="s">
        <v>713</v>
      </c>
      <c r="E4732" s="522">
        <v>201609</v>
      </c>
      <c r="F4732" s="523">
        <v>3569.53</v>
      </c>
      <c r="G4732" s="521">
        <v>7.5</v>
      </c>
      <c r="H4732" s="524">
        <v>1.3083000000000001E-3</v>
      </c>
      <c r="I4732" s="523">
        <v>35.03</v>
      </c>
      <c r="J4732" s="523">
        <v>56.04</v>
      </c>
    </row>
    <row r="4733" spans="1:10" s="559" customFormat="1">
      <c r="A4733" s="521" t="s">
        <v>318</v>
      </c>
      <c r="B4733" s="522" t="s">
        <v>625</v>
      </c>
      <c r="C4733" s="423" t="s">
        <v>331</v>
      </c>
      <c r="D4733" s="521" t="s">
        <v>626</v>
      </c>
      <c r="E4733" s="522">
        <v>201609</v>
      </c>
      <c r="F4733" s="523">
        <v>0.27</v>
      </c>
      <c r="G4733" s="521">
        <v>7.5</v>
      </c>
      <c r="H4733" s="524">
        <v>1.3083000000000001E-3</v>
      </c>
      <c r="I4733" s="523">
        <v>0</v>
      </c>
      <c r="J4733" s="523">
        <v>0</v>
      </c>
    </row>
    <row r="4734" spans="1:10" s="559" customFormat="1">
      <c r="A4734" s="521" t="s">
        <v>318</v>
      </c>
      <c r="B4734" s="522" t="s">
        <v>625</v>
      </c>
      <c r="C4734" s="423" t="s">
        <v>331</v>
      </c>
      <c r="D4734" s="521" t="s">
        <v>626</v>
      </c>
      <c r="E4734" s="522">
        <v>201609</v>
      </c>
      <c r="F4734" s="523">
        <v>4.1399999999999997</v>
      </c>
      <c r="G4734" s="521">
        <v>7.5</v>
      </c>
      <c r="H4734" s="524">
        <v>1.3083000000000001E-3</v>
      </c>
      <c r="I4734" s="523">
        <v>0.04</v>
      </c>
      <c r="J4734" s="523">
        <v>0.06</v>
      </c>
    </row>
    <row r="4735" spans="1:10" s="559" customFormat="1">
      <c r="A4735" s="521" t="s">
        <v>318</v>
      </c>
      <c r="B4735" s="522" t="s">
        <v>796</v>
      </c>
      <c r="C4735" s="423" t="s">
        <v>331</v>
      </c>
      <c r="D4735" s="521" t="s">
        <v>797</v>
      </c>
      <c r="E4735" s="522">
        <v>201609</v>
      </c>
      <c r="F4735" s="523">
        <v>703.81</v>
      </c>
      <c r="G4735" s="521">
        <v>7.5</v>
      </c>
      <c r="H4735" s="524">
        <v>1.3083000000000001E-3</v>
      </c>
      <c r="I4735" s="523">
        <v>6.91</v>
      </c>
      <c r="J4735" s="523">
        <v>11.05</v>
      </c>
    </row>
    <row r="4736" spans="1:10" s="559" customFormat="1">
      <c r="A4736" s="521" t="s">
        <v>318</v>
      </c>
      <c r="B4736" s="522" t="s">
        <v>614</v>
      </c>
      <c r="C4736" s="423" t="s">
        <v>331</v>
      </c>
      <c r="D4736" s="521" t="s">
        <v>714</v>
      </c>
      <c r="E4736" s="522">
        <v>201609</v>
      </c>
      <c r="F4736" s="523">
        <v>-0.19</v>
      </c>
      <c r="G4736" s="521">
        <v>7.5</v>
      </c>
      <c r="H4736" s="524">
        <v>1.3083000000000001E-3</v>
      </c>
      <c r="I4736" s="523">
        <v>0</v>
      </c>
      <c r="J4736" s="523">
        <v>0</v>
      </c>
    </row>
    <row r="4737" spans="1:10" s="559" customFormat="1">
      <c r="A4737" s="521" t="s">
        <v>318</v>
      </c>
      <c r="B4737" s="522" t="s">
        <v>614</v>
      </c>
      <c r="C4737" s="423" t="s">
        <v>331</v>
      </c>
      <c r="D4737" s="521" t="s">
        <v>714</v>
      </c>
      <c r="E4737" s="522">
        <v>201609</v>
      </c>
      <c r="F4737" s="523">
        <v>-0.02</v>
      </c>
      <c r="G4737" s="521">
        <v>7.5</v>
      </c>
      <c r="H4737" s="524">
        <v>1.3083000000000001E-3</v>
      </c>
      <c r="I4737" s="523">
        <v>0</v>
      </c>
      <c r="J4737" s="523">
        <v>0</v>
      </c>
    </row>
    <row r="4738" spans="1:10" s="559" customFormat="1">
      <c r="A4738" s="521" t="s">
        <v>322</v>
      </c>
      <c r="B4738" s="522" t="s">
        <v>614</v>
      </c>
      <c r="C4738" s="423" t="s">
        <v>331</v>
      </c>
      <c r="D4738" s="521" t="s">
        <v>714</v>
      </c>
      <c r="E4738" s="522">
        <v>201609</v>
      </c>
      <c r="F4738" s="523">
        <v>-0.02</v>
      </c>
      <c r="G4738" s="521">
        <v>7.5</v>
      </c>
      <c r="H4738" s="524">
        <v>1.1999999999999999E-3</v>
      </c>
      <c r="I4738" s="523">
        <v>0</v>
      </c>
      <c r="J4738" s="523">
        <v>0</v>
      </c>
    </row>
    <row r="4739" spans="1:10" s="559" customFormat="1">
      <c r="A4739" s="521" t="s">
        <v>318</v>
      </c>
      <c r="B4739" s="522" t="s">
        <v>891</v>
      </c>
      <c r="C4739" s="423" t="s">
        <v>331</v>
      </c>
      <c r="D4739" s="521" t="s">
        <v>892</v>
      </c>
      <c r="E4739" s="522">
        <v>201609</v>
      </c>
      <c r="F4739" s="523">
        <v>375.33</v>
      </c>
      <c r="G4739" s="521">
        <v>7.5</v>
      </c>
      <c r="H4739" s="524">
        <v>1.3083000000000001E-3</v>
      </c>
      <c r="I4739" s="523">
        <v>3.68</v>
      </c>
      <c r="J4739" s="523">
        <v>5.89</v>
      </c>
    </row>
    <row r="4740" spans="1:10" s="559" customFormat="1">
      <c r="A4740" s="521" t="s">
        <v>318</v>
      </c>
      <c r="B4740" s="522" t="s">
        <v>727</v>
      </c>
      <c r="C4740" s="423" t="s">
        <v>343</v>
      </c>
      <c r="D4740" s="521" t="s">
        <v>728</v>
      </c>
      <c r="E4740" s="522">
        <v>201609</v>
      </c>
      <c r="F4740" s="523">
        <v>109.83</v>
      </c>
      <c r="G4740" s="521">
        <v>7.5</v>
      </c>
      <c r="H4740" s="524">
        <v>1.3083000000000001E-3</v>
      </c>
      <c r="I4740" s="523">
        <v>1.08</v>
      </c>
      <c r="J4740" s="523">
        <v>1.72</v>
      </c>
    </row>
    <row r="4741" spans="1:10" s="559" customFormat="1">
      <c r="A4741" s="521" t="s">
        <v>322</v>
      </c>
      <c r="B4741" s="522" t="s">
        <v>1055</v>
      </c>
      <c r="C4741" s="423" t="s">
        <v>331</v>
      </c>
      <c r="D4741" s="521" t="s">
        <v>1056</v>
      </c>
      <c r="E4741" s="522">
        <v>201609</v>
      </c>
      <c r="F4741" s="523">
        <v>12521.11</v>
      </c>
      <c r="G4741" s="521">
        <v>7.5</v>
      </c>
      <c r="H4741" s="524">
        <v>1.1999999999999999E-3</v>
      </c>
      <c r="I4741" s="523">
        <v>112.69</v>
      </c>
      <c r="J4741" s="523">
        <v>180.3</v>
      </c>
    </row>
    <row r="4742" spans="1:10" s="559" customFormat="1">
      <c r="A4742" s="521" t="s">
        <v>318</v>
      </c>
      <c r="B4742" s="522" t="s">
        <v>1055</v>
      </c>
      <c r="C4742" s="423" t="s">
        <v>331</v>
      </c>
      <c r="D4742" s="521" t="s">
        <v>1056</v>
      </c>
      <c r="E4742" s="522">
        <v>201609</v>
      </c>
      <c r="F4742" s="523">
        <v>108768.13</v>
      </c>
      <c r="G4742" s="521">
        <v>7.5</v>
      </c>
      <c r="H4742" s="524">
        <v>1.3083000000000001E-3</v>
      </c>
      <c r="I4742" s="523">
        <v>1067.26</v>
      </c>
      <c r="J4742" s="523">
        <v>1707.62</v>
      </c>
    </row>
    <row r="4743" spans="1:10" s="559" customFormat="1">
      <c r="A4743" s="521" t="s">
        <v>322</v>
      </c>
      <c r="B4743" s="522" t="s">
        <v>1055</v>
      </c>
      <c r="C4743" s="423" t="s">
        <v>331</v>
      </c>
      <c r="D4743" s="521" t="s">
        <v>1056</v>
      </c>
      <c r="E4743" s="522">
        <v>201609</v>
      </c>
      <c r="F4743" s="523">
        <v>248871.79</v>
      </c>
      <c r="G4743" s="521">
        <v>7.5</v>
      </c>
      <c r="H4743" s="524">
        <v>1.1999999999999999E-3</v>
      </c>
      <c r="I4743" s="523">
        <v>2239.85</v>
      </c>
      <c r="J4743" s="523">
        <v>3583.75</v>
      </c>
    </row>
    <row r="4744" spans="1:10" s="559" customFormat="1">
      <c r="A4744" s="521" t="s">
        <v>318</v>
      </c>
      <c r="B4744" s="522" t="s">
        <v>897</v>
      </c>
      <c r="C4744" s="423" t="s">
        <v>331</v>
      </c>
      <c r="D4744" s="521" t="s">
        <v>898</v>
      </c>
      <c r="E4744" s="522">
        <v>201609</v>
      </c>
      <c r="F4744" s="523">
        <v>10.130000000000001</v>
      </c>
      <c r="G4744" s="521">
        <v>7.5</v>
      </c>
      <c r="H4744" s="524">
        <v>1.3083000000000001E-3</v>
      </c>
      <c r="I4744" s="523">
        <v>0.1</v>
      </c>
      <c r="J4744" s="523">
        <v>0.16</v>
      </c>
    </row>
    <row r="4745" spans="1:10" s="559" customFormat="1">
      <c r="A4745" s="521" t="s">
        <v>318</v>
      </c>
      <c r="B4745" s="522" t="s">
        <v>897</v>
      </c>
      <c r="C4745" s="423" t="s">
        <v>331</v>
      </c>
      <c r="D4745" s="521" t="s">
        <v>898</v>
      </c>
      <c r="E4745" s="522">
        <v>201609</v>
      </c>
      <c r="F4745" s="523">
        <v>11.44</v>
      </c>
      <c r="G4745" s="521">
        <v>7.5</v>
      </c>
      <c r="H4745" s="524">
        <v>1.3083000000000001E-3</v>
      </c>
      <c r="I4745" s="523">
        <v>0.11</v>
      </c>
      <c r="J4745" s="523">
        <v>0.18</v>
      </c>
    </row>
    <row r="4746" spans="1:10" s="559" customFormat="1">
      <c r="A4746" s="521" t="s">
        <v>318</v>
      </c>
      <c r="B4746" s="522" t="s">
        <v>897</v>
      </c>
      <c r="C4746" s="423" t="s">
        <v>331</v>
      </c>
      <c r="D4746" s="521" t="s">
        <v>898</v>
      </c>
      <c r="E4746" s="522">
        <v>201609</v>
      </c>
      <c r="F4746" s="523">
        <v>29.43</v>
      </c>
      <c r="G4746" s="521">
        <v>7.5</v>
      </c>
      <c r="H4746" s="524">
        <v>1.3083000000000001E-3</v>
      </c>
      <c r="I4746" s="523">
        <v>0.28999999999999998</v>
      </c>
      <c r="J4746" s="523">
        <v>0.46</v>
      </c>
    </row>
    <row r="4747" spans="1:10" s="559" customFormat="1">
      <c r="A4747" s="521" t="s">
        <v>318</v>
      </c>
      <c r="B4747" s="522" t="s">
        <v>897</v>
      </c>
      <c r="C4747" s="423" t="s">
        <v>331</v>
      </c>
      <c r="D4747" s="521" t="s">
        <v>898</v>
      </c>
      <c r="E4747" s="522">
        <v>201609</v>
      </c>
      <c r="F4747" s="523">
        <v>755.57</v>
      </c>
      <c r="G4747" s="521">
        <v>7.5</v>
      </c>
      <c r="H4747" s="524">
        <v>1.3083000000000001E-3</v>
      </c>
      <c r="I4747" s="523">
        <v>7.41</v>
      </c>
      <c r="J4747" s="523">
        <v>11.86</v>
      </c>
    </row>
    <row r="4748" spans="1:10" s="559" customFormat="1">
      <c r="A4748" s="521" t="s">
        <v>318</v>
      </c>
      <c r="B4748" s="522" t="s">
        <v>1000</v>
      </c>
      <c r="C4748" s="423" t="s">
        <v>343</v>
      </c>
      <c r="D4748" s="521" t="s">
        <v>1001</v>
      </c>
      <c r="E4748" s="522">
        <v>201609</v>
      </c>
      <c r="F4748" s="523">
        <v>22.23</v>
      </c>
      <c r="G4748" s="521">
        <v>7.5</v>
      </c>
      <c r="H4748" s="524">
        <v>1.3083000000000001E-3</v>
      </c>
      <c r="I4748" s="523">
        <v>0.22</v>
      </c>
      <c r="J4748" s="523">
        <v>0.35</v>
      </c>
    </row>
    <row r="4749" spans="1:10" s="559" customFormat="1">
      <c r="A4749" s="521" t="s">
        <v>318</v>
      </c>
      <c r="B4749" s="522" t="s">
        <v>1000</v>
      </c>
      <c r="C4749" s="423" t="s">
        <v>343</v>
      </c>
      <c r="D4749" s="521" t="s">
        <v>1001</v>
      </c>
      <c r="E4749" s="522">
        <v>201609</v>
      </c>
      <c r="F4749" s="523">
        <v>2645.42</v>
      </c>
      <c r="G4749" s="521">
        <v>7.5</v>
      </c>
      <c r="H4749" s="524">
        <v>1.3083000000000001E-3</v>
      </c>
      <c r="I4749" s="523">
        <v>25.96</v>
      </c>
      <c r="J4749" s="523">
        <v>41.53</v>
      </c>
    </row>
    <row r="4750" spans="1:10" s="559" customFormat="1">
      <c r="A4750" s="521" t="s">
        <v>318</v>
      </c>
      <c r="B4750" s="522" t="s">
        <v>729</v>
      </c>
      <c r="C4750" s="423" t="s">
        <v>331</v>
      </c>
      <c r="D4750" s="521" t="s">
        <v>730</v>
      </c>
      <c r="E4750" s="522">
        <v>201609</v>
      </c>
      <c r="F4750" s="523">
        <v>11.81</v>
      </c>
      <c r="G4750" s="521">
        <v>7.5</v>
      </c>
      <c r="H4750" s="524">
        <v>1.3083000000000001E-3</v>
      </c>
      <c r="I4750" s="523">
        <v>0.12</v>
      </c>
      <c r="J4750" s="523">
        <v>0.19</v>
      </c>
    </row>
    <row r="4751" spans="1:10" s="559" customFormat="1">
      <c r="A4751" s="521" t="s">
        <v>322</v>
      </c>
      <c r="B4751" s="522" t="s">
        <v>729</v>
      </c>
      <c r="C4751" s="423" t="s">
        <v>331</v>
      </c>
      <c r="D4751" s="521" t="s">
        <v>730</v>
      </c>
      <c r="E4751" s="522">
        <v>201609</v>
      </c>
      <c r="F4751" s="523">
        <v>136.86000000000001</v>
      </c>
      <c r="G4751" s="521">
        <v>7.5</v>
      </c>
      <c r="H4751" s="524">
        <v>1.1999999999999999E-3</v>
      </c>
      <c r="I4751" s="523">
        <v>1.23</v>
      </c>
      <c r="J4751" s="523">
        <v>1.97</v>
      </c>
    </row>
    <row r="4752" spans="1:10" s="559" customFormat="1">
      <c r="A4752" s="521" t="s">
        <v>318</v>
      </c>
      <c r="B4752" s="522" t="s">
        <v>729</v>
      </c>
      <c r="C4752" s="423" t="s">
        <v>331</v>
      </c>
      <c r="D4752" s="521" t="s">
        <v>730</v>
      </c>
      <c r="E4752" s="522">
        <v>201609</v>
      </c>
      <c r="F4752" s="523">
        <v>655.6</v>
      </c>
      <c r="G4752" s="521">
        <v>7.5</v>
      </c>
      <c r="H4752" s="524">
        <v>1.3083000000000001E-3</v>
      </c>
      <c r="I4752" s="523">
        <v>6.43</v>
      </c>
      <c r="J4752" s="523">
        <v>10.29</v>
      </c>
    </row>
    <row r="4753" spans="1:10" s="559" customFormat="1">
      <c r="A4753" s="521" t="s">
        <v>322</v>
      </c>
      <c r="B4753" s="522" t="s">
        <v>1002</v>
      </c>
      <c r="C4753" s="423" t="s">
        <v>343</v>
      </c>
      <c r="D4753" s="521" t="s">
        <v>1003</v>
      </c>
      <c r="E4753" s="522">
        <v>201609</v>
      </c>
      <c r="F4753" s="523">
        <v>-484.64</v>
      </c>
      <c r="G4753" s="521">
        <v>7.5</v>
      </c>
      <c r="H4753" s="524">
        <v>1.1999999999999999E-3</v>
      </c>
      <c r="I4753" s="523">
        <v>-4.3600000000000003</v>
      </c>
      <c r="J4753" s="523">
        <v>-6.98</v>
      </c>
    </row>
    <row r="4754" spans="1:10" s="559" customFormat="1">
      <c r="A4754" s="521" t="s">
        <v>318</v>
      </c>
      <c r="B4754" s="522" t="s">
        <v>895</v>
      </c>
      <c r="C4754" s="423" t="s">
        <v>343</v>
      </c>
      <c r="D4754" s="521" t="s">
        <v>896</v>
      </c>
      <c r="E4754" s="522">
        <v>201609</v>
      </c>
      <c r="F4754" s="523">
        <v>579.79</v>
      </c>
      <c r="G4754" s="521">
        <v>7.5</v>
      </c>
      <c r="H4754" s="524">
        <v>1.3083000000000001E-3</v>
      </c>
      <c r="I4754" s="523">
        <v>5.69</v>
      </c>
      <c r="J4754" s="523">
        <v>9.1</v>
      </c>
    </row>
    <row r="4755" spans="1:10" s="559" customFormat="1">
      <c r="A4755" s="521" t="s">
        <v>322</v>
      </c>
      <c r="B4755" s="522" t="s">
        <v>901</v>
      </c>
      <c r="C4755" s="423" t="s">
        <v>331</v>
      </c>
      <c r="D4755" s="521" t="s">
        <v>902</v>
      </c>
      <c r="E4755" s="522">
        <v>201609</v>
      </c>
      <c r="F4755" s="523">
        <v>1.68</v>
      </c>
      <c r="G4755" s="521">
        <v>7.5</v>
      </c>
      <c r="H4755" s="524">
        <v>1.1999999999999999E-3</v>
      </c>
      <c r="I4755" s="523">
        <v>0.02</v>
      </c>
      <c r="J4755" s="523">
        <v>0.02</v>
      </c>
    </row>
    <row r="4756" spans="1:10" s="559" customFormat="1">
      <c r="A4756" s="521" t="s">
        <v>322</v>
      </c>
      <c r="B4756" s="522" t="s">
        <v>901</v>
      </c>
      <c r="C4756" s="423" t="s">
        <v>331</v>
      </c>
      <c r="D4756" s="521" t="s">
        <v>902</v>
      </c>
      <c r="E4756" s="522">
        <v>201609</v>
      </c>
      <c r="F4756" s="523">
        <v>117.32</v>
      </c>
      <c r="G4756" s="521">
        <v>7.5</v>
      </c>
      <c r="H4756" s="524">
        <v>1.1999999999999999E-3</v>
      </c>
      <c r="I4756" s="523">
        <v>1.06</v>
      </c>
      <c r="J4756" s="523">
        <v>1.69</v>
      </c>
    </row>
    <row r="4757" spans="1:10" s="559" customFormat="1">
      <c r="A4757" s="521" t="s">
        <v>318</v>
      </c>
      <c r="B4757" s="522" t="s">
        <v>1051</v>
      </c>
      <c r="C4757" s="423" t="s">
        <v>331</v>
      </c>
      <c r="D4757" s="521" t="s">
        <v>1052</v>
      </c>
      <c r="E4757" s="522">
        <v>201609</v>
      </c>
      <c r="F4757" s="523">
        <v>1682.39</v>
      </c>
      <c r="G4757" s="521">
        <v>7.5</v>
      </c>
      <c r="H4757" s="524">
        <v>1.3083000000000001E-3</v>
      </c>
      <c r="I4757" s="523">
        <v>16.510000000000002</v>
      </c>
      <c r="J4757" s="523">
        <v>26.41</v>
      </c>
    </row>
    <row r="4758" spans="1:10" s="559" customFormat="1">
      <c r="A4758" s="521" t="s">
        <v>318</v>
      </c>
      <c r="B4758" s="522" t="s">
        <v>1051</v>
      </c>
      <c r="C4758" s="423" t="s">
        <v>331</v>
      </c>
      <c r="D4758" s="521" t="s">
        <v>1052</v>
      </c>
      <c r="E4758" s="522">
        <v>201609</v>
      </c>
      <c r="F4758" s="523">
        <v>44438.38</v>
      </c>
      <c r="G4758" s="521">
        <v>7.5</v>
      </c>
      <c r="H4758" s="524">
        <v>1.3083000000000001E-3</v>
      </c>
      <c r="I4758" s="523">
        <v>436.04</v>
      </c>
      <c r="J4758" s="523">
        <v>697.66</v>
      </c>
    </row>
    <row r="4759" spans="1:10" s="559" customFormat="1">
      <c r="A4759" s="521" t="s">
        <v>318</v>
      </c>
      <c r="B4759" s="522" t="s">
        <v>1008</v>
      </c>
      <c r="C4759" s="423" t="s">
        <v>331</v>
      </c>
      <c r="D4759" s="521" t="s">
        <v>1009</v>
      </c>
      <c r="E4759" s="522">
        <v>201609</v>
      </c>
      <c r="F4759" s="523">
        <v>10.61</v>
      </c>
      <c r="G4759" s="521">
        <v>7.5</v>
      </c>
      <c r="H4759" s="524">
        <v>1.3083000000000001E-3</v>
      </c>
      <c r="I4759" s="523">
        <v>0.1</v>
      </c>
      <c r="J4759" s="523">
        <v>0.17</v>
      </c>
    </row>
    <row r="4760" spans="1:10" s="559" customFormat="1">
      <c r="A4760" s="521" t="s">
        <v>318</v>
      </c>
      <c r="B4760" s="522" t="s">
        <v>1010</v>
      </c>
      <c r="C4760" s="423" t="s">
        <v>331</v>
      </c>
      <c r="D4760" s="521" t="s">
        <v>1011</v>
      </c>
      <c r="E4760" s="522">
        <v>201609</v>
      </c>
      <c r="F4760" s="523">
        <v>841.53</v>
      </c>
      <c r="G4760" s="521">
        <v>7.5</v>
      </c>
      <c r="H4760" s="524">
        <v>1.3083000000000001E-3</v>
      </c>
      <c r="I4760" s="523">
        <v>8.26</v>
      </c>
      <c r="J4760" s="523">
        <v>13.21</v>
      </c>
    </row>
    <row r="4761" spans="1:10" s="559" customFormat="1">
      <c r="A4761" s="521" t="s">
        <v>318</v>
      </c>
      <c r="B4761" s="522" t="s">
        <v>1010</v>
      </c>
      <c r="C4761" s="423" t="s">
        <v>331</v>
      </c>
      <c r="D4761" s="521" t="s">
        <v>1011</v>
      </c>
      <c r="E4761" s="522">
        <v>201609</v>
      </c>
      <c r="F4761" s="523">
        <v>10704.42</v>
      </c>
      <c r="G4761" s="521">
        <v>7.5</v>
      </c>
      <c r="H4761" s="524">
        <v>1.3083000000000001E-3</v>
      </c>
      <c r="I4761" s="523">
        <v>105.03</v>
      </c>
      <c r="J4761" s="523">
        <v>168.06</v>
      </c>
    </row>
    <row r="4762" spans="1:10" s="559" customFormat="1">
      <c r="A4762" s="521" t="s">
        <v>318</v>
      </c>
      <c r="B4762" s="522" t="s">
        <v>1012</v>
      </c>
      <c r="C4762" s="423" t="s">
        <v>331</v>
      </c>
      <c r="D4762" s="521" t="s">
        <v>1013</v>
      </c>
      <c r="E4762" s="522">
        <v>201609</v>
      </c>
      <c r="F4762" s="523">
        <v>356.13</v>
      </c>
      <c r="G4762" s="521">
        <v>7.5</v>
      </c>
      <c r="H4762" s="524">
        <v>1.3083000000000001E-3</v>
      </c>
      <c r="I4762" s="523">
        <v>3.49</v>
      </c>
      <c r="J4762" s="523">
        <v>5.59</v>
      </c>
    </row>
    <row r="4763" spans="1:10" s="559" customFormat="1">
      <c r="A4763" s="521" t="s">
        <v>318</v>
      </c>
      <c r="B4763" s="522" t="s">
        <v>1012</v>
      </c>
      <c r="C4763" s="423" t="s">
        <v>331</v>
      </c>
      <c r="D4763" s="521" t="s">
        <v>1013</v>
      </c>
      <c r="E4763" s="522">
        <v>201609</v>
      </c>
      <c r="F4763" s="523">
        <v>4625.26</v>
      </c>
      <c r="G4763" s="521">
        <v>7.5</v>
      </c>
      <c r="H4763" s="524">
        <v>1.3083000000000001E-3</v>
      </c>
      <c r="I4763" s="523">
        <v>45.38</v>
      </c>
      <c r="J4763" s="523">
        <v>72.61</v>
      </c>
    </row>
    <row r="4764" spans="1:10" s="559" customFormat="1">
      <c r="A4764" s="521" t="s">
        <v>318</v>
      </c>
      <c r="B4764" s="522" t="s">
        <v>1057</v>
      </c>
      <c r="C4764" s="423" t="s">
        <v>331</v>
      </c>
      <c r="D4764" s="521" t="s">
        <v>1058</v>
      </c>
      <c r="E4764" s="522">
        <v>201609</v>
      </c>
      <c r="F4764" s="523">
        <v>1094.06</v>
      </c>
      <c r="G4764" s="521">
        <v>7.5</v>
      </c>
      <c r="H4764" s="524">
        <v>1.3083000000000001E-3</v>
      </c>
      <c r="I4764" s="523">
        <v>10.74</v>
      </c>
      <c r="J4764" s="523">
        <v>17.18</v>
      </c>
    </row>
    <row r="4765" spans="1:10" s="559" customFormat="1">
      <c r="A4765" s="521" t="s">
        <v>318</v>
      </c>
      <c r="B4765" s="522" t="s">
        <v>1057</v>
      </c>
      <c r="C4765" s="423" t="s">
        <v>331</v>
      </c>
      <c r="D4765" s="521" t="s">
        <v>1058</v>
      </c>
      <c r="E4765" s="522">
        <v>201609</v>
      </c>
      <c r="F4765" s="523">
        <v>16136.13</v>
      </c>
      <c r="G4765" s="521">
        <v>7.5</v>
      </c>
      <c r="H4765" s="524">
        <v>1.3083000000000001E-3</v>
      </c>
      <c r="I4765" s="523">
        <v>158.33000000000001</v>
      </c>
      <c r="J4765" s="523">
        <v>253.33</v>
      </c>
    </row>
    <row r="4766" spans="1:10" s="559" customFormat="1">
      <c r="A4766" s="521" t="s">
        <v>318</v>
      </c>
      <c r="B4766" s="522" t="s">
        <v>1053</v>
      </c>
      <c r="C4766" s="423" t="s">
        <v>331</v>
      </c>
      <c r="D4766" s="521" t="s">
        <v>1054</v>
      </c>
      <c r="E4766" s="522">
        <v>201609</v>
      </c>
      <c r="F4766" s="523">
        <v>66015.94</v>
      </c>
      <c r="G4766" s="521">
        <v>7.5</v>
      </c>
      <c r="H4766" s="524">
        <v>1.3083000000000001E-3</v>
      </c>
      <c r="I4766" s="523">
        <v>647.76</v>
      </c>
      <c r="J4766" s="523">
        <v>1036.42</v>
      </c>
    </row>
    <row r="4767" spans="1:10" s="559" customFormat="1">
      <c r="A4767" s="521" t="s">
        <v>318</v>
      </c>
      <c r="B4767" s="522" t="s">
        <v>1055</v>
      </c>
      <c r="C4767" s="423" t="s">
        <v>331</v>
      </c>
      <c r="D4767" s="521" t="s">
        <v>1056</v>
      </c>
      <c r="E4767" s="522">
        <v>201610</v>
      </c>
      <c r="F4767" s="523">
        <v>-1171.3699999999999</v>
      </c>
      <c r="G4767" s="521">
        <v>6.5</v>
      </c>
      <c r="H4767" s="524">
        <v>1.3083000000000001E-3</v>
      </c>
      <c r="I4767" s="523">
        <v>-9.9600000000000009</v>
      </c>
      <c r="J4767" s="523">
        <v>-18.39</v>
      </c>
    </row>
    <row r="4768" spans="1:10" s="559" customFormat="1">
      <c r="A4768" s="521" t="s">
        <v>322</v>
      </c>
      <c r="B4768" s="522" t="s">
        <v>1055</v>
      </c>
      <c r="C4768" s="423" t="s">
        <v>331</v>
      </c>
      <c r="D4768" s="521" t="s">
        <v>1056</v>
      </c>
      <c r="E4768" s="522">
        <v>201610</v>
      </c>
      <c r="F4768" s="523">
        <v>-2680.22</v>
      </c>
      <c r="G4768" s="521">
        <v>6.5</v>
      </c>
      <c r="H4768" s="524">
        <v>1.1999999999999999E-3</v>
      </c>
      <c r="I4768" s="523">
        <v>-20.91</v>
      </c>
      <c r="J4768" s="523">
        <v>-38.6</v>
      </c>
    </row>
    <row r="4769" spans="1:10" s="559" customFormat="1">
      <c r="A4769" s="521" t="s">
        <v>322</v>
      </c>
      <c r="B4769" s="522" t="s">
        <v>1055</v>
      </c>
      <c r="C4769" s="423" t="s">
        <v>331</v>
      </c>
      <c r="D4769" s="521" t="s">
        <v>1056</v>
      </c>
      <c r="E4769" s="522">
        <v>201610</v>
      </c>
      <c r="F4769" s="523">
        <v>-134.85</v>
      </c>
      <c r="G4769" s="521">
        <v>6.5</v>
      </c>
      <c r="H4769" s="524">
        <v>1.1999999999999999E-3</v>
      </c>
      <c r="I4769" s="523">
        <v>-1.05</v>
      </c>
      <c r="J4769" s="523">
        <v>-1.94</v>
      </c>
    </row>
    <row r="4770" spans="1:10" s="559" customFormat="1">
      <c r="A4770" s="521" t="s">
        <v>318</v>
      </c>
      <c r="B4770" s="522" t="s">
        <v>1081</v>
      </c>
      <c r="C4770" s="423" t="s">
        <v>331</v>
      </c>
      <c r="D4770" s="521" t="s">
        <v>1082</v>
      </c>
      <c r="E4770" s="522">
        <v>201610</v>
      </c>
      <c r="F4770" s="523">
        <v>3857.49</v>
      </c>
      <c r="G4770" s="521">
        <v>6.5</v>
      </c>
      <c r="H4770" s="524">
        <v>1.3083000000000001E-3</v>
      </c>
      <c r="I4770" s="523">
        <v>32.799999999999997</v>
      </c>
      <c r="J4770" s="523">
        <v>60.56</v>
      </c>
    </row>
    <row r="4771" spans="1:10">
      <c r="A4771" s="332" t="s">
        <v>318</v>
      </c>
      <c r="B4771" s="333" t="s">
        <v>1083</v>
      </c>
      <c r="C4771" s="423" t="s">
        <v>331</v>
      </c>
      <c r="D4771" s="332" t="s">
        <v>1084</v>
      </c>
      <c r="E4771" s="333">
        <v>201610</v>
      </c>
      <c r="F4771" s="334">
        <v>6471.2</v>
      </c>
      <c r="G4771" s="332">
        <v>6.5</v>
      </c>
      <c r="H4771" s="336">
        <v>1.3083000000000001E-3</v>
      </c>
      <c r="I4771" s="334">
        <v>55.03</v>
      </c>
      <c r="J4771" s="334">
        <v>101.6</v>
      </c>
    </row>
    <row r="4772" spans="1:10">
      <c r="A4772" s="332" t="s">
        <v>318</v>
      </c>
      <c r="B4772" s="333" t="s">
        <v>1010</v>
      </c>
      <c r="C4772" s="423" t="s">
        <v>331</v>
      </c>
      <c r="D4772" s="332" t="s">
        <v>1011</v>
      </c>
      <c r="E4772" s="333">
        <v>201610</v>
      </c>
      <c r="F4772" s="334">
        <v>-22.38</v>
      </c>
      <c r="G4772" s="332">
        <v>6.5</v>
      </c>
      <c r="H4772" s="336">
        <v>1.3083000000000001E-3</v>
      </c>
      <c r="I4772" s="334">
        <v>-0.19</v>
      </c>
      <c r="J4772" s="334">
        <v>-0.35</v>
      </c>
    </row>
    <row r="4773" spans="1:10">
      <c r="A4773" s="332" t="s">
        <v>318</v>
      </c>
      <c r="B4773" s="333" t="s">
        <v>1010</v>
      </c>
      <c r="C4773" s="423" t="s">
        <v>331</v>
      </c>
      <c r="D4773" s="332" t="s">
        <v>1011</v>
      </c>
      <c r="E4773" s="333">
        <v>201610</v>
      </c>
      <c r="F4773" s="334">
        <v>-284.61</v>
      </c>
      <c r="G4773" s="332">
        <v>6.5</v>
      </c>
      <c r="H4773" s="336">
        <v>1.3083000000000001E-3</v>
      </c>
      <c r="I4773" s="334">
        <v>-2.42</v>
      </c>
      <c r="J4773" s="334">
        <v>-4.47</v>
      </c>
    </row>
    <row r="4774" spans="1:10">
      <c r="A4774" s="332" t="s">
        <v>318</v>
      </c>
      <c r="B4774" s="333" t="s">
        <v>1057</v>
      </c>
      <c r="C4774" s="423" t="s">
        <v>331</v>
      </c>
      <c r="D4774" s="332" t="s">
        <v>1058</v>
      </c>
      <c r="E4774" s="333">
        <v>201610</v>
      </c>
      <c r="F4774" s="334">
        <v>478.64</v>
      </c>
      <c r="G4774" s="332">
        <v>6.5</v>
      </c>
      <c r="H4774" s="336">
        <v>1.3083000000000001E-3</v>
      </c>
      <c r="I4774" s="334">
        <v>4.07</v>
      </c>
      <c r="J4774" s="334">
        <v>7.51</v>
      </c>
    </row>
    <row r="4775" spans="1:10">
      <c r="A4775" s="332" t="s">
        <v>318</v>
      </c>
      <c r="B4775" s="333" t="s">
        <v>1057</v>
      </c>
      <c r="C4775" s="423" t="s">
        <v>331</v>
      </c>
      <c r="D4775" s="332" t="s">
        <v>1058</v>
      </c>
      <c r="E4775" s="333">
        <v>201610</v>
      </c>
      <c r="F4775" s="334">
        <v>7059.6</v>
      </c>
      <c r="G4775" s="332">
        <v>6.5</v>
      </c>
      <c r="H4775" s="336">
        <v>1.3083000000000001E-3</v>
      </c>
      <c r="I4775" s="334">
        <v>60.03</v>
      </c>
      <c r="J4775" s="334">
        <v>110.83</v>
      </c>
    </row>
    <row r="4776" spans="1:10" ht="15">
      <c r="A4776" s="332" t="s">
        <v>318</v>
      </c>
      <c r="B4776" s="333" t="s">
        <v>1053</v>
      </c>
      <c r="C4776" s="424" t="s">
        <v>331</v>
      </c>
      <c r="D4776" s="332" t="s">
        <v>1054</v>
      </c>
      <c r="E4776" s="333">
        <v>201610</v>
      </c>
      <c r="F4776" s="334">
        <v>-666.36</v>
      </c>
      <c r="G4776" s="332">
        <v>6.5</v>
      </c>
      <c r="H4776" s="336">
        <v>1.3083000000000001E-3</v>
      </c>
      <c r="I4776" s="334">
        <v>-5.67</v>
      </c>
      <c r="J4776" s="334">
        <v>-10.46</v>
      </c>
    </row>
    <row r="4777" spans="1:10" ht="15">
      <c r="A4777" s="332" t="s">
        <v>322</v>
      </c>
      <c r="B4777" s="333" t="s">
        <v>943</v>
      </c>
      <c r="C4777" s="424" t="s">
        <v>331</v>
      </c>
      <c r="D4777" s="332" t="s">
        <v>944</v>
      </c>
      <c r="E4777" s="333">
        <v>201611</v>
      </c>
      <c r="F4777" s="334">
        <v>14.29</v>
      </c>
      <c r="G4777" s="332">
        <v>5.5</v>
      </c>
      <c r="H4777" s="336">
        <v>1.1999999999999999E-3</v>
      </c>
      <c r="I4777" s="334">
        <v>0.09</v>
      </c>
      <c r="J4777" s="334">
        <v>0.21</v>
      </c>
    </row>
    <row r="4778" spans="1:10">
      <c r="A4778" s="332" t="s">
        <v>322</v>
      </c>
      <c r="B4778" s="333" t="s">
        <v>943</v>
      </c>
      <c r="C4778" s="423" t="s">
        <v>331</v>
      </c>
      <c r="D4778" s="332" t="s">
        <v>944</v>
      </c>
      <c r="E4778" s="333">
        <v>201611</v>
      </c>
      <c r="F4778" s="334">
        <v>48.86</v>
      </c>
      <c r="G4778" s="332">
        <v>5.5</v>
      </c>
      <c r="H4778" s="336">
        <v>1.1999999999999999E-3</v>
      </c>
      <c r="I4778" s="334">
        <v>0.32</v>
      </c>
      <c r="J4778" s="334">
        <v>0.7</v>
      </c>
    </row>
    <row r="4779" spans="1:10">
      <c r="A4779" s="332" t="s">
        <v>318</v>
      </c>
      <c r="B4779" s="333" t="s">
        <v>891</v>
      </c>
      <c r="C4779" s="423" t="s">
        <v>331</v>
      </c>
      <c r="D4779" s="332" t="s">
        <v>892</v>
      </c>
      <c r="E4779" s="333">
        <v>201611</v>
      </c>
      <c r="F4779" s="334">
        <v>-21836.07</v>
      </c>
      <c r="G4779" s="332">
        <v>5.5</v>
      </c>
      <c r="H4779" s="336">
        <v>1.3083000000000001E-3</v>
      </c>
      <c r="I4779" s="334">
        <v>-157.12</v>
      </c>
      <c r="J4779" s="334">
        <v>-342.82</v>
      </c>
    </row>
    <row r="4780" spans="1:10">
      <c r="A4780" s="332" t="s">
        <v>318</v>
      </c>
      <c r="B4780" s="333" t="s">
        <v>891</v>
      </c>
      <c r="C4780" s="423" t="s">
        <v>331</v>
      </c>
      <c r="D4780" s="332" t="s">
        <v>892</v>
      </c>
      <c r="E4780" s="333">
        <v>201611</v>
      </c>
      <c r="F4780" s="334">
        <v>14181.41</v>
      </c>
      <c r="G4780" s="332">
        <v>5.5</v>
      </c>
      <c r="H4780" s="336">
        <v>1.3083000000000001E-3</v>
      </c>
      <c r="I4780" s="334">
        <v>102.04</v>
      </c>
      <c r="J4780" s="334">
        <v>222.64</v>
      </c>
    </row>
    <row r="4781" spans="1:10">
      <c r="A4781" s="332" t="s">
        <v>322</v>
      </c>
      <c r="B4781" s="333" t="s">
        <v>1055</v>
      </c>
      <c r="C4781" s="423" t="s">
        <v>331</v>
      </c>
      <c r="D4781" s="332" t="s">
        <v>1056</v>
      </c>
      <c r="E4781" s="333">
        <v>201611</v>
      </c>
      <c r="F4781" s="334">
        <v>9.75</v>
      </c>
      <c r="G4781" s="332">
        <v>5.5</v>
      </c>
      <c r="H4781" s="336">
        <v>1.1999999999999999E-3</v>
      </c>
      <c r="I4781" s="334">
        <v>0.06</v>
      </c>
      <c r="J4781" s="334">
        <v>0.14000000000000001</v>
      </c>
    </row>
    <row r="4782" spans="1:10">
      <c r="A4782" s="332" t="s">
        <v>322</v>
      </c>
      <c r="B4782" s="333" t="s">
        <v>1055</v>
      </c>
      <c r="C4782" s="423" t="s">
        <v>331</v>
      </c>
      <c r="D4782" s="332" t="s">
        <v>1056</v>
      </c>
      <c r="E4782" s="333">
        <v>201611</v>
      </c>
      <c r="F4782" s="334">
        <v>194.01</v>
      </c>
      <c r="G4782" s="332">
        <v>5.5</v>
      </c>
      <c r="H4782" s="336">
        <v>1.1999999999999999E-3</v>
      </c>
      <c r="I4782" s="334">
        <v>1.28</v>
      </c>
      <c r="J4782" s="334">
        <v>2.79</v>
      </c>
    </row>
    <row r="4783" spans="1:10" ht="15">
      <c r="A4783" s="332" t="s">
        <v>318</v>
      </c>
      <c r="B4783" s="333" t="s">
        <v>1055</v>
      </c>
      <c r="C4783" s="424" t="s">
        <v>331</v>
      </c>
      <c r="D4783" s="332" t="s">
        <v>1056</v>
      </c>
      <c r="E4783" s="333">
        <v>201611</v>
      </c>
      <c r="F4783" s="334">
        <v>84.8</v>
      </c>
      <c r="G4783" s="332">
        <v>5.5</v>
      </c>
      <c r="H4783" s="336">
        <v>1.3083000000000001E-3</v>
      </c>
      <c r="I4783" s="334">
        <v>0.61</v>
      </c>
      <c r="J4783" s="334">
        <v>1.33</v>
      </c>
    </row>
    <row r="4784" spans="1:10" ht="15">
      <c r="A4784" s="332" t="s">
        <v>318</v>
      </c>
      <c r="B4784" s="333" t="s">
        <v>1081</v>
      </c>
      <c r="C4784" s="424" t="s">
        <v>331</v>
      </c>
      <c r="D4784" s="332" t="s">
        <v>1082</v>
      </c>
      <c r="E4784" s="333">
        <v>201611</v>
      </c>
      <c r="F4784" s="334">
        <v>-584.21</v>
      </c>
      <c r="G4784" s="332">
        <v>5.5</v>
      </c>
      <c r="H4784" s="336">
        <v>1.3083000000000001E-3</v>
      </c>
      <c r="I4784" s="334">
        <v>-4.2</v>
      </c>
      <c r="J4784" s="334">
        <v>-9.17</v>
      </c>
    </row>
    <row r="4785" spans="1:10" ht="15">
      <c r="A4785" s="332" t="s">
        <v>318</v>
      </c>
      <c r="B4785" s="333" t="s">
        <v>1083</v>
      </c>
      <c r="C4785" s="424" t="s">
        <v>331</v>
      </c>
      <c r="D4785" s="332" t="s">
        <v>1084</v>
      </c>
      <c r="E4785" s="333">
        <v>201611</v>
      </c>
      <c r="F4785" s="334">
        <v>2729.79</v>
      </c>
      <c r="G4785" s="332">
        <v>5.5</v>
      </c>
      <c r="H4785" s="336">
        <v>1.3083000000000001E-3</v>
      </c>
      <c r="I4785" s="334">
        <v>19.64</v>
      </c>
      <c r="J4785" s="334">
        <v>42.86</v>
      </c>
    </row>
    <row r="4786" spans="1:10" ht="15">
      <c r="A4786" s="332" t="s">
        <v>318</v>
      </c>
      <c r="B4786" s="333" t="s">
        <v>1010</v>
      </c>
      <c r="C4786" s="424" t="s">
        <v>331</v>
      </c>
      <c r="D4786" s="332" t="s">
        <v>1011</v>
      </c>
      <c r="E4786" s="333">
        <v>201611</v>
      </c>
      <c r="F4786" s="334">
        <v>0.41</v>
      </c>
      <c r="G4786" s="332">
        <v>5.5</v>
      </c>
      <c r="H4786" s="336">
        <v>1.3083000000000001E-3</v>
      </c>
      <c r="I4786" s="334">
        <v>0</v>
      </c>
      <c r="J4786" s="334">
        <v>0.01</v>
      </c>
    </row>
    <row r="4787" spans="1:10">
      <c r="A4787" s="332" t="s">
        <v>318</v>
      </c>
      <c r="B4787" s="333" t="s">
        <v>1010</v>
      </c>
      <c r="C4787" s="423" t="s">
        <v>331</v>
      </c>
      <c r="D4787" s="332" t="s">
        <v>1011</v>
      </c>
      <c r="E4787" s="333">
        <v>201611</v>
      </c>
      <c r="F4787" s="334">
        <v>5.27</v>
      </c>
      <c r="G4787" s="332">
        <v>5.5</v>
      </c>
      <c r="H4787" s="336">
        <v>1.3083000000000001E-3</v>
      </c>
      <c r="I4787" s="334">
        <v>0.04</v>
      </c>
      <c r="J4787" s="334">
        <v>0.08</v>
      </c>
    </row>
    <row r="4788" spans="1:10">
      <c r="A4788" s="332" t="s">
        <v>318</v>
      </c>
      <c r="B4788" s="333" t="s">
        <v>1057</v>
      </c>
      <c r="C4788" s="423" t="s">
        <v>331</v>
      </c>
      <c r="D4788" s="332" t="s">
        <v>1058</v>
      </c>
      <c r="E4788" s="333">
        <v>201611</v>
      </c>
      <c r="F4788" s="334">
        <v>204.29</v>
      </c>
      <c r="G4788" s="332">
        <v>5.5</v>
      </c>
      <c r="H4788" s="336">
        <v>1.3083000000000001E-3</v>
      </c>
      <c r="I4788" s="334">
        <v>1.47</v>
      </c>
      <c r="J4788" s="334">
        <v>3.21</v>
      </c>
    </row>
    <row r="4789" spans="1:10">
      <c r="A4789" s="332" t="s">
        <v>318</v>
      </c>
      <c r="B4789" s="333" t="s">
        <v>1057</v>
      </c>
      <c r="C4789" s="423" t="s">
        <v>331</v>
      </c>
      <c r="D4789" s="332" t="s">
        <v>1058</v>
      </c>
      <c r="E4789" s="333">
        <v>201611</v>
      </c>
      <c r="F4789" s="334">
        <v>3012.96</v>
      </c>
      <c r="G4789" s="332">
        <v>5.5</v>
      </c>
      <c r="H4789" s="336">
        <v>1.3083000000000001E-3</v>
      </c>
      <c r="I4789" s="334">
        <v>21.68</v>
      </c>
      <c r="J4789" s="334">
        <v>47.3</v>
      </c>
    </row>
    <row r="4790" spans="1:10" ht="15">
      <c r="A4790" s="332" t="s">
        <v>318</v>
      </c>
      <c r="B4790" s="333" t="s">
        <v>1075</v>
      </c>
      <c r="C4790" s="424" t="s">
        <v>331</v>
      </c>
      <c r="D4790" s="332" t="s">
        <v>1076</v>
      </c>
      <c r="E4790" s="333">
        <v>201611</v>
      </c>
      <c r="F4790" s="334">
        <v>-5153.08</v>
      </c>
      <c r="G4790" s="332">
        <v>5.5</v>
      </c>
      <c r="H4790" s="336">
        <v>1.3083000000000001E-3</v>
      </c>
      <c r="I4790" s="334">
        <v>-37.08</v>
      </c>
      <c r="J4790" s="334">
        <v>-80.900000000000006</v>
      </c>
    </row>
    <row r="4791" spans="1:10" ht="15">
      <c r="A4791" s="332" t="s">
        <v>318</v>
      </c>
      <c r="B4791" s="333" t="s">
        <v>1053</v>
      </c>
      <c r="C4791" s="424" t="s">
        <v>331</v>
      </c>
      <c r="D4791" s="332" t="s">
        <v>1054</v>
      </c>
      <c r="E4791" s="333">
        <v>201611</v>
      </c>
      <c r="F4791" s="334">
        <v>24.59</v>
      </c>
      <c r="G4791" s="332">
        <v>5.5</v>
      </c>
      <c r="H4791" s="336">
        <v>1.3083000000000001E-3</v>
      </c>
      <c r="I4791" s="334">
        <v>0.18</v>
      </c>
      <c r="J4791" s="334">
        <v>0.39</v>
      </c>
    </row>
    <row r="4792" spans="1:10">
      <c r="A4792" s="332" t="s">
        <v>322</v>
      </c>
      <c r="B4792" s="333" t="s">
        <v>943</v>
      </c>
      <c r="C4792" s="423" t="s">
        <v>331</v>
      </c>
      <c r="D4792" s="332" t="s">
        <v>944</v>
      </c>
      <c r="E4792" s="333">
        <v>201612</v>
      </c>
      <c r="F4792" s="334">
        <v>-327.88</v>
      </c>
      <c r="G4792" s="332">
        <v>4.5</v>
      </c>
      <c r="H4792" s="336">
        <v>1.1999999999999999E-3</v>
      </c>
      <c r="I4792" s="334">
        <v>-1.77</v>
      </c>
      <c r="J4792" s="334">
        <v>-4.72</v>
      </c>
    </row>
    <row r="4793" spans="1:10">
      <c r="A4793" s="332" t="s">
        <v>322</v>
      </c>
      <c r="B4793" s="333" t="s">
        <v>943</v>
      </c>
      <c r="C4793" s="423" t="s">
        <v>331</v>
      </c>
      <c r="D4793" s="332" t="s">
        <v>944</v>
      </c>
      <c r="E4793" s="333">
        <v>201612</v>
      </c>
      <c r="F4793" s="334">
        <v>-95.91</v>
      </c>
      <c r="G4793" s="332">
        <v>4.5</v>
      </c>
      <c r="H4793" s="336">
        <v>1.1999999999999999E-3</v>
      </c>
      <c r="I4793" s="334">
        <v>-0.52</v>
      </c>
      <c r="J4793" s="334">
        <v>-1.38</v>
      </c>
    </row>
    <row r="4794" spans="1:10">
      <c r="A4794" s="332" t="s">
        <v>322</v>
      </c>
      <c r="B4794" s="333" t="s">
        <v>1122</v>
      </c>
      <c r="C4794" s="423" t="s">
        <v>331</v>
      </c>
      <c r="D4794" s="332" t="s">
        <v>1123</v>
      </c>
      <c r="E4794" s="333">
        <v>201612</v>
      </c>
      <c r="F4794" s="334">
        <v>7176.99</v>
      </c>
      <c r="G4794" s="332">
        <v>4.5</v>
      </c>
      <c r="H4794" s="336">
        <v>1.1999999999999999E-3</v>
      </c>
      <c r="I4794" s="334">
        <v>38.76</v>
      </c>
      <c r="J4794" s="334">
        <v>103.35</v>
      </c>
    </row>
    <row r="4795" spans="1:10">
      <c r="A4795" s="332" t="s">
        <v>322</v>
      </c>
      <c r="B4795" s="333" t="s">
        <v>1122</v>
      </c>
      <c r="C4795" s="423" t="s">
        <v>331</v>
      </c>
      <c r="D4795" s="332" t="s">
        <v>1123</v>
      </c>
      <c r="E4795" s="333">
        <v>201612</v>
      </c>
      <c r="F4795" s="334">
        <v>81125.009999999995</v>
      </c>
      <c r="G4795" s="332">
        <v>4.5</v>
      </c>
      <c r="H4795" s="336">
        <v>1.1999999999999999E-3</v>
      </c>
      <c r="I4795" s="334">
        <v>438.08</v>
      </c>
      <c r="J4795" s="334">
        <v>1168.2</v>
      </c>
    </row>
    <row r="4796" spans="1:10" ht="15">
      <c r="A4796" s="521" t="s">
        <v>318</v>
      </c>
      <c r="B4796" s="522" t="s">
        <v>893</v>
      </c>
      <c r="C4796" s="424" t="s">
        <v>331</v>
      </c>
      <c r="D4796" s="521" t="s">
        <v>894</v>
      </c>
      <c r="E4796" s="522">
        <v>201612</v>
      </c>
      <c r="F4796" s="523">
        <v>8877.27</v>
      </c>
      <c r="G4796" s="521">
        <v>4.5</v>
      </c>
      <c r="H4796" s="524">
        <v>1.3083000000000001E-3</v>
      </c>
      <c r="I4796" s="334">
        <v>52.26</v>
      </c>
      <c r="J4796" s="334">
        <v>139.37</v>
      </c>
    </row>
    <row r="4797" spans="1:10">
      <c r="A4797" s="332" t="s">
        <v>318</v>
      </c>
      <c r="B4797" s="333" t="s">
        <v>969</v>
      </c>
      <c r="C4797" s="423" t="s">
        <v>331</v>
      </c>
      <c r="D4797" s="332" t="s">
        <v>970</v>
      </c>
      <c r="E4797" s="333">
        <v>201612</v>
      </c>
      <c r="F4797" s="334">
        <v>-8500.25</v>
      </c>
      <c r="G4797" s="332">
        <v>4.5</v>
      </c>
      <c r="H4797" s="336">
        <v>1.3083000000000001E-3</v>
      </c>
      <c r="I4797" s="334">
        <v>-50.04</v>
      </c>
      <c r="J4797" s="334">
        <v>-133.44999999999999</v>
      </c>
    </row>
    <row r="4798" spans="1:10">
      <c r="A4798" s="332" t="s">
        <v>318</v>
      </c>
      <c r="B4798" s="333" t="s">
        <v>969</v>
      </c>
      <c r="C4798" s="423" t="s">
        <v>331</v>
      </c>
      <c r="D4798" s="332" t="s">
        <v>970</v>
      </c>
      <c r="E4798" s="333">
        <v>201612</v>
      </c>
      <c r="F4798" s="334">
        <v>8500.25</v>
      </c>
      <c r="G4798" s="332">
        <v>4.5</v>
      </c>
      <c r="H4798" s="336">
        <v>1.3083000000000001E-3</v>
      </c>
      <c r="I4798" s="334">
        <v>50.04</v>
      </c>
      <c r="J4798" s="334">
        <v>133.44999999999999</v>
      </c>
    </row>
    <row r="4799" spans="1:10" ht="15">
      <c r="A4799" s="332" t="s">
        <v>322</v>
      </c>
      <c r="B4799" s="333" t="s">
        <v>1124</v>
      </c>
      <c r="C4799" s="424" t="s">
        <v>331</v>
      </c>
      <c r="D4799" s="332" t="s">
        <v>1125</v>
      </c>
      <c r="E4799" s="333">
        <v>201612</v>
      </c>
      <c r="F4799" s="334">
        <v>426.74</v>
      </c>
      <c r="G4799" s="332">
        <v>4.5</v>
      </c>
      <c r="H4799" s="336">
        <v>1.1999999999999999E-3</v>
      </c>
      <c r="I4799" s="334">
        <v>2.2999999999999998</v>
      </c>
      <c r="J4799" s="334">
        <v>6.15</v>
      </c>
    </row>
    <row r="4800" spans="1:10" ht="15">
      <c r="A4800" s="332" t="s">
        <v>322</v>
      </c>
      <c r="B4800" s="333" t="s">
        <v>1124</v>
      </c>
      <c r="C4800" s="424" t="s">
        <v>331</v>
      </c>
      <c r="D4800" s="332" t="s">
        <v>1125</v>
      </c>
      <c r="E4800" s="333">
        <v>201612</v>
      </c>
      <c r="F4800" s="334">
        <v>105619.29</v>
      </c>
      <c r="G4800" s="332">
        <v>4.5</v>
      </c>
      <c r="H4800" s="336">
        <v>1.1999999999999999E-3</v>
      </c>
      <c r="I4800" s="334">
        <v>570.34</v>
      </c>
      <c r="J4800" s="334">
        <v>1520.92</v>
      </c>
    </row>
    <row r="4801" spans="1:10" ht="15">
      <c r="A4801" s="394" t="s">
        <v>318</v>
      </c>
      <c r="B4801" s="380" t="s">
        <v>899</v>
      </c>
      <c r="C4801" s="428" t="s">
        <v>331</v>
      </c>
      <c r="D4801" s="394" t="s">
        <v>900</v>
      </c>
      <c r="E4801" s="380">
        <v>201612</v>
      </c>
      <c r="F4801" s="395">
        <v>-78074.33</v>
      </c>
      <c r="G4801" s="332">
        <v>4.5</v>
      </c>
      <c r="H4801" s="396">
        <v>1.3083000000000001E-3</v>
      </c>
      <c r="I4801" s="334">
        <v>-459.65</v>
      </c>
      <c r="J4801" s="334">
        <v>-1225.74</v>
      </c>
    </row>
    <row r="4802" spans="1:10" ht="15">
      <c r="A4802" s="394" t="s">
        <v>318</v>
      </c>
      <c r="B4802" s="380" t="s">
        <v>899</v>
      </c>
      <c r="C4802" s="428" t="s">
        <v>331</v>
      </c>
      <c r="D4802" s="394" t="s">
        <v>900</v>
      </c>
      <c r="E4802" s="380">
        <v>201612</v>
      </c>
      <c r="F4802" s="395">
        <v>539.79</v>
      </c>
      <c r="G4802" s="332">
        <v>4.5</v>
      </c>
      <c r="H4802" s="396">
        <v>1.3083000000000001E-3</v>
      </c>
      <c r="I4802" s="334">
        <v>3.18</v>
      </c>
      <c r="J4802" s="334">
        <v>8.4700000000000006</v>
      </c>
    </row>
    <row r="4803" spans="1:10" ht="15">
      <c r="A4803" s="332" t="s">
        <v>318</v>
      </c>
      <c r="B4803" s="333" t="s">
        <v>899</v>
      </c>
      <c r="C4803" s="424" t="s">
        <v>331</v>
      </c>
      <c r="D4803" s="332" t="s">
        <v>900</v>
      </c>
      <c r="E4803" s="333">
        <v>201612</v>
      </c>
      <c r="F4803" s="334">
        <v>73798.64</v>
      </c>
      <c r="G4803" s="332">
        <v>4.5</v>
      </c>
      <c r="H4803" s="336">
        <v>1.3083000000000001E-3</v>
      </c>
      <c r="I4803" s="334">
        <v>434.48</v>
      </c>
      <c r="J4803" s="334">
        <v>1158.6099999999999</v>
      </c>
    </row>
    <row r="4804" spans="1:10" ht="15">
      <c r="A4804" s="332" t="s">
        <v>318</v>
      </c>
      <c r="B4804" s="333" t="s">
        <v>891</v>
      </c>
      <c r="C4804" s="424" t="s">
        <v>331</v>
      </c>
      <c r="D4804" s="332" t="s">
        <v>892</v>
      </c>
      <c r="E4804" s="333">
        <v>201612</v>
      </c>
      <c r="F4804" s="334">
        <v>21.1</v>
      </c>
      <c r="G4804" s="332">
        <v>4.5</v>
      </c>
      <c r="H4804" s="336">
        <v>1.3083000000000001E-3</v>
      </c>
      <c r="I4804" s="334">
        <v>0.12</v>
      </c>
      <c r="J4804" s="334">
        <v>0.33</v>
      </c>
    </row>
    <row r="4805" spans="1:10" ht="15">
      <c r="A4805" s="332" t="s">
        <v>322</v>
      </c>
      <c r="B4805" s="333" t="s">
        <v>1055</v>
      </c>
      <c r="C4805" s="424" t="s">
        <v>331</v>
      </c>
      <c r="D4805" s="332" t="s">
        <v>1056</v>
      </c>
      <c r="E4805" s="333">
        <v>201612</v>
      </c>
      <c r="F4805" s="334">
        <v>-16.07</v>
      </c>
      <c r="G4805" s="332">
        <v>4.5</v>
      </c>
      <c r="H4805" s="336">
        <v>1.1999999999999999E-3</v>
      </c>
      <c r="I4805" s="334">
        <v>-0.09</v>
      </c>
      <c r="J4805" s="334">
        <v>-0.23</v>
      </c>
    </row>
    <row r="4806" spans="1:10">
      <c r="A4806" s="332" t="s">
        <v>322</v>
      </c>
      <c r="B4806" s="333" t="s">
        <v>1055</v>
      </c>
      <c r="C4806" s="423" t="s">
        <v>331</v>
      </c>
      <c r="D4806" s="332" t="s">
        <v>1056</v>
      </c>
      <c r="E4806" s="333">
        <v>201612</v>
      </c>
      <c r="F4806" s="334">
        <v>-0.81</v>
      </c>
      <c r="G4806" s="332">
        <v>4.5</v>
      </c>
      <c r="H4806" s="336">
        <v>1.1999999999999999E-3</v>
      </c>
      <c r="I4806" s="334">
        <v>0</v>
      </c>
      <c r="J4806" s="334">
        <v>-0.01</v>
      </c>
    </row>
    <row r="4807" spans="1:10">
      <c r="A4807" s="332" t="s">
        <v>318</v>
      </c>
      <c r="B4807" s="333" t="s">
        <v>1055</v>
      </c>
      <c r="C4807" s="423" t="s">
        <v>331</v>
      </c>
      <c r="D4807" s="332" t="s">
        <v>1056</v>
      </c>
      <c r="E4807" s="333">
        <v>201612</v>
      </c>
      <c r="F4807" s="334">
        <v>-7.02</v>
      </c>
      <c r="G4807" s="332">
        <v>4.5</v>
      </c>
      <c r="H4807" s="336">
        <v>1.3083000000000001E-3</v>
      </c>
      <c r="I4807" s="334">
        <v>-0.04</v>
      </c>
      <c r="J4807" s="334">
        <v>-0.11</v>
      </c>
    </row>
    <row r="4808" spans="1:10">
      <c r="A4808" s="332" t="s">
        <v>318</v>
      </c>
      <c r="B4808" s="333" t="s">
        <v>1000</v>
      </c>
      <c r="C4808" s="423" t="s">
        <v>343</v>
      </c>
      <c r="D4808" s="332" t="s">
        <v>1001</v>
      </c>
      <c r="E4808" s="333">
        <v>201612</v>
      </c>
      <c r="F4808" s="334">
        <v>-135.94999999999999</v>
      </c>
      <c r="G4808" s="332">
        <v>4.5</v>
      </c>
      <c r="H4808" s="336">
        <v>1.3083000000000001E-3</v>
      </c>
      <c r="I4808" s="334">
        <v>-0.8</v>
      </c>
      <c r="J4808" s="334">
        <v>-2.13</v>
      </c>
    </row>
    <row r="4809" spans="1:10">
      <c r="A4809" s="332" t="s">
        <v>318</v>
      </c>
      <c r="B4809" s="333" t="s">
        <v>1000</v>
      </c>
      <c r="C4809" s="423" t="s">
        <v>343</v>
      </c>
      <c r="D4809" s="332" t="s">
        <v>1001</v>
      </c>
      <c r="E4809" s="333">
        <v>201612</v>
      </c>
      <c r="F4809" s="334">
        <v>-1.1499999999999999</v>
      </c>
      <c r="G4809" s="332">
        <v>4.5</v>
      </c>
      <c r="H4809" s="336">
        <v>1.3083000000000001E-3</v>
      </c>
      <c r="I4809" s="334">
        <v>-0.01</v>
      </c>
      <c r="J4809" s="334">
        <v>-0.02</v>
      </c>
    </row>
    <row r="4810" spans="1:10">
      <c r="A4810" s="332" t="s">
        <v>318</v>
      </c>
      <c r="B4810" s="333" t="s">
        <v>1081</v>
      </c>
      <c r="C4810" s="423" t="s">
        <v>331</v>
      </c>
      <c r="D4810" s="332" t="s">
        <v>1082</v>
      </c>
      <c r="E4810" s="333">
        <v>201612</v>
      </c>
      <c r="F4810" s="334">
        <v>95.5</v>
      </c>
      <c r="G4810" s="332">
        <v>4.5</v>
      </c>
      <c r="H4810" s="336">
        <v>1.3083000000000001E-3</v>
      </c>
      <c r="I4810" s="334">
        <v>0.56000000000000005</v>
      </c>
      <c r="J4810" s="334">
        <v>1.5</v>
      </c>
    </row>
    <row r="4811" spans="1:10" ht="15">
      <c r="A4811" s="332" t="s">
        <v>318</v>
      </c>
      <c r="B4811" s="333" t="s">
        <v>1008</v>
      </c>
      <c r="C4811" s="424" t="s">
        <v>331</v>
      </c>
      <c r="D4811" s="332" t="s">
        <v>1009</v>
      </c>
      <c r="E4811" s="333">
        <v>201612</v>
      </c>
      <c r="F4811" s="334">
        <v>-66.069999999999993</v>
      </c>
      <c r="G4811" s="332">
        <v>4.5</v>
      </c>
      <c r="H4811" s="336">
        <v>1.3083000000000001E-3</v>
      </c>
      <c r="I4811" s="334">
        <v>-0.39</v>
      </c>
      <c r="J4811" s="334">
        <v>-1.04</v>
      </c>
    </row>
    <row r="4812" spans="1:10">
      <c r="A4812" s="332" t="s">
        <v>318</v>
      </c>
      <c r="B4812" s="333" t="s">
        <v>1083</v>
      </c>
      <c r="C4812" s="423" t="s">
        <v>331</v>
      </c>
      <c r="D4812" s="332" t="s">
        <v>1084</v>
      </c>
      <c r="E4812" s="333">
        <v>201612</v>
      </c>
      <c r="F4812" s="334">
        <v>215.03</v>
      </c>
      <c r="G4812" s="332">
        <v>4.5</v>
      </c>
      <c r="H4812" s="336">
        <v>1.3083000000000001E-3</v>
      </c>
      <c r="I4812" s="334">
        <v>1.27</v>
      </c>
      <c r="J4812" s="334">
        <v>3.38</v>
      </c>
    </row>
    <row r="4813" spans="1:10" ht="15">
      <c r="A4813" s="332" t="s">
        <v>318</v>
      </c>
      <c r="B4813" s="333" t="s">
        <v>1010</v>
      </c>
      <c r="C4813" s="424" t="s">
        <v>331</v>
      </c>
      <c r="D4813" s="332" t="s">
        <v>1011</v>
      </c>
      <c r="E4813" s="333">
        <v>201612</v>
      </c>
      <c r="F4813" s="334">
        <v>-2.58</v>
      </c>
      <c r="G4813" s="332">
        <v>4.5</v>
      </c>
      <c r="H4813" s="336">
        <v>1.3083000000000001E-3</v>
      </c>
      <c r="I4813" s="334">
        <v>-0.02</v>
      </c>
      <c r="J4813" s="334">
        <v>-0.04</v>
      </c>
    </row>
    <row r="4814" spans="1:10">
      <c r="A4814" s="332" t="s">
        <v>318</v>
      </c>
      <c r="B4814" s="333" t="s">
        <v>1010</v>
      </c>
      <c r="C4814" s="423" t="s">
        <v>331</v>
      </c>
      <c r="D4814" s="332" t="s">
        <v>1011</v>
      </c>
      <c r="E4814" s="333">
        <v>201612</v>
      </c>
      <c r="F4814" s="334">
        <v>-0.2</v>
      </c>
      <c r="G4814" s="332">
        <v>4.5</v>
      </c>
      <c r="H4814" s="336">
        <v>1.3083000000000001E-3</v>
      </c>
      <c r="I4814" s="334">
        <v>0</v>
      </c>
      <c r="J4814" s="334">
        <v>0</v>
      </c>
    </row>
    <row r="4815" spans="1:10">
      <c r="A4815" s="332" t="s">
        <v>318</v>
      </c>
      <c r="B4815" s="333" t="s">
        <v>1057</v>
      </c>
      <c r="C4815" s="423" t="s">
        <v>331</v>
      </c>
      <c r="D4815" s="332" t="s">
        <v>1058</v>
      </c>
      <c r="E4815" s="333">
        <v>201612</v>
      </c>
      <c r="F4815" s="334">
        <v>280.83</v>
      </c>
      <c r="G4815" s="332">
        <v>4.5</v>
      </c>
      <c r="H4815" s="336">
        <v>1.3083000000000001E-3</v>
      </c>
      <c r="I4815" s="334">
        <v>1.65</v>
      </c>
      <c r="J4815" s="334">
        <v>4.41</v>
      </c>
    </row>
    <row r="4816" spans="1:10">
      <c r="A4816" s="332" t="s">
        <v>318</v>
      </c>
      <c r="B4816" s="333" t="s">
        <v>1057</v>
      </c>
      <c r="C4816" s="423" t="s">
        <v>331</v>
      </c>
      <c r="D4816" s="332" t="s">
        <v>1058</v>
      </c>
      <c r="E4816" s="333">
        <v>201612</v>
      </c>
      <c r="F4816" s="334">
        <v>4142.01</v>
      </c>
      <c r="G4816" s="332">
        <v>4.5</v>
      </c>
      <c r="H4816" s="336">
        <v>1.3083000000000001E-3</v>
      </c>
      <c r="I4816" s="334">
        <v>24.39</v>
      </c>
      <c r="J4816" s="334">
        <v>65.03</v>
      </c>
    </row>
    <row r="4817" spans="1:17">
      <c r="A4817" s="332" t="s">
        <v>318</v>
      </c>
      <c r="B4817" s="333" t="s">
        <v>1075</v>
      </c>
      <c r="C4817" s="423" t="s">
        <v>331</v>
      </c>
      <c r="D4817" s="332" t="s">
        <v>1076</v>
      </c>
      <c r="E4817" s="333">
        <v>201612</v>
      </c>
      <c r="F4817" s="334">
        <v>2459.19</v>
      </c>
      <c r="G4817" s="332">
        <v>4.5</v>
      </c>
      <c r="H4817" s="336">
        <v>1.3083000000000001E-3</v>
      </c>
      <c r="I4817" s="334">
        <v>14.48</v>
      </c>
      <c r="J4817" s="334">
        <v>38.61</v>
      </c>
    </row>
    <row r="4818" spans="1:17" ht="15">
      <c r="A4818" s="332" t="s">
        <v>318</v>
      </c>
      <c r="B4818" s="333" t="s">
        <v>1053</v>
      </c>
      <c r="C4818" s="424" t="s">
        <v>331</v>
      </c>
      <c r="D4818" s="332" t="s">
        <v>1054</v>
      </c>
      <c r="E4818" s="333">
        <v>201612</v>
      </c>
      <c r="F4818" s="334">
        <v>-5.45</v>
      </c>
      <c r="G4818" s="332">
        <v>4.5</v>
      </c>
      <c r="H4818" s="336">
        <v>1.3083000000000001E-3</v>
      </c>
      <c r="I4818" s="334">
        <v>-0.03</v>
      </c>
      <c r="J4818" s="334">
        <v>-0.09</v>
      </c>
    </row>
    <row r="4819" spans="1:17">
      <c r="A4819" s="595"/>
      <c r="B4819" s="593"/>
      <c r="C4819" s="594"/>
      <c r="D4819" s="591"/>
      <c r="E4819" s="596"/>
      <c r="F4819" s="597"/>
      <c r="G4819" s="590"/>
      <c r="H4819" s="592"/>
      <c r="I4819" s="589"/>
      <c r="J4819" s="589"/>
      <c r="Q4819" s="101">
        <f>IF(E4819&lt;=$Q$1,$S$5,#REF!)</f>
        <v>2015</v>
      </c>
    </row>
    <row r="4820" spans="1:17">
      <c r="A4820" s="601" t="s">
        <v>322</v>
      </c>
      <c r="B4820" s="602" t="s">
        <v>744</v>
      </c>
      <c r="C4820" s="603" t="s">
        <v>331</v>
      </c>
      <c r="D4820" s="604" t="s">
        <v>740</v>
      </c>
      <c r="E4820" s="605">
        <v>201502</v>
      </c>
      <c r="F4820" s="606">
        <v>0</v>
      </c>
      <c r="G4820" s="598">
        <v>3</v>
      </c>
      <c r="H4820" s="599">
        <v>1.1999999999999999E-3</v>
      </c>
      <c r="I4820" s="600">
        <v>0</v>
      </c>
      <c r="J4820" s="600">
        <v>0</v>
      </c>
      <c r="Q4820" s="101">
        <f>IF(E4820&lt;=$Q$1,$S$5,#REF!)</f>
        <v>2015</v>
      </c>
    </row>
    <row r="4821" spans="1:17">
      <c r="A4821" s="173"/>
      <c r="B4821" s="161"/>
      <c r="C4821" s="162"/>
      <c r="D4821" s="127"/>
      <c r="E4821" s="174"/>
      <c r="F4821" s="175"/>
      <c r="G4821" s="126"/>
      <c r="H4821" s="156"/>
      <c r="I4821" s="82"/>
      <c r="J4821" s="82"/>
      <c r="Q4821" s="101">
        <f>IF(E4821&lt;=$Q$1,$S$5,#REF!)</f>
        <v>2015</v>
      </c>
    </row>
    <row r="4822" spans="1:17">
      <c r="A4822" s="173"/>
      <c r="B4822" s="161"/>
      <c r="C4822" s="162"/>
      <c r="D4822" s="127"/>
      <c r="E4822" s="174"/>
      <c r="F4822" s="175"/>
      <c r="G4822" s="126"/>
      <c r="H4822" s="156"/>
      <c r="I4822" s="157"/>
      <c r="J4822" s="158"/>
      <c r="Q4822" s="101">
        <f>IF(E4822&lt;=$Q$1,$S$5,#REF!)</f>
        <v>2015</v>
      </c>
    </row>
    <row r="4823" spans="1:17">
      <c r="A4823" s="103"/>
      <c r="B4823" s="114"/>
      <c r="C4823" s="114"/>
      <c r="D4823" s="114"/>
      <c r="E4823" s="164"/>
      <c r="F4823" s="115"/>
      <c r="G4823" s="166"/>
      <c r="H4823" s="121"/>
      <c r="I4823" s="103"/>
      <c r="J4823" s="103"/>
    </row>
    <row r="4824" spans="1:17" ht="13.5" thickBot="1">
      <c r="A4824" s="69" t="s">
        <v>114</v>
      </c>
      <c r="B4824" s="118"/>
      <c r="E4824" s="152" t="s">
        <v>107</v>
      </c>
      <c r="F4824" s="120">
        <f>SUM(F4376:F4823)</f>
        <v>1464269.53</v>
      </c>
      <c r="I4824" s="120">
        <f>SUM(I4376:I4823)</f>
        <v>13141.130000000001</v>
      </c>
      <c r="J4824" s="120">
        <f>SUM(J4376:J4823)</f>
        <v>22064.580000000009</v>
      </c>
    </row>
    <row r="4825" spans="1:17" ht="13.5" thickTop="1">
      <c r="B4825" s="118"/>
    </row>
    <row r="4826" spans="1:17">
      <c r="A4826" s="69" t="s">
        <v>115</v>
      </c>
      <c r="B4826" s="118"/>
      <c r="F4826" s="105"/>
    </row>
    <row r="4827" spans="1:17">
      <c r="B4827" s="118"/>
    </row>
    <row r="4828" spans="1:17">
      <c r="A4828" s="88" t="s">
        <v>210</v>
      </c>
      <c r="B4828" s="102"/>
      <c r="C4828" s="102"/>
      <c r="F4828" s="123"/>
      <c r="I4828" s="123"/>
      <c r="J4828" s="123"/>
    </row>
    <row r="4829" spans="1:17">
      <c r="A4829" s="102"/>
      <c r="B4829" s="102"/>
      <c r="C4829" s="102"/>
      <c r="F4829" s="123"/>
      <c r="I4829" s="123"/>
      <c r="J4829" s="123"/>
    </row>
    <row r="4830" spans="1:17">
      <c r="A4830" s="81" t="s">
        <v>86</v>
      </c>
      <c r="B4830" s="81" t="s">
        <v>87</v>
      </c>
      <c r="C4830" s="81" t="s">
        <v>88</v>
      </c>
      <c r="D4830" s="81"/>
      <c r="E4830" s="146" t="s">
        <v>89</v>
      </c>
      <c r="F4830" s="90" t="s">
        <v>90</v>
      </c>
      <c r="G4830" s="147"/>
      <c r="H4830" s="81" t="s">
        <v>91</v>
      </c>
      <c r="I4830" s="90" t="s">
        <v>92</v>
      </c>
      <c r="J4830" s="90" t="s">
        <v>93</v>
      </c>
    </row>
    <row r="4831" spans="1:17">
      <c r="A4831" s="86" t="s">
        <v>94</v>
      </c>
      <c r="B4831" s="96" t="s">
        <v>95</v>
      </c>
      <c r="C4831" s="96" t="s">
        <v>96</v>
      </c>
      <c r="D4831" s="96" t="s">
        <v>97</v>
      </c>
      <c r="E4831" s="150" t="s">
        <v>98</v>
      </c>
      <c r="F4831" s="98" t="s">
        <v>99</v>
      </c>
      <c r="G4831" s="151" t="s">
        <v>100</v>
      </c>
      <c r="H4831" s="96" t="s">
        <v>101</v>
      </c>
      <c r="I4831" s="98" t="s">
        <v>93</v>
      </c>
      <c r="J4831" s="98" t="s">
        <v>102</v>
      </c>
    </row>
    <row r="4832" spans="1:17">
      <c r="A4832" s="108"/>
      <c r="B4832" s="108"/>
      <c r="C4832" s="108"/>
      <c r="D4832" s="108"/>
      <c r="E4832" s="159"/>
      <c r="F4832" s="82"/>
      <c r="G4832" s="170"/>
      <c r="H4832" s="126"/>
      <c r="I4832" s="82"/>
      <c r="J4832" s="82"/>
    </row>
    <row r="4833" spans="1:10">
      <c r="A4833" s="108"/>
      <c r="B4833" s="108"/>
      <c r="C4833" s="108"/>
      <c r="D4833" s="108"/>
      <c r="E4833" s="159"/>
      <c r="F4833" s="82"/>
      <c r="G4833" s="170"/>
      <c r="H4833" s="126"/>
      <c r="I4833" s="82"/>
      <c r="J4833" s="82"/>
    </row>
    <row r="4834" spans="1:10">
      <c r="A4834" s="114"/>
      <c r="B4834" s="114"/>
      <c r="C4834" s="114"/>
      <c r="D4834" s="114"/>
      <c r="E4834" s="164"/>
      <c r="F4834" s="123"/>
      <c r="G4834" s="166"/>
      <c r="H4834" s="121"/>
      <c r="I4834" s="129"/>
      <c r="J4834" s="129"/>
    </row>
    <row r="4835" spans="1:10" ht="13.5" thickBot="1">
      <c r="A4835" s="102"/>
      <c r="B4835" s="102"/>
      <c r="C4835" s="102"/>
      <c r="E4835" s="73" t="s">
        <v>107</v>
      </c>
      <c r="F4835" s="130">
        <f>SUM(F4832:F4833)</f>
        <v>0</v>
      </c>
      <c r="I4835" s="130">
        <f>SUM(I4832:I4833)</f>
        <v>0</v>
      </c>
      <c r="J4835" s="130">
        <f>SUM(J4832:J4833)</f>
        <v>0</v>
      </c>
    </row>
    <row r="4836" spans="1:10" ht="13.5" thickTop="1">
      <c r="A4836" s="114"/>
      <c r="B4836" s="114"/>
      <c r="C4836" s="114"/>
      <c r="D4836" s="114"/>
      <c r="E4836" s="164"/>
      <c r="F4836" s="103"/>
      <c r="G4836" s="166"/>
      <c r="H4836" s="121"/>
      <c r="I4836" s="103"/>
      <c r="J4836" s="103"/>
    </row>
    <row r="4837" spans="1:10" ht="13.5" thickBot="1">
      <c r="A4837" s="95" t="s">
        <v>117</v>
      </c>
      <c r="B4837" s="102"/>
      <c r="C4837" s="102"/>
      <c r="E4837" s="73" t="s">
        <v>107</v>
      </c>
      <c r="F4837" s="130">
        <f>+F4835</f>
        <v>0</v>
      </c>
      <c r="I4837" s="130">
        <f>+I4835</f>
        <v>0</v>
      </c>
      <c r="J4837" s="130">
        <f>+J4835</f>
        <v>0</v>
      </c>
    </row>
    <row r="4838" spans="1:10" ht="13.5" thickTop="1">
      <c r="A4838" s="102"/>
      <c r="B4838" s="102"/>
      <c r="C4838" s="102"/>
      <c r="F4838" s="123"/>
      <c r="I4838" s="123"/>
      <c r="J4838" s="123"/>
    </row>
    <row r="4839" spans="1:10" ht="13.5" thickBot="1">
      <c r="A4839" s="69" t="s">
        <v>118</v>
      </c>
      <c r="B4839" s="118"/>
      <c r="F4839" s="120">
        <f>+F4837+F4824+F4370+F4334+F3049</f>
        <v>73575194.280000031</v>
      </c>
      <c r="I4839" s="120">
        <f>+I4837+I4824+I4370+I4334+I3049</f>
        <v>1178690.8999999999</v>
      </c>
      <c r="J4839" s="120">
        <f>+J4837+J4824+J4370+J4334+J3049</f>
        <v>1855815.5700000022</v>
      </c>
    </row>
    <row r="4840" spans="1:10" ht="13.5" thickTop="1">
      <c r="B4840" s="118"/>
      <c r="F4840" s="105"/>
    </row>
    <row r="4841" spans="1:10">
      <c r="A4841" s="69"/>
      <c r="B4841" s="118"/>
      <c r="F4841" s="171"/>
      <c r="G4841" s="791"/>
    </row>
    <row r="4842" spans="1:10">
      <c r="B4842" s="118"/>
      <c r="F4842" s="171"/>
      <c r="G4842" s="791"/>
    </row>
    <row r="4843" spans="1:10">
      <c r="B4843" s="118"/>
      <c r="F4843" s="171"/>
      <c r="G4843" s="791"/>
    </row>
    <row r="4844" spans="1:10">
      <c r="B4844" s="118"/>
      <c r="F4844" s="171"/>
      <c r="G4844" s="166"/>
    </row>
    <row r="4845" spans="1:10">
      <c r="B4845" s="118"/>
    </row>
    <row r="4846" spans="1:10">
      <c r="B4846" s="118"/>
    </row>
    <row r="4847" spans="1:10">
      <c r="B4847" s="118"/>
    </row>
    <row r="4848" spans="1:10">
      <c r="B4848" s="118"/>
    </row>
    <row r="4849" spans="2:2">
      <c r="B4849" s="118"/>
    </row>
    <row r="4850" spans="2:2">
      <c r="B4850" s="118"/>
    </row>
    <row r="4851" spans="2:2">
      <c r="B4851" s="118"/>
    </row>
    <row r="4852" spans="2:2">
      <c r="B4852" s="118"/>
    </row>
    <row r="4853" spans="2:2">
      <c r="B4853" s="118"/>
    </row>
    <row r="4854" spans="2:2">
      <c r="B4854" s="118"/>
    </row>
    <row r="4855" spans="2:2">
      <c r="B4855" s="118"/>
    </row>
    <row r="4856" spans="2:2">
      <c r="B4856" s="118"/>
    </row>
    <row r="4857" spans="2:2">
      <c r="B4857" s="118"/>
    </row>
    <row r="4858" spans="2:2">
      <c r="B4858" s="118"/>
    </row>
    <row r="4859" spans="2:2">
      <c r="B4859" s="118"/>
    </row>
    <row r="4860" spans="2:2">
      <c r="B4860" s="118"/>
    </row>
    <row r="4861" spans="2:2">
      <c r="B4861" s="118"/>
    </row>
    <row r="4862" spans="2:2">
      <c r="B4862" s="118"/>
    </row>
    <row r="4863" spans="2:2">
      <c r="B4863" s="118"/>
    </row>
    <row r="4864" spans="2:2">
      <c r="B4864" s="118"/>
    </row>
    <row r="4865" spans="2:2">
      <c r="B4865" s="118"/>
    </row>
    <row r="4866" spans="2:2">
      <c r="B4866" s="118"/>
    </row>
    <row r="4867" spans="2:2">
      <c r="B4867" s="118"/>
    </row>
    <row r="4868" spans="2:2">
      <c r="B4868" s="118"/>
    </row>
    <row r="4869" spans="2:2">
      <c r="B4869" s="118"/>
    </row>
    <row r="4870" spans="2:2">
      <c r="B4870" s="118"/>
    </row>
    <row r="4871" spans="2:2">
      <c r="B4871" s="118"/>
    </row>
    <row r="4872" spans="2:2">
      <c r="B4872" s="118"/>
    </row>
    <row r="4873" spans="2:2">
      <c r="B4873" s="118"/>
    </row>
    <row r="4874" spans="2:2">
      <c r="B4874" s="118"/>
    </row>
    <row r="4875" spans="2:2">
      <c r="B4875" s="118"/>
    </row>
    <row r="4876" spans="2:2">
      <c r="B4876" s="118"/>
    </row>
    <row r="4877" spans="2:2">
      <c r="B4877" s="118"/>
    </row>
    <row r="4878" spans="2:2">
      <c r="B4878" s="118"/>
    </row>
    <row r="4879" spans="2:2">
      <c r="B4879" s="118"/>
    </row>
    <row r="4880" spans="2:2">
      <c r="B4880" s="118"/>
    </row>
    <row r="4881" spans="2:2">
      <c r="B4881" s="118"/>
    </row>
    <row r="4882" spans="2:2">
      <c r="B4882" s="118"/>
    </row>
    <row r="4883" spans="2:2">
      <c r="B4883" s="118"/>
    </row>
    <row r="4884" spans="2:2">
      <c r="B4884" s="102"/>
    </row>
    <row r="4885" spans="2:2">
      <c r="B4885" s="102"/>
    </row>
    <row r="4886" spans="2:2">
      <c r="B4886" s="102"/>
    </row>
    <row r="4887" spans="2:2">
      <c r="B4887" s="102"/>
    </row>
    <row r="4888" spans="2:2">
      <c r="B4888" s="102"/>
    </row>
    <row r="4889" spans="2:2">
      <c r="B4889" s="102"/>
    </row>
    <row r="4890" spans="2:2">
      <c r="B4890" s="102"/>
    </row>
    <row r="4891" spans="2:2">
      <c r="B4891" s="102"/>
    </row>
    <row r="4892" spans="2:2">
      <c r="B4892" s="102"/>
    </row>
    <row r="4893" spans="2:2">
      <c r="B4893" s="102"/>
    </row>
    <row r="4894" spans="2:2">
      <c r="B4894" s="102"/>
    </row>
    <row r="4895" spans="2:2">
      <c r="B4895" s="102"/>
    </row>
    <row r="4896" spans="2:2">
      <c r="B4896" s="102"/>
    </row>
    <row r="4897" spans="2:2">
      <c r="B4897" s="102"/>
    </row>
    <row r="4898" spans="2:2">
      <c r="B4898" s="102"/>
    </row>
    <row r="4899" spans="2:2">
      <c r="B4899" s="102"/>
    </row>
    <row r="4900" spans="2:2">
      <c r="B4900" s="102"/>
    </row>
    <row r="4901" spans="2:2">
      <c r="B4901" s="102"/>
    </row>
    <row r="4902" spans="2:2">
      <c r="B4902" s="102"/>
    </row>
    <row r="4903" spans="2:2">
      <c r="B4903" s="102"/>
    </row>
    <row r="4904" spans="2:2">
      <c r="B4904" s="102"/>
    </row>
    <row r="4905" spans="2:2">
      <c r="B4905" s="102"/>
    </row>
    <row r="4906" spans="2:2">
      <c r="B4906" s="102"/>
    </row>
    <row r="4907" spans="2:2">
      <c r="B4907" s="102"/>
    </row>
    <row r="4908" spans="2:2">
      <c r="B4908" s="102"/>
    </row>
    <row r="4909" spans="2:2">
      <c r="B4909" s="102"/>
    </row>
    <row r="4910" spans="2:2">
      <c r="B4910" s="102"/>
    </row>
    <row r="4911" spans="2:2">
      <c r="B4911" s="102"/>
    </row>
    <row r="4912" spans="2:2">
      <c r="B4912" s="102"/>
    </row>
    <row r="4913" spans="2:2">
      <c r="B4913" s="102"/>
    </row>
    <row r="4914" spans="2:2">
      <c r="B4914" s="102"/>
    </row>
    <row r="4915" spans="2:2">
      <c r="B4915" s="102"/>
    </row>
    <row r="4916" spans="2:2">
      <c r="B4916" s="102"/>
    </row>
    <row r="4917" spans="2:2">
      <c r="B4917" s="102"/>
    </row>
    <row r="4918" spans="2:2">
      <c r="B4918" s="102"/>
    </row>
    <row r="4919" spans="2:2">
      <c r="B4919" s="102"/>
    </row>
    <row r="4920" spans="2:2">
      <c r="B4920" s="102"/>
    </row>
    <row r="4921" spans="2:2">
      <c r="B4921" s="102"/>
    </row>
    <row r="4922" spans="2:2">
      <c r="B4922" s="102"/>
    </row>
    <row r="4923" spans="2:2">
      <c r="B4923" s="102"/>
    </row>
    <row r="4924" spans="2:2">
      <c r="B4924" s="102"/>
    </row>
    <row r="4925" spans="2:2">
      <c r="B4925" s="102"/>
    </row>
    <row r="4926" spans="2:2">
      <c r="B4926" s="102"/>
    </row>
    <row r="4927" spans="2:2">
      <c r="B4927" s="102"/>
    </row>
    <row r="4928" spans="2:2">
      <c r="B4928" s="102"/>
    </row>
    <row r="4929" spans="2:2">
      <c r="B4929" s="102"/>
    </row>
    <row r="4930" spans="2:2">
      <c r="B4930" s="102"/>
    </row>
    <row r="4931" spans="2:2">
      <c r="B4931" s="102"/>
    </row>
    <row r="4932" spans="2:2">
      <c r="B4932" s="102"/>
    </row>
    <row r="4933" spans="2:2">
      <c r="B4933" s="102"/>
    </row>
    <row r="4934" spans="2:2">
      <c r="B4934" s="102"/>
    </row>
    <row r="4935" spans="2:2">
      <c r="B4935" s="102"/>
    </row>
    <row r="4936" spans="2:2">
      <c r="B4936" s="102"/>
    </row>
    <row r="4937" spans="2:2">
      <c r="B4937" s="102"/>
    </row>
    <row r="4938" spans="2:2">
      <c r="B4938" s="102"/>
    </row>
    <row r="4939" spans="2:2">
      <c r="B4939" s="102"/>
    </row>
    <row r="4940" spans="2:2">
      <c r="B4940" s="102"/>
    </row>
    <row r="4941" spans="2:2">
      <c r="B4941" s="102"/>
    </row>
    <row r="4942" spans="2:2">
      <c r="B4942" s="102"/>
    </row>
    <row r="4943" spans="2:2">
      <c r="B4943" s="102"/>
    </row>
    <row r="4944" spans="2:2">
      <c r="B4944" s="102"/>
    </row>
    <row r="4945" spans="2:2">
      <c r="B4945" s="102"/>
    </row>
    <row r="4946" spans="2:2">
      <c r="B4946" s="102"/>
    </row>
    <row r="4947" spans="2:2">
      <c r="B4947" s="102"/>
    </row>
    <row r="4948" spans="2:2">
      <c r="B4948" s="102"/>
    </row>
    <row r="4949" spans="2:2">
      <c r="B4949" s="102"/>
    </row>
    <row r="4950" spans="2:2">
      <c r="B4950" s="102"/>
    </row>
    <row r="4951" spans="2:2">
      <c r="B4951" s="102"/>
    </row>
    <row r="4952" spans="2:2">
      <c r="B4952" s="102"/>
    </row>
    <row r="4953" spans="2:2">
      <c r="B4953" s="102"/>
    </row>
    <row r="4954" spans="2:2">
      <c r="B4954" s="102"/>
    </row>
    <row r="4955" spans="2:2">
      <c r="B4955" s="102"/>
    </row>
    <row r="4956" spans="2:2">
      <c r="B4956" s="102"/>
    </row>
    <row r="4957" spans="2:2">
      <c r="B4957" s="102"/>
    </row>
    <row r="4958" spans="2:2">
      <c r="B4958" s="102"/>
    </row>
    <row r="4959" spans="2:2">
      <c r="B4959" s="102"/>
    </row>
    <row r="4960" spans="2:2">
      <c r="B4960" s="102"/>
    </row>
    <row r="4961" spans="2:2">
      <c r="B4961" s="102"/>
    </row>
    <row r="4962" spans="2:2">
      <c r="B4962" s="102"/>
    </row>
    <row r="4963" spans="2:2">
      <c r="B4963" s="102"/>
    </row>
    <row r="4964" spans="2:2">
      <c r="B4964" s="102"/>
    </row>
    <row r="4965" spans="2:2">
      <c r="B4965" s="102"/>
    </row>
    <row r="4966" spans="2:2">
      <c r="B4966" s="102"/>
    </row>
    <row r="4967" spans="2:2">
      <c r="B4967" s="102"/>
    </row>
    <row r="4968" spans="2:2">
      <c r="B4968" s="102"/>
    </row>
    <row r="4969" spans="2:2">
      <c r="B4969" s="102"/>
    </row>
    <row r="4970" spans="2:2">
      <c r="B4970" s="102"/>
    </row>
    <row r="4971" spans="2:2">
      <c r="B4971" s="102"/>
    </row>
    <row r="4972" spans="2:2">
      <c r="B4972" s="102"/>
    </row>
    <row r="4973" spans="2:2">
      <c r="B4973" s="102"/>
    </row>
    <row r="4974" spans="2:2">
      <c r="B4974" s="102"/>
    </row>
    <row r="4975" spans="2:2">
      <c r="B4975" s="102"/>
    </row>
    <row r="4976" spans="2:2">
      <c r="B4976" s="102"/>
    </row>
    <row r="4977" spans="2:2">
      <c r="B4977" s="102"/>
    </row>
    <row r="4978" spans="2:2">
      <c r="B4978" s="102"/>
    </row>
    <row r="4979" spans="2:2">
      <c r="B4979" s="102"/>
    </row>
    <row r="4980" spans="2:2">
      <c r="B4980" s="102"/>
    </row>
    <row r="4981" spans="2:2">
      <c r="B4981" s="102"/>
    </row>
    <row r="4982" spans="2:2">
      <c r="B4982" s="102"/>
    </row>
    <row r="4983" spans="2:2">
      <c r="B4983" s="102"/>
    </row>
    <row r="4984" spans="2:2">
      <c r="B4984" s="102"/>
    </row>
    <row r="4985" spans="2:2">
      <c r="B4985" s="102"/>
    </row>
    <row r="4986" spans="2:2">
      <c r="B4986" s="102"/>
    </row>
    <row r="4987" spans="2:2">
      <c r="B4987" s="102"/>
    </row>
    <row r="4988" spans="2:2">
      <c r="B4988" s="102"/>
    </row>
    <row r="4989" spans="2:2">
      <c r="B4989" s="102"/>
    </row>
    <row r="4990" spans="2:2">
      <c r="B4990" s="102"/>
    </row>
    <row r="4991" spans="2:2">
      <c r="B4991" s="102"/>
    </row>
    <row r="4992" spans="2:2">
      <c r="B4992" s="102"/>
    </row>
    <row r="4993" spans="2:2">
      <c r="B4993" s="102"/>
    </row>
    <row r="4994" spans="2:2">
      <c r="B4994" s="102"/>
    </row>
    <row r="4995" spans="2:2">
      <c r="B4995" s="102"/>
    </row>
    <row r="4996" spans="2:2">
      <c r="B4996" s="102"/>
    </row>
    <row r="4997" spans="2:2">
      <c r="B4997" s="102"/>
    </row>
    <row r="4998" spans="2:2">
      <c r="B4998" s="102"/>
    </row>
    <row r="4999" spans="2:2">
      <c r="B4999" s="102"/>
    </row>
    <row r="5000" spans="2:2">
      <c r="B5000" s="102"/>
    </row>
    <row r="5001" spans="2:2">
      <c r="B5001" s="102"/>
    </row>
    <row r="5002" spans="2:2">
      <c r="B5002" s="102"/>
    </row>
    <row r="5003" spans="2:2">
      <c r="B5003" s="102"/>
    </row>
    <row r="5004" spans="2:2">
      <c r="B5004" s="102"/>
    </row>
    <row r="5005" spans="2:2">
      <c r="B5005" s="102"/>
    </row>
    <row r="5006" spans="2:2">
      <c r="B5006" s="102"/>
    </row>
    <row r="5007" spans="2:2">
      <c r="B5007" s="102"/>
    </row>
    <row r="5008" spans="2:2">
      <c r="B5008" s="102"/>
    </row>
    <row r="5009" spans="2:2">
      <c r="B5009" s="102"/>
    </row>
    <row r="5010" spans="2:2">
      <c r="B5010" s="102"/>
    </row>
    <row r="5011" spans="2:2">
      <c r="B5011" s="102"/>
    </row>
    <row r="5012" spans="2:2">
      <c r="B5012" s="102"/>
    </row>
    <row r="5013" spans="2:2">
      <c r="B5013" s="102"/>
    </row>
    <row r="5014" spans="2:2">
      <c r="B5014" s="102"/>
    </row>
    <row r="5015" spans="2:2">
      <c r="B5015" s="102"/>
    </row>
    <row r="5016" spans="2:2">
      <c r="B5016" s="102"/>
    </row>
    <row r="5017" spans="2:2">
      <c r="B5017" s="102"/>
    </row>
    <row r="5018" spans="2:2">
      <c r="B5018" s="102"/>
    </row>
    <row r="5019" spans="2:2">
      <c r="B5019" s="102"/>
    </row>
    <row r="5020" spans="2:2">
      <c r="B5020" s="102"/>
    </row>
    <row r="5021" spans="2:2">
      <c r="B5021" s="102"/>
    </row>
    <row r="5022" spans="2:2">
      <c r="B5022" s="102"/>
    </row>
    <row r="5023" spans="2:2">
      <c r="B5023" s="102"/>
    </row>
    <row r="5024" spans="2:2">
      <c r="B5024" s="102"/>
    </row>
    <row r="5025" spans="2:2">
      <c r="B5025" s="102"/>
    </row>
    <row r="5026" spans="2:2">
      <c r="B5026" s="102"/>
    </row>
    <row r="5027" spans="2:2">
      <c r="B5027" s="102"/>
    </row>
    <row r="5028" spans="2:2">
      <c r="B5028" s="102"/>
    </row>
    <row r="5029" spans="2:2">
      <c r="B5029" s="102"/>
    </row>
    <row r="5030" spans="2:2">
      <c r="B5030" s="102"/>
    </row>
    <row r="5031" spans="2:2">
      <c r="B5031" s="102"/>
    </row>
    <row r="5032" spans="2:2">
      <c r="B5032" s="102"/>
    </row>
    <row r="5033" spans="2:2">
      <c r="B5033" s="102"/>
    </row>
    <row r="5034" spans="2:2">
      <c r="B5034" s="102"/>
    </row>
    <row r="5035" spans="2:2">
      <c r="B5035" s="102"/>
    </row>
    <row r="5036" spans="2:2">
      <c r="B5036" s="102"/>
    </row>
    <row r="5037" spans="2:2">
      <c r="B5037" s="102"/>
    </row>
    <row r="5038" spans="2:2">
      <c r="B5038" s="102"/>
    </row>
    <row r="5039" spans="2:2">
      <c r="B5039" s="102"/>
    </row>
    <row r="5040" spans="2:2">
      <c r="B5040" s="102"/>
    </row>
    <row r="5041" spans="2:2">
      <c r="B5041" s="102"/>
    </row>
    <row r="5042" spans="2:2">
      <c r="B5042" s="102"/>
    </row>
    <row r="5043" spans="2:2">
      <c r="B5043" s="102"/>
    </row>
    <row r="5044" spans="2:2">
      <c r="B5044" s="102"/>
    </row>
    <row r="5045" spans="2:2">
      <c r="B5045" s="102"/>
    </row>
    <row r="5046" spans="2:2">
      <c r="B5046" s="102"/>
    </row>
    <row r="5047" spans="2:2">
      <c r="B5047" s="102"/>
    </row>
    <row r="5048" spans="2:2">
      <c r="B5048" s="102"/>
    </row>
    <row r="5049" spans="2:2">
      <c r="B5049" s="102"/>
    </row>
    <row r="5050" spans="2:2">
      <c r="B5050" s="102"/>
    </row>
    <row r="5051" spans="2:2">
      <c r="B5051" s="102"/>
    </row>
    <row r="5052" spans="2:2">
      <c r="B5052" s="102"/>
    </row>
    <row r="5053" spans="2:2">
      <c r="B5053" s="102"/>
    </row>
    <row r="5054" spans="2:2">
      <c r="B5054" s="102"/>
    </row>
    <row r="5055" spans="2:2">
      <c r="B5055" s="102"/>
    </row>
    <row r="5056" spans="2:2">
      <c r="B5056" s="102"/>
    </row>
    <row r="5057" spans="2:2">
      <c r="B5057" s="102"/>
    </row>
    <row r="5058" spans="2:2">
      <c r="B5058" s="102"/>
    </row>
    <row r="5059" spans="2:2">
      <c r="B5059" s="102"/>
    </row>
    <row r="5060" spans="2:2">
      <c r="B5060" s="102"/>
    </row>
    <row r="5061" spans="2:2">
      <c r="B5061" s="102"/>
    </row>
    <row r="5062" spans="2:2">
      <c r="B5062" s="102"/>
    </row>
    <row r="5063" spans="2:2">
      <c r="B5063" s="102"/>
    </row>
    <row r="5064" spans="2:2">
      <c r="B5064" s="102"/>
    </row>
    <row r="5065" spans="2:2">
      <c r="B5065" s="102"/>
    </row>
    <row r="5066" spans="2:2">
      <c r="B5066" s="102"/>
    </row>
    <row r="5067" spans="2:2">
      <c r="B5067" s="102"/>
    </row>
    <row r="5068" spans="2:2">
      <c r="B5068" s="102"/>
    </row>
    <row r="5069" spans="2:2">
      <c r="B5069" s="102"/>
    </row>
    <row r="5070" spans="2:2">
      <c r="B5070" s="102"/>
    </row>
    <row r="5071" spans="2:2">
      <c r="B5071" s="102"/>
    </row>
    <row r="5072" spans="2:2">
      <c r="B5072" s="102"/>
    </row>
    <row r="5073" spans="2:2">
      <c r="B5073" s="102"/>
    </row>
    <row r="5074" spans="2:2">
      <c r="B5074" s="102"/>
    </row>
    <row r="5075" spans="2:2">
      <c r="B5075" s="102"/>
    </row>
    <row r="5076" spans="2:2">
      <c r="B5076" s="102"/>
    </row>
    <row r="5077" spans="2:2">
      <c r="B5077" s="102"/>
    </row>
    <row r="5078" spans="2:2">
      <c r="B5078" s="102"/>
    </row>
    <row r="5079" spans="2:2">
      <c r="B5079" s="102"/>
    </row>
    <row r="5080" spans="2:2">
      <c r="B5080" s="102"/>
    </row>
    <row r="5081" spans="2:2">
      <c r="B5081" s="102"/>
    </row>
    <row r="5082" spans="2:2">
      <c r="B5082" s="102"/>
    </row>
    <row r="5083" spans="2:2">
      <c r="B5083" s="102"/>
    </row>
    <row r="5084" spans="2:2">
      <c r="B5084" s="102"/>
    </row>
    <row r="5085" spans="2:2">
      <c r="B5085" s="102"/>
    </row>
    <row r="5086" spans="2:2">
      <c r="B5086" s="102"/>
    </row>
    <row r="5087" spans="2:2">
      <c r="B5087" s="102"/>
    </row>
    <row r="5088" spans="2:2">
      <c r="B5088" s="102"/>
    </row>
    <row r="5089" spans="2:2">
      <c r="B5089" s="102"/>
    </row>
    <row r="5090" spans="2:2">
      <c r="B5090" s="102"/>
    </row>
    <row r="5091" spans="2:2">
      <c r="B5091" s="102"/>
    </row>
    <row r="5092" spans="2:2">
      <c r="B5092" s="102"/>
    </row>
    <row r="5093" spans="2:2">
      <c r="B5093" s="102"/>
    </row>
    <row r="5094" spans="2:2">
      <c r="B5094" s="102"/>
    </row>
    <row r="5095" spans="2:2">
      <c r="B5095" s="102"/>
    </row>
    <row r="5096" spans="2:2">
      <c r="B5096" s="102"/>
    </row>
    <row r="5097" spans="2:2">
      <c r="B5097" s="102"/>
    </row>
    <row r="5098" spans="2:2">
      <c r="B5098" s="102"/>
    </row>
    <row r="5099" spans="2:2">
      <c r="B5099" s="102"/>
    </row>
    <row r="5100" spans="2:2">
      <c r="B5100" s="102"/>
    </row>
    <row r="5101" spans="2:2">
      <c r="B5101" s="102"/>
    </row>
    <row r="5102" spans="2:2">
      <c r="B5102" s="102"/>
    </row>
    <row r="5103" spans="2:2">
      <c r="B5103" s="102"/>
    </row>
    <row r="5104" spans="2:2">
      <c r="B5104" s="102"/>
    </row>
    <row r="5105" spans="2:2">
      <c r="B5105" s="102"/>
    </row>
    <row r="5106" spans="2:2">
      <c r="B5106" s="102"/>
    </row>
    <row r="5107" spans="2:2">
      <c r="B5107" s="102"/>
    </row>
    <row r="5108" spans="2:2">
      <c r="B5108" s="102"/>
    </row>
    <row r="5109" spans="2:2">
      <c r="B5109" s="102"/>
    </row>
    <row r="5110" spans="2:2">
      <c r="B5110" s="102"/>
    </row>
    <row r="5111" spans="2:2">
      <c r="B5111" s="102"/>
    </row>
    <row r="5112" spans="2:2">
      <c r="B5112" s="102"/>
    </row>
    <row r="5113" spans="2:2">
      <c r="B5113" s="102"/>
    </row>
    <row r="5114" spans="2:2">
      <c r="B5114" s="102"/>
    </row>
    <row r="5115" spans="2:2">
      <c r="B5115" s="102"/>
    </row>
    <row r="5116" spans="2:2">
      <c r="B5116" s="102"/>
    </row>
    <row r="5117" spans="2:2">
      <c r="B5117" s="102"/>
    </row>
    <row r="5118" spans="2:2">
      <c r="B5118" s="102"/>
    </row>
    <row r="5119" spans="2:2">
      <c r="B5119" s="102"/>
    </row>
    <row r="5120" spans="2:2">
      <c r="B5120" s="102"/>
    </row>
    <row r="5121" spans="2:2">
      <c r="B5121" s="102"/>
    </row>
    <row r="5122" spans="2:2">
      <c r="B5122" s="102"/>
    </row>
    <row r="5123" spans="2:2">
      <c r="B5123" s="102"/>
    </row>
    <row r="5124" spans="2:2">
      <c r="B5124" s="102"/>
    </row>
    <row r="5125" spans="2:2">
      <c r="B5125" s="102"/>
    </row>
    <row r="5126" spans="2:2">
      <c r="B5126" s="102"/>
    </row>
    <row r="5127" spans="2:2">
      <c r="B5127" s="102"/>
    </row>
    <row r="5128" spans="2:2">
      <c r="B5128" s="102"/>
    </row>
    <row r="5129" spans="2:2">
      <c r="B5129" s="102"/>
    </row>
    <row r="5130" spans="2:2">
      <c r="B5130" s="102"/>
    </row>
    <row r="5131" spans="2:2">
      <c r="B5131" s="102"/>
    </row>
    <row r="5132" spans="2:2">
      <c r="B5132" s="102"/>
    </row>
    <row r="5133" spans="2:2">
      <c r="B5133" s="102"/>
    </row>
    <row r="5134" spans="2:2">
      <c r="B5134" s="102"/>
    </row>
    <row r="5135" spans="2:2">
      <c r="B5135" s="102"/>
    </row>
    <row r="5136" spans="2:2">
      <c r="B5136" s="102"/>
    </row>
    <row r="5137" spans="2:2">
      <c r="B5137" s="102"/>
    </row>
    <row r="5138" spans="2:2">
      <c r="B5138" s="102"/>
    </row>
    <row r="5139" spans="2:2">
      <c r="B5139" s="102"/>
    </row>
    <row r="5140" spans="2:2">
      <c r="B5140" s="102"/>
    </row>
    <row r="5141" spans="2:2">
      <c r="B5141" s="102"/>
    </row>
    <row r="5142" spans="2:2">
      <c r="B5142" s="102"/>
    </row>
    <row r="5143" spans="2:2">
      <c r="B5143" s="102"/>
    </row>
    <row r="5144" spans="2:2">
      <c r="B5144" s="102"/>
    </row>
    <row r="5145" spans="2:2">
      <c r="B5145" s="102"/>
    </row>
    <row r="5146" spans="2:2">
      <c r="B5146" s="102"/>
    </row>
    <row r="5147" spans="2:2">
      <c r="B5147" s="102"/>
    </row>
    <row r="5148" spans="2:2">
      <c r="B5148" s="102"/>
    </row>
    <row r="5149" spans="2:2">
      <c r="B5149" s="102"/>
    </row>
    <row r="5150" spans="2:2">
      <c r="B5150" s="102"/>
    </row>
    <row r="5151" spans="2:2">
      <c r="B5151" s="102"/>
    </row>
    <row r="5152" spans="2:2">
      <c r="B5152" s="102"/>
    </row>
    <row r="5153" spans="2:2">
      <c r="B5153" s="102"/>
    </row>
    <row r="5154" spans="2:2">
      <c r="B5154" s="102"/>
    </row>
    <row r="5155" spans="2:2">
      <c r="B5155" s="102"/>
    </row>
    <row r="5156" spans="2:2">
      <c r="B5156" s="102"/>
    </row>
    <row r="5157" spans="2:2">
      <c r="B5157" s="102"/>
    </row>
    <row r="5158" spans="2:2">
      <c r="B5158" s="102"/>
    </row>
    <row r="5159" spans="2:2">
      <c r="B5159" s="102"/>
    </row>
    <row r="5160" spans="2:2">
      <c r="B5160" s="102"/>
    </row>
    <row r="5161" spans="2:2">
      <c r="B5161" s="102"/>
    </row>
    <row r="5162" spans="2:2">
      <c r="B5162" s="102"/>
    </row>
    <row r="5163" spans="2:2">
      <c r="B5163" s="102"/>
    </row>
    <row r="5164" spans="2:2">
      <c r="B5164" s="102"/>
    </row>
    <row r="5165" spans="2:2">
      <c r="B5165" s="102"/>
    </row>
    <row r="5166" spans="2:2">
      <c r="B5166" s="102"/>
    </row>
    <row r="5167" spans="2:2">
      <c r="B5167" s="102"/>
    </row>
    <row r="5168" spans="2:2">
      <c r="B5168" s="102"/>
    </row>
    <row r="5169" spans="2:2">
      <c r="B5169" s="102"/>
    </row>
    <row r="5170" spans="2:2">
      <c r="B5170" s="102"/>
    </row>
    <row r="5171" spans="2:2">
      <c r="B5171" s="102"/>
    </row>
    <row r="5172" spans="2:2">
      <c r="B5172" s="102"/>
    </row>
    <row r="5173" spans="2:2">
      <c r="B5173" s="102"/>
    </row>
    <row r="5174" spans="2:2">
      <c r="B5174" s="102"/>
    </row>
    <row r="5175" spans="2:2">
      <c r="B5175" s="102"/>
    </row>
    <row r="5176" spans="2:2">
      <c r="B5176" s="102"/>
    </row>
    <row r="5177" spans="2:2">
      <c r="B5177" s="102"/>
    </row>
    <row r="5178" spans="2:2">
      <c r="B5178" s="102"/>
    </row>
    <row r="5179" spans="2:2">
      <c r="B5179" s="102"/>
    </row>
    <row r="5180" spans="2:2">
      <c r="B5180" s="102"/>
    </row>
    <row r="5181" spans="2:2">
      <c r="B5181" s="102"/>
    </row>
    <row r="5182" spans="2:2">
      <c r="B5182" s="102"/>
    </row>
    <row r="5183" spans="2:2">
      <c r="B5183" s="102"/>
    </row>
    <row r="5184" spans="2:2">
      <c r="B5184" s="102"/>
    </row>
    <row r="5185" spans="2:2">
      <c r="B5185" s="102"/>
    </row>
    <row r="5186" spans="2:2">
      <c r="B5186" s="102"/>
    </row>
    <row r="5187" spans="2:2">
      <c r="B5187" s="102"/>
    </row>
    <row r="5188" spans="2:2">
      <c r="B5188" s="102"/>
    </row>
    <row r="5189" spans="2:2">
      <c r="B5189" s="102"/>
    </row>
    <row r="5190" spans="2:2">
      <c r="B5190" s="102"/>
    </row>
    <row r="5191" spans="2:2">
      <c r="B5191" s="102"/>
    </row>
    <row r="5192" spans="2:2">
      <c r="B5192" s="102"/>
    </row>
    <row r="5193" spans="2:2">
      <c r="B5193" s="102"/>
    </row>
    <row r="5194" spans="2:2">
      <c r="B5194" s="102"/>
    </row>
    <row r="5195" spans="2:2">
      <c r="B5195" s="102"/>
    </row>
    <row r="5196" spans="2:2">
      <c r="B5196" s="102"/>
    </row>
    <row r="5197" spans="2:2">
      <c r="B5197" s="102"/>
    </row>
    <row r="5198" spans="2:2">
      <c r="B5198" s="102"/>
    </row>
    <row r="5199" spans="2:2">
      <c r="B5199" s="102"/>
    </row>
    <row r="5200" spans="2:2">
      <c r="B5200" s="102"/>
    </row>
    <row r="5201" spans="2:2">
      <c r="B5201" s="102"/>
    </row>
    <row r="5202" spans="2:2">
      <c r="B5202" s="102"/>
    </row>
    <row r="5203" spans="2:2">
      <c r="B5203" s="102"/>
    </row>
    <row r="5204" spans="2:2">
      <c r="B5204" s="102"/>
    </row>
    <row r="5205" spans="2:2">
      <c r="B5205" s="102"/>
    </row>
    <row r="5206" spans="2:2">
      <c r="B5206" s="102"/>
    </row>
    <row r="5207" spans="2:2">
      <c r="B5207" s="102"/>
    </row>
    <row r="5208" spans="2:2">
      <c r="B5208" s="102"/>
    </row>
    <row r="5209" spans="2:2">
      <c r="B5209" s="102"/>
    </row>
    <row r="5210" spans="2:2">
      <c r="B5210" s="102"/>
    </row>
    <row r="5211" spans="2:2">
      <c r="B5211" s="102"/>
    </row>
    <row r="5212" spans="2:2">
      <c r="B5212" s="102"/>
    </row>
    <row r="5213" spans="2:2">
      <c r="B5213" s="102"/>
    </row>
    <row r="5214" spans="2:2">
      <c r="B5214" s="102"/>
    </row>
    <row r="5215" spans="2:2">
      <c r="B5215" s="102"/>
    </row>
    <row r="5216" spans="2:2">
      <c r="B5216" s="102"/>
    </row>
    <row r="5217" spans="2:2">
      <c r="B5217" s="102"/>
    </row>
    <row r="5218" spans="2:2">
      <c r="B5218" s="102"/>
    </row>
    <row r="5219" spans="2:2">
      <c r="B5219" s="102"/>
    </row>
    <row r="5220" spans="2:2">
      <c r="B5220" s="102"/>
    </row>
    <row r="5221" spans="2:2">
      <c r="B5221" s="102"/>
    </row>
    <row r="5222" spans="2:2">
      <c r="B5222" s="102"/>
    </row>
    <row r="5223" spans="2:2">
      <c r="B5223" s="102"/>
    </row>
    <row r="5224" spans="2:2">
      <c r="B5224" s="102"/>
    </row>
    <row r="5225" spans="2:2">
      <c r="B5225" s="102"/>
    </row>
    <row r="5226" spans="2:2">
      <c r="B5226" s="102"/>
    </row>
    <row r="5227" spans="2:2">
      <c r="B5227" s="102"/>
    </row>
    <row r="5228" spans="2:2">
      <c r="B5228" s="102"/>
    </row>
    <row r="5229" spans="2:2">
      <c r="B5229" s="102"/>
    </row>
    <row r="5230" spans="2:2">
      <c r="B5230" s="102"/>
    </row>
    <row r="5231" spans="2:2">
      <c r="B5231" s="102"/>
    </row>
    <row r="5232" spans="2:2">
      <c r="B5232" s="102"/>
    </row>
    <row r="5233" spans="2:2">
      <c r="B5233" s="102"/>
    </row>
    <row r="5234" spans="2:2">
      <c r="B5234" s="102"/>
    </row>
    <row r="5235" spans="2:2">
      <c r="B5235" s="102"/>
    </row>
    <row r="5236" spans="2:2">
      <c r="B5236" s="102"/>
    </row>
    <row r="5237" spans="2:2">
      <c r="B5237" s="102"/>
    </row>
    <row r="5238" spans="2:2">
      <c r="B5238" s="102"/>
    </row>
    <row r="5239" spans="2:2">
      <c r="B5239" s="102"/>
    </row>
    <row r="5240" spans="2:2">
      <c r="B5240" s="102"/>
    </row>
    <row r="5241" spans="2:2">
      <c r="B5241" s="102"/>
    </row>
    <row r="5242" spans="2:2">
      <c r="B5242" s="102"/>
    </row>
    <row r="5243" spans="2:2">
      <c r="B5243" s="102"/>
    </row>
    <row r="5244" spans="2:2">
      <c r="B5244" s="102"/>
    </row>
    <row r="5245" spans="2:2">
      <c r="B5245" s="102"/>
    </row>
    <row r="5246" spans="2:2">
      <c r="B5246" s="102"/>
    </row>
    <row r="5247" spans="2:2">
      <c r="B5247" s="102"/>
    </row>
    <row r="5248" spans="2:2">
      <c r="B5248" s="102"/>
    </row>
    <row r="5249" spans="2:2">
      <c r="B5249" s="102"/>
    </row>
    <row r="5250" spans="2:2">
      <c r="B5250" s="102"/>
    </row>
    <row r="5251" spans="2:2">
      <c r="B5251" s="102"/>
    </row>
    <row r="5252" spans="2:2">
      <c r="B5252" s="102"/>
    </row>
    <row r="5253" spans="2:2">
      <c r="B5253" s="102"/>
    </row>
    <row r="5254" spans="2:2">
      <c r="B5254" s="102"/>
    </row>
    <row r="5255" spans="2:2">
      <c r="B5255" s="102"/>
    </row>
    <row r="5256" spans="2:2">
      <c r="B5256" s="102"/>
    </row>
    <row r="5257" spans="2:2">
      <c r="B5257" s="102"/>
    </row>
    <row r="5258" spans="2:2">
      <c r="B5258" s="102"/>
    </row>
    <row r="5259" spans="2:2">
      <c r="B5259" s="102"/>
    </row>
    <row r="5260" spans="2:2">
      <c r="B5260" s="102"/>
    </row>
    <row r="5261" spans="2:2">
      <c r="B5261" s="102"/>
    </row>
    <row r="5262" spans="2:2">
      <c r="B5262" s="102"/>
    </row>
    <row r="5263" spans="2:2">
      <c r="B5263" s="102"/>
    </row>
    <row r="5264" spans="2:2">
      <c r="B5264" s="102"/>
    </row>
    <row r="5265" spans="2:2">
      <c r="B5265" s="102"/>
    </row>
    <row r="5266" spans="2:2">
      <c r="B5266" s="102"/>
    </row>
    <row r="5267" spans="2:2">
      <c r="B5267" s="102"/>
    </row>
    <row r="5268" spans="2:2">
      <c r="B5268" s="102"/>
    </row>
    <row r="5269" spans="2:2">
      <c r="B5269" s="102"/>
    </row>
    <row r="5270" spans="2:2">
      <c r="B5270" s="102"/>
    </row>
    <row r="5271" spans="2:2">
      <c r="B5271" s="102"/>
    </row>
    <row r="5272" spans="2:2">
      <c r="B5272" s="102"/>
    </row>
    <row r="5273" spans="2:2">
      <c r="B5273" s="102"/>
    </row>
    <row r="5274" spans="2:2">
      <c r="B5274" s="102"/>
    </row>
    <row r="5275" spans="2:2">
      <c r="B5275" s="102"/>
    </row>
    <row r="5276" spans="2:2">
      <c r="B5276" s="102"/>
    </row>
    <row r="5277" spans="2:2">
      <c r="B5277" s="102"/>
    </row>
    <row r="5278" spans="2:2">
      <c r="B5278" s="102"/>
    </row>
    <row r="5279" spans="2:2">
      <c r="B5279" s="102"/>
    </row>
    <row r="5280" spans="2:2">
      <c r="B5280" s="102"/>
    </row>
    <row r="5281" spans="2:2">
      <c r="B5281" s="102"/>
    </row>
    <row r="5282" spans="2:2">
      <c r="B5282" s="102"/>
    </row>
    <row r="5283" spans="2:2">
      <c r="B5283" s="102"/>
    </row>
    <row r="5284" spans="2:2">
      <c r="B5284" s="102"/>
    </row>
    <row r="5285" spans="2:2">
      <c r="B5285" s="102"/>
    </row>
    <row r="5286" spans="2:2">
      <c r="B5286" s="102"/>
    </row>
    <row r="5287" spans="2:2">
      <c r="B5287" s="102"/>
    </row>
    <row r="5288" spans="2:2">
      <c r="B5288" s="102"/>
    </row>
    <row r="5289" spans="2:2">
      <c r="B5289" s="102"/>
    </row>
    <row r="5290" spans="2:2">
      <c r="B5290" s="102"/>
    </row>
    <row r="5291" spans="2:2">
      <c r="B5291" s="102"/>
    </row>
    <row r="5292" spans="2:2">
      <c r="B5292" s="102"/>
    </row>
    <row r="5293" spans="2:2">
      <c r="B5293" s="102"/>
    </row>
    <row r="5294" spans="2:2">
      <c r="B5294" s="102"/>
    </row>
    <row r="5295" spans="2:2">
      <c r="B5295" s="102"/>
    </row>
    <row r="5296" spans="2:2">
      <c r="B5296" s="102"/>
    </row>
    <row r="5297" spans="2:2">
      <c r="B5297" s="102"/>
    </row>
    <row r="5298" spans="2:2">
      <c r="B5298" s="102"/>
    </row>
    <row r="5299" spans="2:2">
      <c r="B5299" s="102"/>
    </row>
    <row r="5300" spans="2:2">
      <c r="B5300" s="102"/>
    </row>
    <row r="5301" spans="2:2">
      <c r="B5301" s="102"/>
    </row>
    <row r="5302" spans="2:2">
      <c r="B5302" s="102"/>
    </row>
    <row r="5303" spans="2:2">
      <c r="B5303" s="102"/>
    </row>
    <row r="5304" spans="2:2">
      <c r="B5304" s="102"/>
    </row>
    <row r="5305" spans="2:2">
      <c r="B5305" s="102"/>
    </row>
    <row r="5306" spans="2:2">
      <c r="B5306" s="102"/>
    </row>
    <row r="5307" spans="2:2">
      <c r="B5307" s="102"/>
    </row>
    <row r="5308" spans="2:2">
      <c r="B5308" s="102"/>
    </row>
    <row r="5309" spans="2:2">
      <c r="B5309" s="102"/>
    </row>
    <row r="5310" spans="2:2">
      <c r="B5310" s="102"/>
    </row>
    <row r="5311" spans="2:2">
      <c r="B5311" s="102"/>
    </row>
    <row r="5312" spans="2:2">
      <c r="B5312" s="102"/>
    </row>
    <row r="5313" spans="2:2">
      <c r="B5313" s="102"/>
    </row>
    <row r="5314" spans="2:2">
      <c r="B5314" s="102"/>
    </row>
    <row r="5315" spans="2:2">
      <c r="B5315" s="102"/>
    </row>
    <row r="5316" spans="2:2">
      <c r="B5316" s="102"/>
    </row>
    <row r="5317" spans="2:2">
      <c r="B5317" s="102"/>
    </row>
    <row r="5318" spans="2:2">
      <c r="B5318" s="102"/>
    </row>
    <row r="5319" spans="2:2">
      <c r="B5319" s="102"/>
    </row>
    <row r="5320" spans="2:2">
      <c r="B5320" s="102"/>
    </row>
    <row r="5321" spans="2:2">
      <c r="B5321" s="102"/>
    </row>
    <row r="5322" spans="2:2">
      <c r="B5322" s="102"/>
    </row>
    <row r="5323" spans="2:2">
      <c r="B5323" s="102"/>
    </row>
    <row r="5324" spans="2:2">
      <c r="B5324" s="102"/>
    </row>
    <row r="5325" spans="2:2">
      <c r="B5325" s="102"/>
    </row>
    <row r="5326" spans="2:2">
      <c r="B5326" s="102"/>
    </row>
    <row r="5327" spans="2:2">
      <c r="B5327" s="102"/>
    </row>
    <row r="5328" spans="2:2">
      <c r="B5328" s="102"/>
    </row>
    <row r="5329" spans="2:2">
      <c r="B5329" s="102"/>
    </row>
    <row r="5330" spans="2:2">
      <c r="B5330" s="102"/>
    </row>
    <row r="5331" spans="2:2">
      <c r="B5331" s="102"/>
    </row>
    <row r="5332" spans="2:2">
      <c r="B5332" s="102"/>
    </row>
    <row r="5333" spans="2:2">
      <c r="B5333" s="102"/>
    </row>
    <row r="5334" spans="2:2">
      <c r="B5334" s="102"/>
    </row>
    <row r="5335" spans="2:2">
      <c r="B5335" s="102"/>
    </row>
    <row r="5336" spans="2:2">
      <c r="B5336" s="102"/>
    </row>
    <row r="5337" spans="2:2">
      <c r="B5337" s="102"/>
    </row>
    <row r="5338" spans="2:2">
      <c r="B5338" s="102"/>
    </row>
    <row r="5339" spans="2:2">
      <c r="B5339" s="102"/>
    </row>
    <row r="5340" spans="2:2">
      <c r="B5340" s="102"/>
    </row>
    <row r="5341" spans="2:2">
      <c r="B5341" s="102"/>
    </row>
    <row r="5342" spans="2:2">
      <c r="B5342" s="102"/>
    </row>
    <row r="5343" spans="2:2">
      <c r="B5343" s="102"/>
    </row>
    <row r="5344" spans="2:2">
      <c r="B5344" s="102"/>
    </row>
    <row r="5345" spans="2:2">
      <c r="B5345" s="102"/>
    </row>
    <row r="5346" spans="2:2">
      <c r="B5346" s="102"/>
    </row>
    <row r="5347" spans="2:2">
      <c r="B5347" s="102"/>
    </row>
    <row r="5348" spans="2:2">
      <c r="B5348" s="102"/>
    </row>
    <row r="5349" spans="2:2">
      <c r="B5349" s="102"/>
    </row>
    <row r="5350" spans="2:2">
      <c r="B5350" s="102"/>
    </row>
    <row r="5351" spans="2:2">
      <c r="B5351" s="102"/>
    </row>
    <row r="5352" spans="2:2">
      <c r="B5352" s="102"/>
    </row>
    <row r="5353" spans="2:2">
      <c r="B5353" s="102"/>
    </row>
    <row r="5354" spans="2:2">
      <c r="B5354" s="102"/>
    </row>
    <row r="5355" spans="2:2">
      <c r="B5355" s="102"/>
    </row>
    <row r="5356" spans="2:2">
      <c r="B5356" s="102"/>
    </row>
    <row r="5357" spans="2:2">
      <c r="B5357" s="102"/>
    </row>
    <row r="5358" spans="2:2">
      <c r="B5358" s="102"/>
    </row>
    <row r="5359" spans="2:2">
      <c r="B5359" s="102"/>
    </row>
    <row r="5360" spans="2:2">
      <c r="B5360" s="102"/>
    </row>
    <row r="5361" spans="2:2">
      <c r="B5361" s="102"/>
    </row>
    <row r="5362" spans="2:2">
      <c r="B5362" s="102"/>
    </row>
    <row r="5363" spans="2:2">
      <c r="B5363" s="102"/>
    </row>
    <row r="5364" spans="2:2">
      <c r="B5364" s="102"/>
    </row>
    <row r="5365" spans="2:2">
      <c r="B5365" s="102"/>
    </row>
    <row r="5366" spans="2:2">
      <c r="B5366" s="102"/>
    </row>
    <row r="5367" spans="2:2">
      <c r="B5367" s="102"/>
    </row>
    <row r="5368" spans="2:2">
      <c r="B5368" s="102"/>
    </row>
    <row r="5369" spans="2:2">
      <c r="B5369" s="102"/>
    </row>
    <row r="5370" spans="2:2">
      <c r="B5370" s="102"/>
    </row>
    <row r="5371" spans="2:2">
      <c r="B5371" s="102"/>
    </row>
    <row r="5372" spans="2:2">
      <c r="B5372" s="102"/>
    </row>
    <row r="5373" spans="2:2">
      <c r="B5373" s="102"/>
    </row>
    <row r="5374" spans="2:2">
      <c r="B5374" s="102"/>
    </row>
    <row r="5375" spans="2:2">
      <c r="B5375" s="102"/>
    </row>
    <row r="5376" spans="2:2">
      <c r="B5376" s="102"/>
    </row>
    <row r="5377" spans="2:2">
      <c r="B5377" s="102"/>
    </row>
    <row r="5378" spans="2:2">
      <c r="B5378" s="102"/>
    </row>
    <row r="5379" spans="2:2">
      <c r="B5379" s="102"/>
    </row>
    <row r="5380" spans="2:2">
      <c r="B5380" s="102"/>
    </row>
    <row r="5381" spans="2:2">
      <c r="B5381" s="102"/>
    </row>
    <row r="5382" spans="2:2">
      <c r="B5382" s="102"/>
    </row>
    <row r="5383" spans="2:2">
      <c r="B5383" s="102"/>
    </row>
    <row r="5384" spans="2:2">
      <c r="B5384" s="102"/>
    </row>
    <row r="5385" spans="2:2">
      <c r="B5385" s="102"/>
    </row>
    <row r="5386" spans="2:2">
      <c r="B5386" s="102"/>
    </row>
    <row r="5387" spans="2:2">
      <c r="B5387" s="102"/>
    </row>
    <row r="5388" spans="2:2">
      <c r="B5388" s="102"/>
    </row>
    <row r="5389" spans="2:2">
      <c r="B5389" s="102"/>
    </row>
    <row r="5390" spans="2:2">
      <c r="B5390" s="102"/>
    </row>
    <row r="5391" spans="2:2">
      <c r="B5391" s="102"/>
    </row>
    <row r="5392" spans="2:2">
      <c r="B5392" s="102"/>
    </row>
    <row r="5393" spans="2:2">
      <c r="B5393" s="102"/>
    </row>
    <row r="5394" spans="2:2">
      <c r="B5394" s="102"/>
    </row>
    <row r="5395" spans="2:2">
      <c r="B5395" s="102"/>
    </row>
    <row r="5396" spans="2:2">
      <c r="B5396" s="102"/>
    </row>
    <row r="5397" spans="2:2">
      <c r="B5397" s="102"/>
    </row>
    <row r="5398" spans="2:2">
      <c r="B5398" s="102"/>
    </row>
    <row r="5399" spans="2:2">
      <c r="B5399" s="102"/>
    </row>
    <row r="5400" spans="2:2">
      <c r="B5400" s="102"/>
    </row>
    <row r="5401" spans="2:2">
      <c r="B5401" s="102"/>
    </row>
    <row r="5402" spans="2:2">
      <c r="B5402" s="102"/>
    </row>
    <row r="5403" spans="2:2">
      <c r="B5403" s="102"/>
    </row>
    <row r="5404" spans="2:2">
      <c r="B5404" s="102"/>
    </row>
    <row r="5405" spans="2:2">
      <c r="B5405" s="102"/>
    </row>
    <row r="5406" spans="2:2">
      <c r="B5406" s="102"/>
    </row>
    <row r="5407" spans="2:2">
      <c r="B5407" s="102"/>
    </row>
    <row r="5408" spans="2:2">
      <c r="B5408" s="102"/>
    </row>
    <row r="5409" spans="2:2">
      <c r="B5409" s="102"/>
    </row>
    <row r="5410" spans="2:2">
      <c r="B5410" s="102"/>
    </row>
    <row r="5411" spans="2:2">
      <c r="B5411" s="102"/>
    </row>
    <row r="5412" spans="2:2">
      <c r="B5412" s="102"/>
    </row>
    <row r="5413" spans="2:2">
      <c r="B5413" s="102"/>
    </row>
    <row r="5414" spans="2:2">
      <c r="B5414" s="102"/>
    </row>
    <row r="5415" spans="2:2">
      <c r="B5415" s="102"/>
    </row>
    <row r="5416" spans="2:2">
      <c r="B5416" s="102"/>
    </row>
    <row r="5417" spans="2:2">
      <c r="B5417" s="102"/>
    </row>
    <row r="5418" spans="2:2">
      <c r="B5418" s="102"/>
    </row>
    <row r="5419" spans="2:2">
      <c r="B5419" s="102"/>
    </row>
    <row r="5420" spans="2:2">
      <c r="B5420" s="102"/>
    </row>
    <row r="5421" spans="2:2">
      <c r="B5421" s="102"/>
    </row>
    <row r="5422" spans="2:2">
      <c r="B5422" s="102"/>
    </row>
    <row r="5423" spans="2:2">
      <c r="B5423" s="102"/>
    </row>
    <row r="5424" spans="2:2">
      <c r="B5424" s="102"/>
    </row>
    <row r="5425" spans="2:2">
      <c r="B5425" s="102"/>
    </row>
    <row r="5426" spans="2:2">
      <c r="B5426" s="102"/>
    </row>
    <row r="5427" spans="2:2">
      <c r="B5427" s="102"/>
    </row>
    <row r="5428" spans="2:2">
      <c r="B5428" s="102"/>
    </row>
    <row r="5429" spans="2:2">
      <c r="B5429" s="102"/>
    </row>
    <row r="5430" spans="2:2">
      <c r="B5430" s="102"/>
    </row>
    <row r="5431" spans="2:2">
      <c r="B5431" s="102"/>
    </row>
    <row r="5432" spans="2:2">
      <c r="B5432" s="102"/>
    </row>
    <row r="5433" spans="2:2">
      <c r="B5433" s="102"/>
    </row>
    <row r="5434" spans="2:2">
      <c r="B5434" s="102"/>
    </row>
    <row r="5435" spans="2:2">
      <c r="B5435" s="102"/>
    </row>
    <row r="5436" spans="2:2">
      <c r="B5436" s="102"/>
    </row>
    <row r="5437" spans="2:2">
      <c r="B5437" s="102"/>
    </row>
    <row r="5438" spans="2:2">
      <c r="B5438" s="102"/>
    </row>
    <row r="5439" spans="2:2">
      <c r="B5439" s="102"/>
    </row>
    <row r="5440" spans="2:2">
      <c r="B5440" s="102"/>
    </row>
    <row r="5441" spans="2:2">
      <c r="B5441" s="102"/>
    </row>
    <row r="5442" spans="2:2">
      <c r="B5442" s="102"/>
    </row>
    <row r="5443" spans="2:2">
      <c r="B5443" s="102"/>
    </row>
    <row r="5444" spans="2:2">
      <c r="B5444" s="102"/>
    </row>
    <row r="5445" spans="2:2">
      <c r="B5445" s="102"/>
    </row>
    <row r="5446" spans="2:2">
      <c r="B5446" s="102"/>
    </row>
    <row r="5447" spans="2:2">
      <c r="B5447" s="102"/>
    </row>
    <row r="5448" spans="2:2">
      <c r="B5448" s="102"/>
    </row>
    <row r="5449" spans="2:2">
      <c r="B5449" s="102"/>
    </row>
    <row r="5450" spans="2:2">
      <c r="B5450" s="102"/>
    </row>
    <row r="5451" spans="2:2">
      <c r="B5451" s="102"/>
    </row>
    <row r="5452" spans="2:2">
      <c r="B5452" s="102"/>
    </row>
    <row r="5453" spans="2:2">
      <c r="B5453" s="102"/>
    </row>
    <row r="5454" spans="2:2">
      <c r="B5454" s="102"/>
    </row>
    <row r="5455" spans="2:2">
      <c r="B5455" s="102"/>
    </row>
    <row r="5456" spans="2:2">
      <c r="B5456" s="102"/>
    </row>
    <row r="5457" spans="2:2">
      <c r="B5457" s="102"/>
    </row>
    <row r="5458" spans="2:2">
      <c r="B5458" s="102"/>
    </row>
    <row r="5459" spans="2:2">
      <c r="B5459" s="102"/>
    </row>
    <row r="5460" spans="2:2">
      <c r="B5460" s="102"/>
    </row>
    <row r="5461" spans="2:2">
      <c r="B5461" s="102"/>
    </row>
    <row r="5462" spans="2:2">
      <c r="B5462" s="102"/>
    </row>
    <row r="5463" spans="2:2">
      <c r="B5463" s="102"/>
    </row>
    <row r="5464" spans="2:2">
      <c r="B5464" s="102"/>
    </row>
    <row r="5465" spans="2:2">
      <c r="B5465" s="102"/>
    </row>
    <row r="5466" spans="2:2">
      <c r="B5466" s="102"/>
    </row>
    <row r="5467" spans="2:2">
      <c r="B5467" s="102"/>
    </row>
    <row r="5468" spans="2:2">
      <c r="B5468" s="102"/>
    </row>
    <row r="5469" spans="2:2">
      <c r="B5469" s="102"/>
    </row>
    <row r="5470" spans="2:2">
      <c r="B5470" s="102"/>
    </row>
    <row r="5471" spans="2:2">
      <c r="B5471" s="102"/>
    </row>
    <row r="5472" spans="2:2">
      <c r="B5472" s="102"/>
    </row>
    <row r="5473" spans="2:2">
      <c r="B5473" s="102"/>
    </row>
    <row r="5474" spans="2:2">
      <c r="B5474" s="102"/>
    </row>
    <row r="5475" spans="2:2">
      <c r="B5475" s="102"/>
    </row>
    <row r="5476" spans="2:2">
      <c r="B5476" s="102"/>
    </row>
    <row r="5477" spans="2:2">
      <c r="B5477" s="102"/>
    </row>
    <row r="5478" spans="2:2">
      <c r="B5478" s="102"/>
    </row>
    <row r="5479" spans="2:2">
      <c r="B5479" s="102"/>
    </row>
    <row r="5480" spans="2:2">
      <c r="B5480" s="102"/>
    </row>
    <row r="5481" spans="2:2">
      <c r="B5481" s="102"/>
    </row>
    <row r="5482" spans="2:2">
      <c r="B5482" s="102"/>
    </row>
    <row r="5483" spans="2:2">
      <c r="B5483" s="102"/>
    </row>
    <row r="5484" spans="2:2">
      <c r="B5484" s="102"/>
    </row>
    <row r="5485" spans="2:2">
      <c r="B5485" s="102"/>
    </row>
    <row r="5486" spans="2:2">
      <c r="B5486" s="102"/>
    </row>
    <row r="5487" spans="2:2">
      <c r="B5487" s="102"/>
    </row>
    <row r="5488" spans="2:2">
      <c r="B5488" s="102"/>
    </row>
    <row r="5489" spans="2:2">
      <c r="B5489" s="102"/>
    </row>
    <row r="5490" spans="2:2">
      <c r="B5490" s="102"/>
    </row>
    <row r="5491" spans="2:2">
      <c r="B5491" s="102"/>
    </row>
    <row r="5492" spans="2:2">
      <c r="B5492" s="102"/>
    </row>
    <row r="5493" spans="2:2">
      <c r="B5493" s="102"/>
    </row>
    <row r="5494" spans="2:2">
      <c r="B5494" s="102"/>
    </row>
    <row r="5495" spans="2:2">
      <c r="B5495" s="102"/>
    </row>
    <row r="5496" spans="2:2">
      <c r="B5496" s="102"/>
    </row>
    <row r="5497" spans="2:2">
      <c r="B5497" s="102"/>
    </row>
    <row r="5498" spans="2:2">
      <c r="B5498" s="102"/>
    </row>
    <row r="5499" spans="2:2">
      <c r="B5499" s="102"/>
    </row>
    <row r="5500" spans="2:2">
      <c r="B5500" s="102"/>
    </row>
    <row r="5501" spans="2:2">
      <c r="B5501" s="102"/>
    </row>
    <row r="5502" spans="2:2">
      <c r="B5502" s="102"/>
    </row>
    <row r="5503" spans="2:2">
      <c r="B5503" s="102"/>
    </row>
    <row r="5504" spans="2:2">
      <c r="B5504" s="102"/>
    </row>
    <row r="5505" spans="2:2">
      <c r="B5505" s="102"/>
    </row>
    <row r="5506" spans="2:2">
      <c r="B5506" s="102"/>
    </row>
    <row r="5507" spans="2:2">
      <c r="B5507" s="102"/>
    </row>
    <row r="5508" spans="2:2">
      <c r="B5508" s="102"/>
    </row>
    <row r="5509" spans="2:2">
      <c r="B5509" s="102"/>
    </row>
    <row r="5510" spans="2:2">
      <c r="B5510" s="102"/>
    </row>
    <row r="5511" spans="2:2">
      <c r="B5511" s="102"/>
    </row>
    <row r="5512" spans="2:2">
      <c r="B5512" s="102"/>
    </row>
    <row r="5513" spans="2:2">
      <c r="B5513" s="102"/>
    </row>
    <row r="5514" spans="2:2">
      <c r="B5514" s="102"/>
    </row>
    <row r="5515" spans="2:2">
      <c r="B5515" s="102"/>
    </row>
    <row r="5516" spans="2:2">
      <c r="B5516" s="102"/>
    </row>
    <row r="5517" spans="2:2">
      <c r="B5517" s="102"/>
    </row>
    <row r="5518" spans="2:2">
      <c r="B5518" s="102"/>
    </row>
    <row r="5519" spans="2:2">
      <c r="B5519" s="102"/>
    </row>
    <row r="5520" spans="2:2">
      <c r="B5520" s="102"/>
    </row>
    <row r="5521" spans="2:2">
      <c r="B5521" s="102"/>
    </row>
    <row r="5522" spans="2:2">
      <c r="B5522" s="102"/>
    </row>
    <row r="5523" spans="2:2">
      <c r="B5523" s="102"/>
    </row>
    <row r="5524" spans="2:2">
      <c r="B5524" s="102"/>
    </row>
    <row r="5525" spans="2:2">
      <c r="B5525" s="102"/>
    </row>
    <row r="5526" spans="2:2">
      <c r="B5526" s="102"/>
    </row>
    <row r="5527" spans="2:2">
      <c r="B5527" s="102"/>
    </row>
    <row r="5528" spans="2:2">
      <c r="B5528" s="102"/>
    </row>
    <row r="5529" spans="2:2">
      <c r="B5529" s="102"/>
    </row>
    <row r="5530" spans="2:2">
      <c r="B5530" s="102"/>
    </row>
    <row r="5531" spans="2:2">
      <c r="B5531" s="102"/>
    </row>
    <row r="5532" spans="2:2">
      <c r="B5532" s="102"/>
    </row>
    <row r="5533" spans="2:2">
      <c r="B5533" s="102"/>
    </row>
    <row r="5534" spans="2:2">
      <c r="B5534" s="102"/>
    </row>
    <row r="5535" spans="2:2">
      <c r="B5535" s="102"/>
    </row>
    <row r="5536" spans="2:2">
      <c r="B5536" s="102"/>
    </row>
    <row r="5537" spans="2:2">
      <c r="B5537" s="102"/>
    </row>
    <row r="5538" spans="2:2">
      <c r="B5538" s="102"/>
    </row>
    <row r="5539" spans="2:2">
      <c r="B5539" s="102"/>
    </row>
    <row r="5540" spans="2:2">
      <c r="B5540" s="102"/>
    </row>
    <row r="5541" spans="2:2">
      <c r="B5541" s="102"/>
    </row>
    <row r="5542" spans="2:2">
      <c r="B5542" s="102"/>
    </row>
    <row r="5543" spans="2:2">
      <c r="B5543" s="102"/>
    </row>
    <row r="5544" spans="2:2">
      <c r="B5544" s="102"/>
    </row>
    <row r="5545" spans="2:2">
      <c r="B5545" s="102"/>
    </row>
    <row r="5546" spans="2:2">
      <c r="B5546" s="102"/>
    </row>
    <row r="5547" spans="2:2">
      <c r="B5547" s="102"/>
    </row>
    <row r="5548" spans="2:2">
      <c r="B5548" s="102"/>
    </row>
    <row r="5549" spans="2:2">
      <c r="B5549" s="102"/>
    </row>
    <row r="5550" spans="2:2">
      <c r="B5550" s="102"/>
    </row>
    <row r="5551" spans="2:2">
      <c r="B5551" s="102"/>
    </row>
    <row r="5552" spans="2:2">
      <c r="B5552" s="102"/>
    </row>
    <row r="5553" spans="2:2">
      <c r="B5553" s="102"/>
    </row>
    <row r="5554" spans="2:2">
      <c r="B5554" s="102"/>
    </row>
    <row r="5555" spans="2:2">
      <c r="B5555" s="102"/>
    </row>
    <row r="5556" spans="2:2">
      <c r="B5556" s="102"/>
    </row>
    <row r="5557" spans="2:2">
      <c r="B5557" s="102"/>
    </row>
    <row r="5558" spans="2:2">
      <c r="B5558" s="102"/>
    </row>
    <row r="5559" spans="2:2">
      <c r="B5559" s="102"/>
    </row>
    <row r="5560" spans="2:2">
      <c r="B5560" s="102"/>
    </row>
    <row r="5561" spans="2:2">
      <c r="B5561" s="102"/>
    </row>
    <row r="5562" spans="2:2">
      <c r="B5562" s="102"/>
    </row>
    <row r="5563" spans="2:2">
      <c r="B5563" s="102"/>
    </row>
    <row r="5564" spans="2:2">
      <c r="B5564" s="102"/>
    </row>
    <row r="5565" spans="2:2">
      <c r="B5565" s="102"/>
    </row>
    <row r="5566" spans="2:2">
      <c r="B5566" s="102"/>
    </row>
    <row r="5567" spans="2:2">
      <c r="B5567" s="102"/>
    </row>
    <row r="5568" spans="2:2">
      <c r="B5568" s="102"/>
    </row>
    <row r="5569" spans="2:2">
      <c r="B5569" s="102"/>
    </row>
    <row r="5570" spans="2:2">
      <c r="B5570" s="102"/>
    </row>
    <row r="5571" spans="2:2">
      <c r="B5571" s="102"/>
    </row>
    <row r="5572" spans="2:2">
      <c r="B5572" s="102"/>
    </row>
    <row r="5573" spans="2:2">
      <c r="B5573" s="102"/>
    </row>
    <row r="5574" spans="2:2">
      <c r="B5574" s="102"/>
    </row>
    <row r="5575" spans="2:2">
      <c r="B5575" s="102"/>
    </row>
    <row r="5576" spans="2:2">
      <c r="B5576" s="102"/>
    </row>
    <row r="5577" spans="2:2">
      <c r="B5577" s="102"/>
    </row>
    <row r="5578" spans="2:2">
      <c r="B5578" s="102"/>
    </row>
    <row r="5579" spans="2:2">
      <c r="B5579" s="102"/>
    </row>
    <row r="5580" spans="2:2">
      <c r="B5580" s="102"/>
    </row>
    <row r="5581" spans="2:2">
      <c r="B5581" s="102"/>
    </row>
    <row r="5582" spans="2:2">
      <c r="B5582" s="102"/>
    </row>
    <row r="5583" spans="2:2">
      <c r="B5583" s="102"/>
    </row>
    <row r="5584" spans="2:2">
      <c r="B5584" s="102"/>
    </row>
    <row r="5585" spans="2:2">
      <c r="B5585" s="102"/>
    </row>
    <row r="5586" spans="2:2">
      <c r="B5586" s="102"/>
    </row>
    <row r="5587" spans="2:2">
      <c r="B5587" s="102"/>
    </row>
    <row r="5588" spans="2:2">
      <c r="B5588" s="102"/>
    </row>
    <row r="5589" spans="2:2">
      <c r="B5589" s="102"/>
    </row>
    <row r="5590" spans="2:2">
      <c r="B5590" s="102"/>
    </row>
    <row r="5591" spans="2:2">
      <c r="B5591" s="102"/>
    </row>
    <row r="5592" spans="2:2">
      <c r="B5592" s="102"/>
    </row>
    <row r="5593" spans="2:2">
      <c r="B5593" s="102"/>
    </row>
    <row r="5594" spans="2:2">
      <c r="B5594" s="102"/>
    </row>
    <row r="5595" spans="2:2">
      <c r="B5595" s="102"/>
    </row>
    <row r="5596" spans="2:2">
      <c r="B5596" s="102"/>
    </row>
    <row r="5597" spans="2:2">
      <c r="B5597" s="102"/>
    </row>
    <row r="5598" spans="2:2">
      <c r="B5598" s="102"/>
    </row>
    <row r="5599" spans="2:2">
      <c r="B5599" s="102"/>
    </row>
    <row r="5600" spans="2:2">
      <c r="B5600" s="102"/>
    </row>
    <row r="5601" spans="2:2">
      <c r="B5601" s="102"/>
    </row>
    <row r="5602" spans="2:2">
      <c r="B5602" s="102"/>
    </row>
    <row r="5603" spans="2:2">
      <c r="B5603" s="102"/>
    </row>
    <row r="5604" spans="2:2">
      <c r="B5604" s="102"/>
    </row>
    <row r="5605" spans="2:2">
      <c r="B5605" s="102"/>
    </row>
    <row r="5606" spans="2:2">
      <c r="B5606" s="102"/>
    </row>
    <row r="5607" spans="2:2">
      <c r="B5607" s="102"/>
    </row>
    <row r="5608" spans="2:2">
      <c r="B5608" s="102"/>
    </row>
    <row r="5609" spans="2:2">
      <c r="B5609" s="102"/>
    </row>
    <row r="5610" spans="2:2">
      <c r="B5610" s="102"/>
    </row>
    <row r="5611" spans="2:2">
      <c r="B5611" s="102"/>
    </row>
    <row r="5612" spans="2:2">
      <c r="B5612" s="102"/>
    </row>
    <row r="5613" spans="2:2">
      <c r="B5613" s="102"/>
    </row>
    <row r="5614" spans="2:2">
      <c r="B5614" s="102"/>
    </row>
    <row r="5615" spans="2:2">
      <c r="B5615" s="102"/>
    </row>
    <row r="5616" spans="2:2">
      <c r="B5616" s="102"/>
    </row>
    <row r="5617" spans="2:2">
      <c r="B5617" s="102"/>
    </row>
    <row r="5618" spans="2:2">
      <c r="B5618" s="102"/>
    </row>
    <row r="5619" spans="2:2">
      <c r="B5619" s="102"/>
    </row>
    <row r="5620" spans="2:2">
      <c r="B5620" s="102"/>
    </row>
    <row r="5621" spans="2:2">
      <c r="B5621" s="102"/>
    </row>
    <row r="5622" spans="2:2">
      <c r="B5622" s="102"/>
    </row>
    <row r="5623" spans="2:2">
      <c r="B5623" s="102"/>
    </row>
    <row r="5624" spans="2:2">
      <c r="B5624" s="102"/>
    </row>
    <row r="5625" spans="2:2">
      <c r="B5625" s="102"/>
    </row>
    <row r="5626" spans="2:2">
      <c r="B5626" s="102"/>
    </row>
    <row r="5627" spans="2:2">
      <c r="B5627" s="102"/>
    </row>
    <row r="5628" spans="2:2">
      <c r="B5628" s="102"/>
    </row>
    <row r="5629" spans="2:2">
      <c r="B5629" s="102"/>
    </row>
    <row r="5630" spans="2:2">
      <c r="B5630" s="102"/>
    </row>
    <row r="5631" spans="2:2">
      <c r="B5631" s="102"/>
    </row>
    <row r="5632" spans="2:2">
      <c r="B5632" s="102"/>
    </row>
    <row r="5633" spans="2:2">
      <c r="B5633" s="102"/>
    </row>
    <row r="5634" spans="2:2">
      <c r="B5634" s="102"/>
    </row>
    <row r="5635" spans="2:2">
      <c r="B5635" s="102"/>
    </row>
    <row r="5636" spans="2:2">
      <c r="B5636" s="102"/>
    </row>
    <row r="5637" spans="2:2">
      <c r="B5637" s="102"/>
    </row>
    <row r="5638" spans="2:2">
      <c r="B5638" s="102"/>
    </row>
    <row r="5639" spans="2:2">
      <c r="B5639" s="102"/>
    </row>
    <row r="5640" spans="2:2">
      <c r="B5640" s="102"/>
    </row>
    <row r="5641" spans="2:2">
      <c r="B5641" s="102"/>
    </row>
    <row r="5642" spans="2:2">
      <c r="B5642" s="102"/>
    </row>
    <row r="5643" spans="2:2">
      <c r="B5643" s="102"/>
    </row>
    <row r="5644" spans="2:2">
      <c r="B5644" s="102"/>
    </row>
    <row r="5645" spans="2:2">
      <c r="B5645" s="102"/>
    </row>
    <row r="5646" spans="2:2">
      <c r="B5646" s="102"/>
    </row>
    <row r="5647" spans="2:2">
      <c r="B5647" s="102"/>
    </row>
    <row r="5648" spans="2:2">
      <c r="B5648" s="102"/>
    </row>
    <row r="5649" spans="2:2">
      <c r="B5649" s="102"/>
    </row>
    <row r="5650" spans="2:2">
      <c r="B5650" s="102"/>
    </row>
    <row r="5651" spans="2:2">
      <c r="B5651" s="102"/>
    </row>
    <row r="5652" spans="2:2">
      <c r="B5652" s="102"/>
    </row>
    <row r="5653" spans="2:2">
      <c r="B5653" s="102"/>
    </row>
    <row r="5654" spans="2:2">
      <c r="B5654" s="102"/>
    </row>
    <row r="5655" spans="2:2">
      <c r="B5655" s="102"/>
    </row>
    <row r="5656" spans="2:2">
      <c r="B5656" s="102"/>
    </row>
    <row r="5657" spans="2:2">
      <c r="B5657" s="102"/>
    </row>
    <row r="5658" spans="2:2">
      <c r="B5658" s="102"/>
    </row>
    <row r="5659" spans="2:2">
      <c r="B5659" s="102"/>
    </row>
    <row r="5660" spans="2:2">
      <c r="B5660" s="102"/>
    </row>
    <row r="5661" spans="2:2">
      <c r="B5661" s="102"/>
    </row>
    <row r="5662" spans="2:2">
      <c r="B5662" s="102"/>
    </row>
    <row r="5663" spans="2:2">
      <c r="B5663" s="102"/>
    </row>
    <row r="5664" spans="2:2">
      <c r="B5664" s="102"/>
    </row>
    <row r="5665" spans="2:2">
      <c r="B5665" s="102"/>
    </row>
    <row r="5666" spans="2:2">
      <c r="B5666" s="102"/>
    </row>
    <row r="5667" spans="2:2">
      <c r="B5667" s="102"/>
    </row>
    <row r="5668" spans="2:2">
      <c r="B5668" s="102"/>
    </row>
    <row r="5669" spans="2:2">
      <c r="B5669" s="102"/>
    </row>
    <row r="5670" spans="2:2">
      <c r="B5670" s="102"/>
    </row>
    <row r="5671" spans="2:2">
      <c r="B5671" s="102"/>
    </row>
    <row r="5672" spans="2:2">
      <c r="B5672" s="102"/>
    </row>
    <row r="5673" spans="2:2">
      <c r="B5673" s="102"/>
    </row>
    <row r="5674" spans="2:2">
      <c r="B5674" s="102"/>
    </row>
    <row r="5675" spans="2:2">
      <c r="B5675" s="102"/>
    </row>
    <row r="5676" spans="2:2">
      <c r="B5676" s="102"/>
    </row>
    <row r="5677" spans="2:2">
      <c r="B5677" s="102"/>
    </row>
    <row r="5678" spans="2:2">
      <c r="B5678" s="102"/>
    </row>
    <row r="5679" spans="2:2">
      <c r="B5679" s="102"/>
    </row>
    <row r="5680" spans="2:2">
      <c r="B5680" s="102"/>
    </row>
    <row r="5681" spans="2:2">
      <c r="B5681" s="102"/>
    </row>
    <row r="5682" spans="2:2">
      <c r="B5682" s="102"/>
    </row>
    <row r="5683" spans="2:2">
      <c r="B5683" s="102"/>
    </row>
    <row r="5684" spans="2:2">
      <c r="B5684" s="102"/>
    </row>
    <row r="5685" spans="2:2">
      <c r="B5685" s="102"/>
    </row>
    <row r="5686" spans="2:2">
      <c r="B5686" s="102"/>
    </row>
    <row r="5687" spans="2:2">
      <c r="B5687" s="102"/>
    </row>
    <row r="5688" spans="2:2">
      <c r="B5688" s="102"/>
    </row>
    <row r="5689" spans="2:2">
      <c r="B5689" s="102"/>
    </row>
    <row r="5690" spans="2:2">
      <c r="B5690" s="102"/>
    </row>
    <row r="5691" spans="2:2">
      <c r="B5691" s="102"/>
    </row>
    <row r="5692" spans="2:2">
      <c r="B5692" s="102"/>
    </row>
    <row r="5693" spans="2:2">
      <c r="B5693" s="102"/>
    </row>
    <row r="5694" spans="2:2">
      <c r="B5694" s="102"/>
    </row>
    <row r="5695" spans="2:2">
      <c r="B5695" s="102"/>
    </row>
    <row r="5696" spans="2:2">
      <c r="B5696" s="102"/>
    </row>
    <row r="5697" spans="2:2">
      <c r="B5697" s="102"/>
    </row>
    <row r="5698" spans="2:2">
      <c r="B5698" s="102"/>
    </row>
    <row r="5699" spans="2:2">
      <c r="B5699" s="102"/>
    </row>
    <row r="5700" spans="2:2">
      <c r="B5700" s="102"/>
    </row>
    <row r="5701" spans="2:2">
      <c r="B5701" s="102"/>
    </row>
    <row r="5702" spans="2:2">
      <c r="B5702" s="102"/>
    </row>
    <row r="5703" spans="2:2">
      <c r="B5703" s="102"/>
    </row>
    <row r="5704" spans="2:2">
      <c r="B5704" s="102"/>
    </row>
    <row r="5705" spans="2:2">
      <c r="B5705" s="102"/>
    </row>
    <row r="5706" spans="2:2">
      <c r="B5706" s="102"/>
    </row>
    <row r="5707" spans="2:2">
      <c r="B5707" s="102"/>
    </row>
    <row r="5708" spans="2:2">
      <c r="B5708" s="102"/>
    </row>
    <row r="5709" spans="2:2">
      <c r="B5709" s="102"/>
    </row>
    <row r="5710" spans="2:2">
      <c r="B5710" s="102"/>
    </row>
    <row r="5711" spans="2:2">
      <c r="B5711" s="102"/>
    </row>
    <row r="5712" spans="2:2">
      <c r="B5712" s="102"/>
    </row>
    <row r="5713" spans="2:2">
      <c r="B5713" s="102"/>
    </row>
    <row r="5714" spans="2:2">
      <c r="B5714" s="102"/>
    </row>
    <row r="5715" spans="2:2">
      <c r="B5715" s="102"/>
    </row>
    <row r="5716" spans="2:2">
      <c r="B5716" s="102"/>
    </row>
    <row r="5717" spans="2:2">
      <c r="B5717" s="102"/>
    </row>
    <row r="5718" spans="2:2">
      <c r="B5718" s="102"/>
    </row>
    <row r="5719" spans="2:2">
      <c r="B5719" s="102"/>
    </row>
    <row r="5720" spans="2:2">
      <c r="B5720" s="102"/>
    </row>
    <row r="5721" spans="2:2">
      <c r="B5721" s="102"/>
    </row>
    <row r="5722" spans="2:2">
      <c r="B5722" s="102"/>
    </row>
    <row r="5723" spans="2:2">
      <c r="B5723" s="102"/>
    </row>
    <row r="5724" spans="2:2">
      <c r="B5724" s="102"/>
    </row>
    <row r="5725" spans="2:2">
      <c r="B5725" s="102"/>
    </row>
    <row r="5726" spans="2:2">
      <c r="B5726" s="102"/>
    </row>
    <row r="5727" spans="2:2">
      <c r="B5727" s="102"/>
    </row>
    <row r="5728" spans="2:2">
      <c r="B5728" s="102"/>
    </row>
    <row r="5729" spans="2:2">
      <c r="B5729" s="102"/>
    </row>
    <row r="5730" spans="2:2">
      <c r="B5730" s="102"/>
    </row>
    <row r="5731" spans="2:2">
      <c r="B5731" s="102"/>
    </row>
    <row r="5732" spans="2:2">
      <c r="B5732" s="102"/>
    </row>
    <row r="5733" spans="2:2">
      <c r="B5733" s="102"/>
    </row>
    <row r="5734" spans="2:2">
      <c r="B5734" s="102"/>
    </row>
    <row r="5735" spans="2:2">
      <c r="B5735" s="102"/>
    </row>
    <row r="5736" spans="2:2">
      <c r="B5736" s="102"/>
    </row>
    <row r="5737" spans="2:2">
      <c r="B5737" s="102"/>
    </row>
    <row r="5738" spans="2:2">
      <c r="B5738" s="102"/>
    </row>
    <row r="5739" spans="2:2">
      <c r="B5739" s="102"/>
    </row>
    <row r="5740" spans="2:2">
      <c r="B5740" s="102"/>
    </row>
    <row r="5741" spans="2:2">
      <c r="B5741" s="102"/>
    </row>
    <row r="5742" spans="2:2">
      <c r="B5742" s="102"/>
    </row>
    <row r="5743" spans="2:2">
      <c r="B5743" s="102"/>
    </row>
    <row r="5744" spans="2:2">
      <c r="B5744" s="102"/>
    </row>
    <row r="5745" spans="2:2">
      <c r="B5745" s="102"/>
    </row>
    <row r="5746" spans="2:2">
      <c r="B5746" s="102"/>
    </row>
    <row r="5747" spans="2:2">
      <c r="B5747" s="102"/>
    </row>
    <row r="5748" spans="2:2">
      <c r="B5748" s="102"/>
    </row>
    <row r="5749" spans="2:2">
      <c r="B5749" s="102"/>
    </row>
    <row r="5750" spans="2:2">
      <c r="B5750" s="102"/>
    </row>
    <row r="5751" spans="2:2">
      <c r="B5751" s="102"/>
    </row>
    <row r="5752" spans="2:2">
      <c r="B5752" s="102"/>
    </row>
  </sheetData>
  <printOptions horizontalCentered="1"/>
  <pageMargins left="0.4" right="0.4" top="0.5" bottom="1" header="0.5" footer="0.5"/>
  <pageSetup scale="77" fitToHeight="0" orientation="landscape" r:id="rId1"/>
  <headerFooter alignWithMargins="0">
    <oddFooter>&amp;R&amp;"Arial,Bold"APPENDIX A
SCHEDULE 1
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786"/>
  <sheetViews>
    <sheetView topLeftCell="A665" workbookViewId="0">
      <selection activeCell="I686" sqref="I686"/>
    </sheetView>
  </sheetViews>
  <sheetFormatPr defaultColWidth="9.140625" defaultRowHeight="12.75"/>
  <cols>
    <col min="1" max="1" width="24.28515625" style="102" customWidth="1"/>
    <col min="2" max="2" width="11.140625" style="102" customWidth="1"/>
    <col min="3" max="4" width="10.140625" style="102" customWidth="1"/>
    <col min="5" max="5" width="38.28515625" style="102" bestFit="1" customWidth="1"/>
    <col min="6" max="6" width="12.5703125" style="152" customWidth="1"/>
    <col min="7" max="7" width="15.85546875" style="123" customWidth="1"/>
    <col min="8" max="8" width="9.7109375" style="176" customWidth="1"/>
    <col min="9" max="9" width="11.140625" style="101" customWidth="1"/>
    <col min="10" max="10" width="14.28515625" style="123" customWidth="1"/>
    <col min="11" max="11" width="15.140625" style="123" bestFit="1" customWidth="1"/>
    <col min="12" max="15" width="9.140625" style="101"/>
    <col min="16" max="16" width="10.5703125" style="101" bestFit="1" customWidth="1"/>
    <col min="17" max="18" width="9.140625" style="101"/>
    <col min="19" max="19" width="9.7109375" style="101" bestFit="1" customWidth="1"/>
    <col min="20" max="20" width="9.140625" style="101"/>
    <col min="21" max="21" width="5.85546875" style="101" bestFit="1" customWidth="1"/>
    <col min="22" max="22" width="36.85546875" style="101" bestFit="1" customWidth="1"/>
    <col min="23" max="25" width="8.140625" style="101" bestFit="1" customWidth="1"/>
    <col min="26" max="26" width="38" style="101" bestFit="1" customWidth="1"/>
    <col min="27" max="27" width="8.140625" style="101" bestFit="1" customWidth="1"/>
    <col min="28" max="28" width="12.85546875" style="101" bestFit="1" customWidth="1"/>
    <col min="29" max="29" width="6" style="101" bestFit="1" customWidth="1"/>
    <col min="30" max="30" width="11.5703125" style="101" bestFit="1" customWidth="1"/>
    <col min="31" max="16384" width="9.140625" style="101"/>
  </cols>
  <sheetData>
    <row r="1" spans="1:21">
      <c r="A1" s="95" t="s">
        <v>119</v>
      </c>
      <c r="S1" s="154">
        <v>201409</v>
      </c>
    </row>
    <row r="3" spans="1:21">
      <c r="A3" s="88" t="s">
        <v>120</v>
      </c>
    </row>
    <row r="5" spans="1:21">
      <c r="A5" s="81" t="s">
        <v>86</v>
      </c>
      <c r="B5" s="81" t="s">
        <v>87</v>
      </c>
      <c r="C5" s="81" t="s">
        <v>88</v>
      </c>
      <c r="D5" s="81" t="s">
        <v>104</v>
      </c>
      <c r="E5" s="81"/>
      <c r="F5" s="146" t="s">
        <v>121</v>
      </c>
      <c r="G5" s="90" t="s">
        <v>121</v>
      </c>
      <c r="H5" s="177"/>
      <c r="I5" s="81" t="s">
        <v>91</v>
      </c>
      <c r="J5" s="90" t="s">
        <v>92</v>
      </c>
      <c r="K5" s="90" t="s">
        <v>93</v>
      </c>
      <c r="S5" s="101" t="s">
        <v>214</v>
      </c>
      <c r="T5" s="121"/>
      <c r="U5" s="101">
        <v>2014</v>
      </c>
    </row>
    <row r="6" spans="1:21">
      <c r="A6" s="86" t="s">
        <v>94</v>
      </c>
      <c r="B6" s="96" t="s">
        <v>95</v>
      </c>
      <c r="C6" s="96" t="s">
        <v>96</v>
      </c>
      <c r="D6" s="96" t="s">
        <v>122</v>
      </c>
      <c r="E6" s="96" t="s">
        <v>97</v>
      </c>
      <c r="F6" s="150" t="s">
        <v>98</v>
      </c>
      <c r="G6" s="98" t="s">
        <v>99</v>
      </c>
      <c r="H6" s="179" t="s">
        <v>100</v>
      </c>
      <c r="I6" s="96" t="s">
        <v>101</v>
      </c>
      <c r="J6" s="98" t="s">
        <v>123</v>
      </c>
      <c r="K6" s="98" t="s">
        <v>102</v>
      </c>
      <c r="S6" s="101" t="s">
        <v>215</v>
      </c>
      <c r="U6" s="101">
        <v>2015</v>
      </c>
    </row>
    <row r="7" spans="1:21">
      <c r="A7" s="521" t="s">
        <v>318</v>
      </c>
      <c r="B7" s="522" t="s">
        <v>633</v>
      </c>
      <c r="C7" s="423" t="s">
        <v>330</v>
      </c>
      <c r="D7" s="522" t="s">
        <v>633</v>
      </c>
      <c r="E7" s="521" t="s">
        <v>634</v>
      </c>
      <c r="F7" s="522">
        <v>201601</v>
      </c>
      <c r="G7" s="523">
        <v>-2232.89</v>
      </c>
      <c r="H7" s="590">
        <v>3</v>
      </c>
      <c r="I7" s="521">
        <v>1.3083000000000001E-3</v>
      </c>
      <c r="J7" s="491">
        <v>-8.76</v>
      </c>
      <c r="K7" s="523">
        <v>-35.06</v>
      </c>
      <c r="S7" s="101">
        <f t="shared" ref="S7:S64" si="0">IF(F7&lt;=$S$1,$U$5,$U$6)</f>
        <v>2015</v>
      </c>
    </row>
    <row r="8" spans="1:21">
      <c r="A8" s="521" t="s">
        <v>318</v>
      </c>
      <c r="B8" s="522" t="s">
        <v>788</v>
      </c>
      <c r="C8" s="429" t="s">
        <v>330</v>
      </c>
      <c r="D8" s="522" t="s">
        <v>788</v>
      </c>
      <c r="E8" s="521" t="s">
        <v>789</v>
      </c>
      <c r="F8" s="522">
        <v>201601</v>
      </c>
      <c r="G8" s="523">
        <v>-55575.88</v>
      </c>
      <c r="H8" s="590">
        <v>3</v>
      </c>
      <c r="I8" s="521">
        <v>1.3083000000000001E-3</v>
      </c>
      <c r="J8" s="491">
        <v>-218.13</v>
      </c>
      <c r="K8" s="523">
        <v>-872.52</v>
      </c>
    </row>
    <row r="9" spans="1:21">
      <c r="A9" s="521" t="s">
        <v>318</v>
      </c>
      <c r="B9" s="522" t="s">
        <v>798</v>
      </c>
      <c r="C9" s="429" t="s">
        <v>331</v>
      </c>
      <c r="D9" s="522" t="s">
        <v>798</v>
      </c>
      <c r="E9" s="521" t="s">
        <v>799</v>
      </c>
      <c r="F9" s="522">
        <v>201601</v>
      </c>
      <c r="G9" s="523">
        <v>-26031</v>
      </c>
      <c r="H9" s="590">
        <v>3</v>
      </c>
      <c r="I9" s="521">
        <v>1.3083000000000001E-3</v>
      </c>
      <c r="J9" s="491">
        <v>-102.17</v>
      </c>
      <c r="K9" s="523">
        <v>-408.68</v>
      </c>
    </row>
    <row r="10" spans="1:21">
      <c r="A10" s="521"/>
      <c r="B10" s="522"/>
      <c r="C10" s="490"/>
      <c r="D10" s="522"/>
      <c r="E10" s="521"/>
      <c r="F10" s="522"/>
      <c r="G10" s="523"/>
      <c r="H10" s="590"/>
      <c r="I10" s="521"/>
      <c r="J10" s="491"/>
      <c r="K10" s="523"/>
      <c r="P10" s="178" t="s">
        <v>154</v>
      </c>
      <c r="Q10" s="126" t="s">
        <v>155</v>
      </c>
    </row>
    <row r="11" spans="1:21">
      <c r="A11" s="481" t="s">
        <v>318</v>
      </c>
      <c r="B11" s="485" t="s">
        <v>327</v>
      </c>
      <c r="C11" s="490" t="s">
        <v>330</v>
      </c>
      <c r="D11" s="522" t="s">
        <v>327</v>
      </c>
      <c r="E11" s="481" t="s">
        <v>328</v>
      </c>
      <c r="F11" s="485">
        <v>201602</v>
      </c>
      <c r="G11" s="482">
        <v>-41.08</v>
      </c>
      <c r="H11" s="590">
        <v>2</v>
      </c>
      <c r="I11" s="521">
        <v>1.3083000000000001E-3</v>
      </c>
      <c r="J11" s="491">
        <v>-0.11</v>
      </c>
      <c r="K11" s="523">
        <v>-0.64</v>
      </c>
      <c r="P11" s="159" t="e">
        <f>+'Additions for prop tax'!#REF!</f>
        <v>#REF!</v>
      </c>
      <c r="Q11" s="126" t="e">
        <f>+'Additions for prop tax'!#REF!</f>
        <v>#REF!</v>
      </c>
    </row>
    <row r="12" spans="1:21">
      <c r="A12" s="481" t="s">
        <v>318</v>
      </c>
      <c r="B12" s="485" t="s">
        <v>589</v>
      </c>
      <c r="C12" s="490" t="s">
        <v>330</v>
      </c>
      <c r="D12" s="485" t="s">
        <v>589</v>
      </c>
      <c r="E12" s="481" t="s">
        <v>590</v>
      </c>
      <c r="F12" s="485">
        <v>201602</v>
      </c>
      <c r="G12" s="482">
        <v>-10897.79</v>
      </c>
      <c r="H12" s="590">
        <v>2</v>
      </c>
      <c r="I12" s="521">
        <v>1.3083000000000001E-3</v>
      </c>
      <c r="J12" s="491">
        <v>-28.52</v>
      </c>
      <c r="K12" s="523">
        <v>-171.09</v>
      </c>
      <c r="P12" s="159" t="e">
        <f>+'Additions for prop tax'!#REF!</f>
        <v>#REF!</v>
      </c>
      <c r="Q12" s="126" t="e">
        <f>+'Additions for prop tax'!#REF!</f>
        <v>#REF!</v>
      </c>
    </row>
    <row r="13" spans="1:21">
      <c r="A13" s="521" t="s">
        <v>318</v>
      </c>
      <c r="B13" s="522" t="s">
        <v>708</v>
      </c>
      <c r="C13" s="429" t="s">
        <v>331</v>
      </c>
      <c r="D13" s="522" t="s">
        <v>708</v>
      </c>
      <c r="E13" s="521" t="s">
        <v>709</v>
      </c>
      <c r="F13" s="522">
        <v>201602</v>
      </c>
      <c r="G13" s="523">
        <v>-2930.79</v>
      </c>
      <c r="H13" s="590">
        <v>2</v>
      </c>
      <c r="I13" s="521">
        <v>1.3083000000000001E-3</v>
      </c>
      <c r="J13" s="491">
        <v>-7.67</v>
      </c>
      <c r="K13" s="523">
        <v>-46.01</v>
      </c>
      <c r="P13" s="159" t="e">
        <f>+'Additions for prop tax'!#REF!</f>
        <v>#REF!</v>
      </c>
      <c r="Q13" s="126" t="e">
        <f>+'Additions for prop tax'!#REF!</f>
        <v>#REF!</v>
      </c>
    </row>
    <row r="14" spans="1:21">
      <c r="A14" s="521" t="s">
        <v>318</v>
      </c>
      <c r="B14" s="522" t="s">
        <v>717</v>
      </c>
      <c r="C14" s="490" t="s">
        <v>331</v>
      </c>
      <c r="D14" s="522" t="s">
        <v>717</v>
      </c>
      <c r="E14" s="521" t="s">
        <v>718</v>
      </c>
      <c r="F14" s="522">
        <v>201602</v>
      </c>
      <c r="G14" s="523">
        <v>-36488.17</v>
      </c>
      <c r="H14" s="590">
        <v>2</v>
      </c>
      <c r="I14" s="521">
        <v>1.3083000000000001E-3</v>
      </c>
      <c r="J14" s="491">
        <v>-95.47</v>
      </c>
      <c r="K14" s="523">
        <v>-572.85</v>
      </c>
      <c r="P14" s="159" t="e">
        <f>+'Additions for prop tax'!#REF!</f>
        <v>#REF!</v>
      </c>
      <c r="Q14" s="126" t="e">
        <f>+'Additions for prop tax'!#REF!</f>
        <v>#REF!</v>
      </c>
    </row>
    <row r="15" spans="1:21">
      <c r="A15" s="521" t="s">
        <v>318</v>
      </c>
      <c r="B15" s="522" t="s">
        <v>649</v>
      </c>
      <c r="C15" s="429" t="s">
        <v>330</v>
      </c>
      <c r="D15" s="522" t="s">
        <v>649</v>
      </c>
      <c r="E15" s="521" t="s">
        <v>650</v>
      </c>
      <c r="F15" s="522">
        <v>201602</v>
      </c>
      <c r="G15" s="523">
        <v>-216132.68</v>
      </c>
      <c r="H15" s="590">
        <v>2</v>
      </c>
      <c r="I15" s="521">
        <v>1.3083000000000001E-3</v>
      </c>
      <c r="J15" s="491">
        <v>-565.53</v>
      </c>
      <c r="K15" s="523">
        <v>-3393.2</v>
      </c>
      <c r="P15" s="159" t="e">
        <f>+'Additions for prop tax'!#REF!</f>
        <v>#REF!</v>
      </c>
      <c r="Q15" s="126" t="e">
        <f>+'Additions for prop tax'!#REF!</f>
        <v>#REF!</v>
      </c>
    </row>
    <row r="16" spans="1:21">
      <c r="A16" s="521" t="s">
        <v>318</v>
      </c>
      <c r="B16" s="522" t="s">
        <v>786</v>
      </c>
      <c r="C16" s="490" t="s">
        <v>330</v>
      </c>
      <c r="D16" s="522" t="s">
        <v>786</v>
      </c>
      <c r="E16" s="521" t="s">
        <v>787</v>
      </c>
      <c r="F16" s="522">
        <v>201602</v>
      </c>
      <c r="G16" s="523">
        <v>-225102.52</v>
      </c>
      <c r="H16" s="590">
        <v>2</v>
      </c>
      <c r="I16" s="521">
        <v>1.3083000000000001E-3</v>
      </c>
      <c r="J16" s="491">
        <v>-589</v>
      </c>
      <c r="K16" s="523">
        <v>-3534.02</v>
      </c>
      <c r="P16" s="159" t="e">
        <f>+'Additions for prop tax'!#REF!</f>
        <v>#REF!</v>
      </c>
      <c r="Q16" s="126" t="e">
        <f>+'Additions for prop tax'!#REF!</f>
        <v>#REF!</v>
      </c>
    </row>
    <row r="17" spans="1:19">
      <c r="A17" s="521" t="s">
        <v>318</v>
      </c>
      <c r="B17" s="522" t="s">
        <v>653</v>
      </c>
      <c r="C17" s="429" t="s">
        <v>330</v>
      </c>
      <c r="D17" s="522" t="s">
        <v>653</v>
      </c>
      <c r="E17" s="521" t="s">
        <v>654</v>
      </c>
      <c r="F17" s="522">
        <v>201602</v>
      </c>
      <c r="G17" s="523">
        <v>-10615.04</v>
      </c>
      <c r="H17" s="590">
        <v>2</v>
      </c>
      <c r="I17" s="521">
        <v>1.3083000000000001E-3</v>
      </c>
      <c r="J17" s="491">
        <v>-27.78</v>
      </c>
      <c r="K17" s="523">
        <v>-166.65</v>
      </c>
      <c r="P17" s="159" t="e">
        <f>+'Additions for prop tax'!#REF!</f>
        <v>#REF!</v>
      </c>
      <c r="Q17" s="126" t="e">
        <f>+'Additions for prop tax'!#REF!</f>
        <v>#REF!</v>
      </c>
    </row>
    <row r="18" spans="1:19">
      <c r="A18" s="521" t="s">
        <v>318</v>
      </c>
      <c r="B18" s="522" t="s">
        <v>663</v>
      </c>
      <c r="C18" s="490" t="s">
        <v>330</v>
      </c>
      <c r="D18" s="522" t="s">
        <v>663</v>
      </c>
      <c r="E18" s="521" t="s">
        <v>664</v>
      </c>
      <c r="F18" s="522">
        <v>201602</v>
      </c>
      <c r="G18" s="523">
        <v>-49983.46</v>
      </c>
      <c r="H18" s="590">
        <v>2</v>
      </c>
      <c r="I18" s="521">
        <v>1.3083000000000001E-3</v>
      </c>
      <c r="J18" s="491">
        <v>-130.79</v>
      </c>
      <c r="K18" s="523">
        <v>-784.72</v>
      </c>
      <c r="P18" s="159" t="e">
        <f>+'Additions for prop tax'!#REF!</f>
        <v>#REF!</v>
      </c>
      <c r="Q18" s="126" t="e">
        <f>+'Additions for prop tax'!#REF!</f>
        <v>#REF!</v>
      </c>
    </row>
    <row r="19" spans="1:19">
      <c r="A19" s="521" t="s">
        <v>318</v>
      </c>
      <c r="B19" s="522" t="s">
        <v>674</v>
      </c>
      <c r="C19" s="490" t="s">
        <v>330</v>
      </c>
      <c r="D19" s="522" t="s">
        <v>674</v>
      </c>
      <c r="E19" s="521" t="s">
        <v>675</v>
      </c>
      <c r="F19" s="522">
        <v>201602</v>
      </c>
      <c r="G19" s="523">
        <v>-227458.4</v>
      </c>
      <c r="H19" s="590">
        <v>2</v>
      </c>
      <c r="I19" s="521">
        <v>1.3083000000000001E-3</v>
      </c>
      <c r="J19" s="491">
        <v>-595.16999999999996</v>
      </c>
      <c r="K19" s="523">
        <v>-3571.01</v>
      </c>
      <c r="P19" s="159" t="e">
        <f>+'Additions for prop tax'!#REF!</f>
        <v>#REF!</v>
      </c>
      <c r="Q19" s="126" t="e">
        <f>+'Additions for prop tax'!#REF!</f>
        <v>#REF!</v>
      </c>
    </row>
    <row r="20" spans="1:19">
      <c r="A20" s="481" t="s">
        <v>318</v>
      </c>
      <c r="B20" s="485" t="s">
        <v>796</v>
      </c>
      <c r="C20" s="587" t="s">
        <v>331</v>
      </c>
      <c r="D20" s="485" t="s">
        <v>796</v>
      </c>
      <c r="E20" s="481" t="s">
        <v>797</v>
      </c>
      <c r="F20" s="485">
        <v>201602</v>
      </c>
      <c r="G20" s="482">
        <v>-985.86</v>
      </c>
      <c r="H20" s="590">
        <v>2</v>
      </c>
      <c r="I20" s="481">
        <v>1.3083000000000001E-3</v>
      </c>
      <c r="J20" s="491">
        <v>-2.58</v>
      </c>
      <c r="K20" s="523">
        <v>-15.48</v>
      </c>
      <c r="P20" s="159" t="e">
        <f>+'Additions for prop tax'!#REF!</f>
        <v>#REF!</v>
      </c>
      <c r="Q20" s="126" t="e">
        <f>+'Additions for prop tax'!#REF!</f>
        <v>#REF!</v>
      </c>
    </row>
    <row r="21" spans="1:19">
      <c r="A21" s="608" t="s">
        <v>318</v>
      </c>
      <c r="B21" s="495" t="s">
        <v>794</v>
      </c>
      <c r="C21" s="460" t="s">
        <v>331</v>
      </c>
      <c r="D21" s="495" t="s">
        <v>794</v>
      </c>
      <c r="E21" s="479" t="s">
        <v>795</v>
      </c>
      <c r="F21" s="495">
        <v>201602</v>
      </c>
      <c r="G21" s="480">
        <v>-34506.28</v>
      </c>
      <c r="H21" s="479">
        <v>2</v>
      </c>
      <c r="I21" s="492">
        <v>1.3083000000000001E-3</v>
      </c>
      <c r="J21" s="420">
        <v>-90.29</v>
      </c>
      <c r="K21" s="493">
        <v>-541.73</v>
      </c>
      <c r="P21" s="159" t="e">
        <f>+'Additions for prop tax'!#REF!</f>
        <v>#REF!</v>
      </c>
      <c r="Q21" s="126" t="e">
        <f>+'Additions for prop tax'!#REF!</f>
        <v>#REF!</v>
      </c>
    </row>
    <row r="22" spans="1:19">
      <c r="A22" s="326" t="s">
        <v>318</v>
      </c>
      <c r="B22" s="609" t="s">
        <v>914</v>
      </c>
      <c r="C22" s="522" t="s">
        <v>330</v>
      </c>
      <c r="D22" s="490">
        <v>900266</v>
      </c>
      <c r="E22" s="472" t="s">
        <v>905</v>
      </c>
      <c r="F22" s="490">
        <v>201603</v>
      </c>
      <c r="G22" s="474">
        <v>-5875.02</v>
      </c>
      <c r="H22" s="590">
        <v>13.5</v>
      </c>
      <c r="I22" s="521">
        <v>1.3083000000000001E-3</v>
      </c>
      <c r="J22" s="491">
        <v>-103.76</v>
      </c>
      <c r="K22" s="523">
        <v>-92.24</v>
      </c>
      <c r="P22" s="159" t="e">
        <f>+'Additions for prop tax'!#REF!</f>
        <v>#REF!</v>
      </c>
      <c r="Q22" s="126" t="e">
        <f>+'Additions for prop tax'!#REF!</f>
        <v>#REF!</v>
      </c>
      <c r="S22" s="101">
        <f t="shared" si="0"/>
        <v>2015</v>
      </c>
    </row>
    <row r="23" spans="1:19" s="559" customFormat="1">
      <c r="A23" s="326" t="s">
        <v>318</v>
      </c>
      <c r="B23" s="609" t="s">
        <v>921</v>
      </c>
      <c r="C23" s="522" t="s">
        <v>330</v>
      </c>
      <c r="D23" s="490">
        <v>900275</v>
      </c>
      <c r="E23" s="472" t="s">
        <v>922</v>
      </c>
      <c r="F23" s="490">
        <v>201603</v>
      </c>
      <c r="G23" s="474">
        <v>-5419.94</v>
      </c>
      <c r="H23" s="590">
        <v>13.5</v>
      </c>
      <c r="I23" s="521">
        <v>1.3083000000000001E-3</v>
      </c>
      <c r="J23" s="491">
        <v>-95.73</v>
      </c>
      <c r="K23" s="523">
        <v>-85.09</v>
      </c>
      <c r="P23" s="555"/>
      <c r="Q23" s="590"/>
    </row>
    <row r="24" spans="1:19" s="559" customFormat="1">
      <c r="A24" s="399" t="s">
        <v>318</v>
      </c>
      <c r="B24" s="490" t="s">
        <v>911</v>
      </c>
      <c r="C24" s="485" t="s">
        <v>330</v>
      </c>
      <c r="D24" s="522">
        <v>900278</v>
      </c>
      <c r="E24" s="521" t="s">
        <v>903</v>
      </c>
      <c r="F24" s="522">
        <v>201603</v>
      </c>
      <c r="G24" s="523">
        <v>-9448.23</v>
      </c>
      <c r="H24" s="590">
        <v>13.5</v>
      </c>
      <c r="I24" s="521">
        <v>1.3083000000000001E-3</v>
      </c>
      <c r="J24" s="491">
        <v>-166.88</v>
      </c>
      <c r="K24" s="523">
        <v>-148.33000000000001</v>
      </c>
      <c r="P24" s="555"/>
      <c r="Q24" s="590"/>
    </row>
    <row r="25" spans="1:19" s="559" customFormat="1">
      <c r="A25" s="326" t="s">
        <v>318</v>
      </c>
      <c r="B25" s="490" t="s">
        <v>912</v>
      </c>
      <c r="C25" s="522" t="s">
        <v>330</v>
      </c>
      <c r="D25" s="490">
        <v>900282</v>
      </c>
      <c r="E25" s="472" t="s">
        <v>904</v>
      </c>
      <c r="F25" s="490">
        <v>201603</v>
      </c>
      <c r="G25" s="474">
        <v>-32891.72</v>
      </c>
      <c r="H25" s="590">
        <v>13.5</v>
      </c>
      <c r="I25" s="521">
        <v>1.3083000000000001E-3</v>
      </c>
      <c r="J25" s="491">
        <v>-580.94000000000005</v>
      </c>
      <c r="K25" s="523">
        <v>-516.39</v>
      </c>
      <c r="P25" s="555"/>
      <c r="Q25" s="590"/>
    </row>
    <row r="26" spans="1:19" s="559" customFormat="1">
      <c r="A26" s="326" t="s">
        <v>318</v>
      </c>
      <c r="B26" s="490" t="s">
        <v>913</v>
      </c>
      <c r="C26" s="522" t="s">
        <v>330</v>
      </c>
      <c r="D26" s="490">
        <v>900283</v>
      </c>
      <c r="E26" s="472" t="s">
        <v>910</v>
      </c>
      <c r="F26" s="490">
        <v>201603</v>
      </c>
      <c r="G26" s="474">
        <v>-1146.79</v>
      </c>
      <c r="H26" s="590">
        <v>13.5</v>
      </c>
      <c r="I26" s="521">
        <v>1.3083000000000001E-3</v>
      </c>
      <c r="J26" s="491">
        <v>-20.25</v>
      </c>
      <c r="K26" s="523">
        <v>-18</v>
      </c>
      <c r="P26" s="555"/>
      <c r="Q26" s="590"/>
    </row>
    <row r="27" spans="1:19" s="559" customFormat="1">
      <c r="A27" s="326" t="s">
        <v>318</v>
      </c>
      <c r="B27" s="490" t="s">
        <v>915</v>
      </c>
      <c r="C27" s="522" t="s">
        <v>330</v>
      </c>
      <c r="D27" s="490">
        <v>900460</v>
      </c>
      <c r="E27" s="472"/>
      <c r="F27" s="490">
        <v>201603</v>
      </c>
      <c r="G27" s="474">
        <v>-41470.49</v>
      </c>
      <c r="H27" s="590">
        <v>13.5</v>
      </c>
      <c r="I27" s="521">
        <v>1.3083000000000001E-3</v>
      </c>
      <c r="J27" s="491">
        <v>-732.45</v>
      </c>
      <c r="K27" s="523">
        <v>-651.07000000000005</v>
      </c>
      <c r="P27" s="555"/>
      <c r="Q27" s="590"/>
    </row>
    <row r="28" spans="1:19" s="559" customFormat="1">
      <c r="A28" s="326" t="s">
        <v>318</v>
      </c>
      <c r="B28" s="490" t="s">
        <v>651</v>
      </c>
      <c r="C28" s="522" t="s">
        <v>330</v>
      </c>
      <c r="D28" s="490" t="s">
        <v>651</v>
      </c>
      <c r="E28" s="472" t="s">
        <v>652</v>
      </c>
      <c r="F28" s="490">
        <v>201603</v>
      </c>
      <c r="G28" s="474">
        <v>-26017.86</v>
      </c>
      <c r="H28" s="590">
        <v>13.5</v>
      </c>
      <c r="I28" s="521">
        <v>1.3083000000000001E-3</v>
      </c>
      <c r="J28" s="491">
        <v>-459.53</v>
      </c>
      <c r="K28" s="523">
        <v>-408.47</v>
      </c>
      <c r="P28" s="555"/>
      <c r="Q28" s="590"/>
    </row>
    <row r="29" spans="1:19" s="559" customFormat="1">
      <c r="A29" s="326" t="s">
        <v>318</v>
      </c>
      <c r="B29" s="490" t="s">
        <v>810</v>
      </c>
      <c r="C29" s="522" t="s">
        <v>330</v>
      </c>
      <c r="D29" s="490" t="s">
        <v>810</v>
      </c>
      <c r="E29" s="472" t="s">
        <v>811</v>
      </c>
      <c r="F29" s="490">
        <v>201603</v>
      </c>
      <c r="G29" s="474">
        <v>-7324.26</v>
      </c>
      <c r="H29" s="590">
        <v>13.5</v>
      </c>
      <c r="I29" s="521">
        <v>1.3083000000000001E-3</v>
      </c>
      <c r="J29" s="491">
        <v>-129.36000000000001</v>
      </c>
      <c r="K29" s="523">
        <v>-114.99</v>
      </c>
      <c r="P29" s="555"/>
      <c r="Q29" s="590"/>
    </row>
    <row r="30" spans="1:19" s="559" customFormat="1">
      <c r="A30" s="326" t="s">
        <v>318</v>
      </c>
      <c r="B30" s="490" t="s">
        <v>916</v>
      </c>
      <c r="C30" s="522" t="s">
        <v>330</v>
      </c>
      <c r="D30" s="490">
        <v>900278</v>
      </c>
      <c r="E30" s="472" t="s">
        <v>908</v>
      </c>
      <c r="F30" s="490">
        <v>201604</v>
      </c>
      <c r="G30" s="474">
        <v>-47779.95</v>
      </c>
      <c r="H30" s="590">
        <v>12.5</v>
      </c>
      <c r="I30" s="521">
        <v>1.3083000000000001E-3</v>
      </c>
      <c r="J30" s="491">
        <v>-781.38</v>
      </c>
      <c r="K30" s="523">
        <v>-750.13</v>
      </c>
      <c r="P30" s="555"/>
      <c r="Q30" s="590"/>
    </row>
    <row r="31" spans="1:19" s="559" customFormat="1">
      <c r="A31" s="326" t="s">
        <v>318</v>
      </c>
      <c r="B31" s="490" t="s">
        <v>924</v>
      </c>
      <c r="C31" s="522" t="s">
        <v>330</v>
      </c>
      <c r="D31" s="490">
        <v>900284</v>
      </c>
      <c r="E31" s="472" t="s">
        <v>925</v>
      </c>
      <c r="F31" s="490">
        <v>201604</v>
      </c>
      <c r="G31" s="474">
        <v>-3983.32</v>
      </c>
      <c r="H31" s="590">
        <v>12.5</v>
      </c>
      <c r="I31" s="521">
        <v>1.3083000000000001E-3</v>
      </c>
      <c r="J31" s="491">
        <v>-65.14</v>
      </c>
      <c r="K31" s="523">
        <v>-62.54</v>
      </c>
      <c r="P31" s="555"/>
      <c r="Q31" s="590"/>
    </row>
    <row r="32" spans="1:19" s="559" customFormat="1">
      <c r="A32" s="326" t="s">
        <v>318</v>
      </c>
      <c r="B32" s="490" t="s">
        <v>801</v>
      </c>
      <c r="C32" s="522" t="s">
        <v>330</v>
      </c>
      <c r="D32" s="490" t="s">
        <v>801</v>
      </c>
      <c r="E32" s="472" t="s">
        <v>802</v>
      </c>
      <c r="F32" s="490">
        <v>201604</v>
      </c>
      <c r="G32" s="474">
        <v>-9436.7800000000007</v>
      </c>
      <c r="H32" s="590">
        <v>12.5</v>
      </c>
      <c r="I32" s="521">
        <v>1.3083000000000001E-3</v>
      </c>
      <c r="J32" s="491">
        <v>-154.33000000000001</v>
      </c>
      <c r="K32" s="523">
        <v>-148.15</v>
      </c>
      <c r="P32" s="555"/>
      <c r="Q32" s="590"/>
    </row>
    <row r="33" spans="1:17" s="559" customFormat="1">
      <c r="A33" s="326" t="s">
        <v>318</v>
      </c>
      <c r="B33" s="490" t="s">
        <v>784</v>
      </c>
      <c r="C33" s="522" t="s">
        <v>330</v>
      </c>
      <c r="D33" s="490" t="s">
        <v>784</v>
      </c>
      <c r="E33" s="472" t="s">
        <v>785</v>
      </c>
      <c r="F33" s="490">
        <v>201606</v>
      </c>
      <c r="G33" s="474">
        <v>-4113.79</v>
      </c>
      <c r="H33" s="590">
        <v>10.5</v>
      </c>
      <c r="I33" s="521">
        <v>1.3083000000000001E-3</v>
      </c>
      <c r="J33" s="491">
        <v>-56.51</v>
      </c>
      <c r="K33" s="523">
        <v>-64.58</v>
      </c>
      <c r="P33" s="555"/>
      <c r="Q33" s="590"/>
    </row>
    <row r="34" spans="1:17" s="559" customFormat="1">
      <c r="A34" s="326" t="s">
        <v>318</v>
      </c>
      <c r="B34" s="490" t="s">
        <v>803</v>
      </c>
      <c r="C34" s="522" t="s">
        <v>330</v>
      </c>
      <c r="D34" s="490" t="s">
        <v>803</v>
      </c>
      <c r="E34" s="472" t="s">
        <v>804</v>
      </c>
      <c r="F34" s="490">
        <v>201606</v>
      </c>
      <c r="G34" s="474">
        <v>-1765.34</v>
      </c>
      <c r="H34" s="590">
        <v>10.5</v>
      </c>
      <c r="I34" s="521">
        <v>1.3083000000000001E-3</v>
      </c>
      <c r="J34" s="491">
        <v>-24.25</v>
      </c>
      <c r="K34" s="523">
        <v>-27.72</v>
      </c>
      <c r="P34" s="555"/>
      <c r="Q34" s="590"/>
    </row>
    <row r="35" spans="1:17" s="559" customFormat="1">
      <c r="A35" s="326" t="s">
        <v>318</v>
      </c>
      <c r="B35" s="490" t="s">
        <v>805</v>
      </c>
      <c r="C35" s="522" t="s">
        <v>330</v>
      </c>
      <c r="D35" s="490" t="s">
        <v>805</v>
      </c>
      <c r="E35" s="472" t="s">
        <v>806</v>
      </c>
      <c r="F35" s="490">
        <v>201606</v>
      </c>
      <c r="G35" s="474">
        <v>-93212.29</v>
      </c>
      <c r="H35" s="590">
        <v>10.5</v>
      </c>
      <c r="I35" s="521">
        <v>1.3083000000000001E-3</v>
      </c>
      <c r="J35" s="491">
        <v>-1280.47</v>
      </c>
      <c r="K35" s="523">
        <v>-1463.4</v>
      </c>
      <c r="P35" s="555"/>
      <c r="Q35" s="590"/>
    </row>
    <row r="36" spans="1:17" s="559" customFormat="1">
      <c r="A36" s="326" t="s">
        <v>318</v>
      </c>
      <c r="B36" s="490" t="s">
        <v>829</v>
      </c>
      <c r="C36" s="522" t="s">
        <v>330</v>
      </c>
      <c r="D36" s="490" t="s">
        <v>829</v>
      </c>
      <c r="E36" s="472" t="s">
        <v>831</v>
      </c>
      <c r="F36" s="490">
        <v>201606</v>
      </c>
      <c r="G36" s="474">
        <v>-197601.72</v>
      </c>
      <c r="H36" s="590">
        <v>10.5</v>
      </c>
      <c r="I36" s="521">
        <v>1.3083000000000001E-3</v>
      </c>
      <c r="J36" s="491">
        <v>-2714.48</v>
      </c>
      <c r="K36" s="523">
        <v>-3102.27</v>
      </c>
      <c r="P36" s="555"/>
      <c r="Q36" s="590"/>
    </row>
    <row r="37" spans="1:17" s="559" customFormat="1">
      <c r="A37" s="326" t="s">
        <v>318</v>
      </c>
      <c r="B37" s="490" t="s">
        <v>631</v>
      </c>
      <c r="C37" s="522" t="s">
        <v>330</v>
      </c>
      <c r="D37" s="490">
        <v>900520</v>
      </c>
      <c r="E37" s="472" t="s">
        <v>632</v>
      </c>
      <c r="F37" s="490">
        <v>201607</v>
      </c>
      <c r="G37" s="474">
        <v>-81306.67</v>
      </c>
      <c r="H37" s="590">
        <v>9.5</v>
      </c>
      <c r="I37" s="521">
        <v>1.3083000000000001E-3</v>
      </c>
      <c r="J37" s="491">
        <v>-1010.55</v>
      </c>
      <c r="K37" s="523">
        <v>-1276.48</v>
      </c>
      <c r="P37" s="555"/>
      <c r="Q37" s="590"/>
    </row>
    <row r="38" spans="1:17" s="559" customFormat="1">
      <c r="A38" s="326" t="s">
        <v>318</v>
      </c>
      <c r="B38" s="490" t="s">
        <v>327</v>
      </c>
      <c r="C38" s="522" t="s">
        <v>319</v>
      </c>
      <c r="D38" s="490">
        <v>699720</v>
      </c>
      <c r="E38" s="472" t="s">
        <v>328</v>
      </c>
      <c r="F38" s="490">
        <v>201607</v>
      </c>
      <c r="G38" s="474">
        <v>-4079.7</v>
      </c>
      <c r="H38" s="590">
        <v>9.5</v>
      </c>
      <c r="I38" s="521">
        <v>1.3083000000000001E-3</v>
      </c>
      <c r="J38" s="491">
        <v>-50.71</v>
      </c>
      <c r="K38" s="523">
        <v>-64.05</v>
      </c>
      <c r="P38" s="555"/>
      <c r="Q38" s="590"/>
    </row>
    <row r="39" spans="1:17" s="559" customFormat="1">
      <c r="A39" s="326" t="s">
        <v>318</v>
      </c>
      <c r="B39" s="490" t="s">
        <v>822</v>
      </c>
      <c r="C39" s="522" t="s">
        <v>330</v>
      </c>
      <c r="D39" s="490">
        <v>901087</v>
      </c>
      <c r="E39" s="472" t="s">
        <v>823</v>
      </c>
      <c r="F39" s="490">
        <v>201607</v>
      </c>
      <c r="G39" s="474">
        <v>-383.85</v>
      </c>
      <c r="H39" s="590">
        <v>9.5</v>
      </c>
      <c r="I39" s="521">
        <v>1.3083000000000001E-3</v>
      </c>
      <c r="J39" s="491">
        <v>-4.7699999999999996</v>
      </c>
      <c r="K39" s="523">
        <v>-6.03</v>
      </c>
      <c r="P39" s="555"/>
      <c r="Q39" s="590"/>
    </row>
    <row r="40" spans="1:17" s="559" customFormat="1">
      <c r="A40" s="326" t="s">
        <v>318</v>
      </c>
      <c r="B40" s="490" t="s">
        <v>643</v>
      </c>
      <c r="C40" s="522" t="s">
        <v>330</v>
      </c>
      <c r="D40" s="490" t="s">
        <v>643</v>
      </c>
      <c r="E40" s="472" t="s">
        <v>644</v>
      </c>
      <c r="F40" s="490">
        <v>201608</v>
      </c>
      <c r="G40" s="474">
        <v>-59062.89</v>
      </c>
      <c r="H40" s="590">
        <v>8.5</v>
      </c>
      <c r="I40" s="521">
        <v>1.3083000000000001E-3</v>
      </c>
      <c r="J40" s="491">
        <v>-656.81</v>
      </c>
      <c r="K40" s="523">
        <v>-927.26</v>
      </c>
      <c r="P40" s="555"/>
      <c r="Q40" s="590"/>
    </row>
    <row r="41" spans="1:17" s="559" customFormat="1">
      <c r="A41" s="326" t="s">
        <v>318</v>
      </c>
      <c r="B41" s="490" t="s">
        <v>856</v>
      </c>
      <c r="C41" s="522" t="s">
        <v>330</v>
      </c>
      <c r="D41" s="490" t="s">
        <v>856</v>
      </c>
      <c r="E41" s="472" t="s">
        <v>857</v>
      </c>
      <c r="F41" s="490">
        <v>201608</v>
      </c>
      <c r="G41" s="474">
        <v>-14435.47</v>
      </c>
      <c r="H41" s="590">
        <v>8.5</v>
      </c>
      <c r="I41" s="521">
        <v>1.3083000000000001E-3</v>
      </c>
      <c r="J41" s="491">
        <v>-160.53</v>
      </c>
      <c r="K41" s="523">
        <v>-226.63</v>
      </c>
      <c r="P41" s="555"/>
      <c r="Q41" s="590"/>
    </row>
    <row r="42" spans="1:17" s="559" customFormat="1">
      <c r="A42" s="326" t="s">
        <v>318</v>
      </c>
      <c r="B42" s="490" t="s">
        <v>800</v>
      </c>
      <c r="C42" s="522" t="s">
        <v>330</v>
      </c>
      <c r="D42" s="490" t="s">
        <v>800</v>
      </c>
      <c r="E42" s="472" t="s">
        <v>830</v>
      </c>
      <c r="F42" s="490">
        <v>201608</v>
      </c>
      <c r="G42" s="474">
        <v>-2480.81</v>
      </c>
      <c r="H42" s="590">
        <v>8.5</v>
      </c>
      <c r="I42" s="521">
        <v>1.3083000000000001E-3</v>
      </c>
      <c r="J42" s="491">
        <v>-27.59</v>
      </c>
      <c r="K42" s="523">
        <v>-38.950000000000003</v>
      </c>
      <c r="P42" s="555"/>
      <c r="Q42" s="590"/>
    </row>
    <row r="43" spans="1:17" s="559" customFormat="1">
      <c r="A43" s="326" t="s">
        <v>318</v>
      </c>
      <c r="B43" s="490" t="s">
        <v>838</v>
      </c>
      <c r="C43" s="522" t="s">
        <v>330</v>
      </c>
      <c r="D43" s="490" t="s">
        <v>838</v>
      </c>
      <c r="E43" s="472" t="s">
        <v>1015</v>
      </c>
      <c r="F43" s="490">
        <v>201608</v>
      </c>
      <c r="G43" s="474">
        <v>-2895.89</v>
      </c>
      <c r="H43" s="590">
        <v>8.5</v>
      </c>
      <c r="I43" s="521">
        <v>1.3083000000000001E-3</v>
      </c>
      <c r="J43" s="491">
        <v>-32.200000000000003</v>
      </c>
      <c r="K43" s="523">
        <v>-45.46</v>
      </c>
      <c r="P43" s="555"/>
      <c r="Q43" s="590"/>
    </row>
    <row r="44" spans="1:17" s="559" customFormat="1">
      <c r="A44" s="326" t="s">
        <v>318</v>
      </c>
      <c r="B44" s="490" t="s">
        <v>814</v>
      </c>
      <c r="C44" s="522" t="s">
        <v>330</v>
      </c>
      <c r="D44" s="490" t="s">
        <v>814</v>
      </c>
      <c r="E44" s="472" t="s">
        <v>815</v>
      </c>
      <c r="F44" s="490">
        <v>201608</v>
      </c>
      <c r="G44" s="474">
        <v>-85531.41</v>
      </c>
      <c r="H44" s="590">
        <v>8.5</v>
      </c>
      <c r="I44" s="521">
        <v>1.3083000000000001E-3</v>
      </c>
      <c r="J44" s="491">
        <v>-951.16</v>
      </c>
      <c r="K44" s="523">
        <v>-1342.81</v>
      </c>
      <c r="P44" s="555"/>
      <c r="Q44" s="590"/>
    </row>
    <row r="45" spans="1:17" s="559" customFormat="1">
      <c r="A45" s="326" t="s">
        <v>318</v>
      </c>
      <c r="B45" s="490" t="s">
        <v>862</v>
      </c>
      <c r="C45" s="522" t="s">
        <v>330</v>
      </c>
      <c r="D45" s="490" t="s">
        <v>862</v>
      </c>
      <c r="E45" s="472" t="s">
        <v>863</v>
      </c>
      <c r="F45" s="490">
        <v>201608</v>
      </c>
      <c r="G45" s="474">
        <v>-633.86</v>
      </c>
      <c r="H45" s="590">
        <v>8.5</v>
      </c>
      <c r="I45" s="521">
        <v>1.3083000000000001E-3</v>
      </c>
      <c r="J45" s="491">
        <v>-7.05</v>
      </c>
      <c r="K45" s="523">
        <v>-9.9499999999999993</v>
      </c>
      <c r="P45" s="555"/>
      <c r="Q45" s="590"/>
    </row>
    <row r="46" spans="1:17" s="559" customFormat="1">
      <c r="A46" s="326" t="s">
        <v>318</v>
      </c>
      <c r="B46" s="490" t="s">
        <v>680</v>
      </c>
      <c r="C46" s="522" t="s">
        <v>330</v>
      </c>
      <c r="D46" s="490" t="s">
        <v>680</v>
      </c>
      <c r="E46" s="472" t="s">
        <v>681</v>
      </c>
      <c r="F46" s="490">
        <v>201608</v>
      </c>
      <c r="G46" s="474">
        <v>-22704.46</v>
      </c>
      <c r="H46" s="590">
        <v>8.5</v>
      </c>
      <c r="I46" s="521">
        <v>1.3083000000000001E-3</v>
      </c>
      <c r="J46" s="491">
        <v>-252.49</v>
      </c>
      <c r="K46" s="523">
        <v>-356.45</v>
      </c>
      <c r="P46" s="555"/>
      <c r="Q46" s="590"/>
    </row>
    <row r="47" spans="1:17" s="559" customFormat="1">
      <c r="A47" s="326" t="s">
        <v>318</v>
      </c>
      <c r="B47" s="490" t="s">
        <v>868</v>
      </c>
      <c r="C47" s="522" t="s">
        <v>330</v>
      </c>
      <c r="D47" s="490" t="s">
        <v>868</v>
      </c>
      <c r="E47" s="472" t="s">
        <v>869</v>
      </c>
      <c r="F47" s="490">
        <v>201608</v>
      </c>
      <c r="G47" s="474">
        <v>-22020.53</v>
      </c>
      <c r="H47" s="590">
        <v>8.5</v>
      </c>
      <c r="I47" s="521">
        <v>1.3083000000000001E-3</v>
      </c>
      <c r="J47" s="491">
        <v>-244.88</v>
      </c>
      <c r="K47" s="523">
        <v>-345.71</v>
      </c>
      <c r="P47" s="555"/>
      <c r="Q47" s="590"/>
    </row>
    <row r="48" spans="1:17" s="559" customFormat="1">
      <c r="A48" s="326" t="s">
        <v>318</v>
      </c>
      <c r="B48" s="490" t="s">
        <v>852</v>
      </c>
      <c r="C48" s="522" t="s">
        <v>330</v>
      </c>
      <c r="D48" s="490" t="s">
        <v>852</v>
      </c>
      <c r="E48" s="472" t="s">
        <v>853</v>
      </c>
      <c r="F48" s="490">
        <v>201608</v>
      </c>
      <c r="G48" s="474">
        <v>-24445.919999999998</v>
      </c>
      <c r="H48" s="590">
        <v>8.5</v>
      </c>
      <c r="I48" s="521">
        <v>1.3083000000000001E-3</v>
      </c>
      <c r="J48" s="491">
        <v>-271.85000000000002</v>
      </c>
      <c r="K48" s="523">
        <v>-383.79</v>
      </c>
      <c r="P48" s="555"/>
      <c r="Q48" s="590"/>
    </row>
    <row r="49" spans="1:19" s="559" customFormat="1">
      <c r="A49" s="326" t="s">
        <v>318</v>
      </c>
      <c r="B49" s="490" t="s">
        <v>870</v>
      </c>
      <c r="C49" s="522" t="s">
        <v>330</v>
      </c>
      <c r="D49" s="490" t="s">
        <v>870</v>
      </c>
      <c r="E49" s="472" t="s">
        <v>871</v>
      </c>
      <c r="F49" s="490">
        <v>201608</v>
      </c>
      <c r="G49" s="474">
        <v>-2603.0500000000002</v>
      </c>
      <c r="H49" s="590">
        <v>8.5</v>
      </c>
      <c r="I49" s="521">
        <v>1.3083000000000001E-3</v>
      </c>
      <c r="J49" s="491">
        <v>-28.95</v>
      </c>
      <c r="K49" s="523">
        <v>-40.869999999999997</v>
      </c>
      <c r="P49" s="555"/>
      <c r="Q49" s="590"/>
    </row>
    <row r="50" spans="1:19" s="559" customFormat="1">
      <c r="A50" s="326" t="s">
        <v>318</v>
      </c>
      <c r="B50" s="490" t="s">
        <v>872</v>
      </c>
      <c r="C50" s="522" t="s">
        <v>330</v>
      </c>
      <c r="D50" s="490" t="s">
        <v>872</v>
      </c>
      <c r="E50" s="472" t="s">
        <v>873</v>
      </c>
      <c r="F50" s="490">
        <v>201608</v>
      </c>
      <c r="G50" s="474">
        <v>-17026.86</v>
      </c>
      <c r="H50" s="590">
        <v>8.5</v>
      </c>
      <c r="I50" s="521">
        <v>1.3083000000000001E-3</v>
      </c>
      <c r="J50" s="491">
        <v>-189.35</v>
      </c>
      <c r="K50" s="523">
        <v>-267.31</v>
      </c>
      <c r="P50" s="555"/>
      <c r="Q50" s="590"/>
    </row>
    <row r="51" spans="1:19" s="559" customFormat="1">
      <c r="A51" s="326" t="s">
        <v>318</v>
      </c>
      <c r="B51" s="490" t="s">
        <v>826</v>
      </c>
      <c r="C51" s="522" t="s">
        <v>330</v>
      </c>
      <c r="D51" s="490" t="s">
        <v>826</v>
      </c>
      <c r="E51" s="472" t="s">
        <v>827</v>
      </c>
      <c r="F51" s="490">
        <v>201608</v>
      </c>
      <c r="G51" s="474">
        <v>-21193.91</v>
      </c>
      <c r="H51" s="590">
        <v>8.5</v>
      </c>
      <c r="I51" s="521">
        <v>1.3083000000000001E-3</v>
      </c>
      <c r="J51" s="491">
        <v>-235.69</v>
      </c>
      <c r="K51" s="523">
        <v>-332.74</v>
      </c>
      <c r="P51" s="555"/>
      <c r="Q51" s="590"/>
    </row>
    <row r="52" spans="1:19" s="559" customFormat="1">
      <c r="A52" s="326" t="s">
        <v>318</v>
      </c>
      <c r="B52" s="490" t="s">
        <v>874</v>
      </c>
      <c r="C52" s="522" t="s">
        <v>330</v>
      </c>
      <c r="D52" s="490" t="s">
        <v>874</v>
      </c>
      <c r="E52" s="472" t="s">
        <v>875</v>
      </c>
      <c r="F52" s="490">
        <v>201608</v>
      </c>
      <c r="G52" s="474">
        <v>-8993.24</v>
      </c>
      <c r="H52" s="590">
        <v>8.5</v>
      </c>
      <c r="I52" s="521">
        <v>1.3083000000000001E-3</v>
      </c>
      <c r="J52" s="491">
        <v>-100.01</v>
      </c>
      <c r="K52" s="523">
        <v>-141.19</v>
      </c>
      <c r="P52" s="555"/>
      <c r="Q52" s="590"/>
    </row>
    <row r="53" spans="1:19" s="559" customFormat="1">
      <c r="A53" s="608" t="s">
        <v>318</v>
      </c>
      <c r="B53" s="495" t="s">
        <v>854</v>
      </c>
      <c r="C53" s="460" t="s">
        <v>330</v>
      </c>
      <c r="D53" s="495" t="s">
        <v>854</v>
      </c>
      <c r="E53" s="479" t="s">
        <v>855</v>
      </c>
      <c r="F53" s="495">
        <v>201608</v>
      </c>
      <c r="G53" s="480">
        <v>-6722.79</v>
      </c>
      <c r="H53" s="479">
        <v>8.5</v>
      </c>
      <c r="I53" s="492">
        <v>1.3083000000000001E-3</v>
      </c>
      <c r="J53" s="420">
        <v>-74.760000000000005</v>
      </c>
      <c r="K53" s="493">
        <v>-105.55</v>
      </c>
      <c r="P53" s="555"/>
      <c r="Q53" s="590"/>
    </row>
    <row r="54" spans="1:19" s="559" customFormat="1">
      <c r="A54" s="522" t="s">
        <v>318</v>
      </c>
      <c r="B54" s="485" t="s">
        <v>1059</v>
      </c>
      <c r="C54" s="522" t="s">
        <v>736</v>
      </c>
      <c r="D54" s="522" t="s">
        <v>1059</v>
      </c>
      <c r="E54" s="521" t="s">
        <v>1060</v>
      </c>
      <c r="F54" s="522">
        <v>201609</v>
      </c>
      <c r="G54" s="523">
        <v>-499.65</v>
      </c>
      <c r="H54" s="590">
        <v>7.5</v>
      </c>
      <c r="I54" s="521">
        <v>1.3083000000000001E-3</v>
      </c>
      <c r="J54" s="589">
        <v>-4.9000000000000004</v>
      </c>
      <c r="K54" s="589">
        <v>-7.84</v>
      </c>
      <c r="P54" s="555"/>
      <c r="Q54" s="590"/>
    </row>
    <row r="55" spans="1:19" s="559" customFormat="1">
      <c r="A55" s="522" t="s">
        <v>318</v>
      </c>
      <c r="B55" s="485" t="s">
        <v>987</v>
      </c>
      <c r="C55" s="522" t="s">
        <v>330</v>
      </c>
      <c r="D55" s="522" t="s">
        <v>987</v>
      </c>
      <c r="E55" s="521" t="s">
        <v>988</v>
      </c>
      <c r="F55" s="522">
        <v>201609</v>
      </c>
      <c r="G55" s="523">
        <v>-73700.41</v>
      </c>
      <c r="H55" s="590">
        <v>7.5</v>
      </c>
      <c r="I55" s="521">
        <v>1.3083000000000001E-3</v>
      </c>
      <c r="J55" s="589">
        <v>-723.17</v>
      </c>
      <c r="K55" s="589">
        <v>-1157.07</v>
      </c>
      <c r="P55" s="555"/>
      <c r="Q55" s="590"/>
    </row>
    <row r="56" spans="1:19" s="559" customFormat="1">
      <c r="A56" s="522" t="s">
        <v>318</v>
      </c>
      <c r="B56" s="485" t="s">
        <v>882</v>
      </c>
      <c r="C56" s="522" t="s">
        <v>330</v>
      </c>
      <c r="D56" s="522" t="s">
        <v>882</v>
      </c>
      <c r="E56" s="521" t="s">
        <v>995</v>
      </c>
      <c r="F56" s="522">
        <v>201609</v>
      </c>
      <c r="G56" s="523">
        <v>-316.8</v>
      </c>
      <c r="H56" s="590">
        <v>7.5</v>
      </c>
      <c r="I56" s="521">
        <v>1.3083000000000001E-3</v>
      </c>
      <c r="J56" s="589">
        <v>-3.11</v>
      </c>
      <c r="K56" s="589">
        <v>-4.97</v>
      </c>
      <c r="P56" s="555"/>
      <c r="Q56" s="590"/>
    </row>
    <row r="57" spans="1:19" s="559" customFormat="1">
      <c r="A57" s="522" t="s">
        <v>318</v>
      </c>
      <c r="B57" s="485" t="s">
        <v>832</v>
      </c>
      <c r="C57" s="522" t="s">
        <v>330</v>
      </c>
      <c r="D57" s="522" t="s">
        <v>832</v>
      </c>
      <c r="E57" s="521" t="s">
        <v>833</v>
      </c>
      <c r="F57" s="522">
        <v>201610</v>
      </c>
      <c r="G57" s="523">
        <v>-8617.39</v>
      </c>
      <c r="H57" s="590">
        <v>6.5</v>
      </c>
      <c r="I57" s="521">
        <v>1.3083000000000001E-3</v>
      </c>
      <c r="J57" s="589">
        <v>-73.28</v>
      </c>
      <c r="K57" s="589">
        <v>-135.29</v>
      </c>
      <c r="P57" s="555"/>
      <c r="Q57" s="590"/>
    </row>
    <row r="58" spans="1:19" s="559" customFormat="1">
      <c r="A58" s="522" t="s">
        <v>318</v>
      </c>
      <c r="B58" s="485" t="s">
        <v>955</v>
      </c>
      <c r="C58" s="522" t="s">
        <v>330</v>
      </c>
      <c r="D58" s="522" t="s">
        <v>955</v>
      </c>
      <c r="E58" s="521" t="s">
        <v>956</v>
      </c>
      <c r="F58" s="522">
        <v>201610</v>
      </c>
      <c r="G58" s="523">
        <v>-223030.94</v>
      </c>
      <c r="H58" s="590">
        <v>6.5</v>
      </c>
      <c r="I58" s="521">
        <v>1.3083000000000001E-3</v>
      </c>
      <c r="J58" s="589">
        <v>-1896.64</v>
      </c>
      <c r="K58" s="589">
        <v>-3501.5</v>
      </c>
      <c r="P58" s="555"/>
      <c r="Q58" s="590"/>
    </row>
    <row r="59" spans="1:19" s="559" customFormat="1">
      <c r="A59" s="522" t="s">
        <v>318</v>
      </c>
      <c r="B59" s="485" t="s">
        <v>951</v>
      </c>
      <c r="C59" s="522" t="s">
        <v>330</v>
      </c>
      <c r="D59" s="522" t="s">
        <v>951</v>
      </c>
      <c r="E59" s="521" t="s">
        <v>952</v>
      </c>
      <c r="F59" s="522">
        <v>201610</v>
      </c>
      <c r="G59" s="523">
        <v>-19964.810000000001</v>
      </c>
      <c r="H59" s="590">
        <v>6.5</v>
      </c>
      <c r="I59" s="521">
        <v>1.3083000000000001E-3</v>
      </c>
      <c r="J59" s="589">
        <v>-169.78</v>
      </c>
      <c r="K59" s="589">
        <v>-313.44</v>
      </c>
      <c r="P59" s="555"/>
      <c r="Q59" s="590"/>
    </row>
    <row r="60" spans="1:19" s="559" customFormat="1">
      <c r="A60" s="522" t="s">
        <v>318</v>
      </c>
      <c r="B60" s="485" t="s">
        <v>947</v>
      </c>
      <c r="C60" s="522" t="s">
        <v>330</v>
      </c>
      <c r="D60" s="522" t="s">
        <v>947</v>
      </c>
      <c r="E60" s="521" t="s">
        <v>948</v>
      </c>
      <c r="F60" s="522">
        <v>201610</v>
      </c>
      <c r="G60" s="523">
        <v>-61142.23</v>
      </c>
      <c r="H60" s="590">
        <v>6.5</v>
      </c>
      <c r="I60" s="521">
        <v>1.3083000000000001E-3</v>
      </c>
      <c r="J60" s="589">
        <v>-519.95000000000005</v>
      </c>
      <c r="K60" s="589">
        <v>-959.91</v>
      </c>
      <c r="P60" s="555"/>
      <c r="Q60" s="590"/>
    </row>
    <row r="61" spans="1:19" s="559" customFormat="1">
      <c r="A61" s="522" t="s">
        <v>318</v>
      </c>
      <c r="B61" s="485" t="s">
        <v>327</v>
      </c>
      <c r="C61" s="522" t="s">
        <v>319</v>
      </c>
      <c r="D61" s="522" t="s">
        <v>327</v>
      </c>
      <c r="E61" s="521" t="s">
        <v>328</v>
      </c>
      <c r="F61" s="522">
        <v>201611</v>
      </c>
      <c r="G61" s="523">
        <v>-171.53</v>
      </c>
      <c r="H61" s="590">
        <v>5.5</v>
      </c>
      <c r="I61" s="521">
        <v>1.3083000000000001E-3</v>
      </c>
      <c r="J61" s="589">
        <v>-1.23</v>
      </c>
      <c r="K61" s="589">
        <v>-2.69</v>
      </c>
      <c r="P61" s="555"/>
      <c r="Q61" s="590"/>
    </row>
    <row r="62" spans="1:19" s="559" customFormat="1">
      <c r="A62" s="522" t="s">
        <v>318</v>
      </c>
      <c r="B62" s="485" t="s">
        <v>973</v>
      </c>
      <c r="C62" s="522" t="s">
        <v>330</v>
      </c>
      <c r="D62" s="522" t="s">
        <v>973</v>
      </c>
      <c r="E62" s="521" t="s">
        <v>974</v>
      </c>
      <c r="F62" s="522">
        <v>201612</v>
      </c>
      <c r="G62" s="523">
        <v>-1499.6</v>
      </c>
      <c r="H62" s="590">
        <v>4.5</v>
      </c>
      <c r="I62" s="521">
        <v>1.3083000000000001E-3</v>
      </c>
      <c r="J62" s="589">
        <v>-8.83</v>
      </c>
      <c r="K62" s="589">
        <v>-23.54</v>
      </c>
      <c r="P62" s="555"/>
      <c r="Q62" s="590"/>
    </row>
    <row r="63" spans="1:19" s="559" customFormat="1">
      <c r="A63" s="522"/>
      <c r="B63" s="485"/>
      <c r="C63" s="522"/>
      <c r="D63" s="522"/>
      <c r="E63" s="521"/>
      <c r="F63" s="522"/>
      <c r="G63" s="523"/>
      <c r="H63" s="590"/>
      <c r="I63" s="521"/>
      <c r="J63" s="589"/>
      <c r="K63" s="589"/>
      <c r="P63" s="555"/>
      <c r="Q63" s="590"/>
    </row>
    <row r="64" spans="1:19">
      <c r="A64" s="107"/>
      <c r="B64" s="108"/>
      <c r="C64" s="108"/>
      <c r="D64" s="108"/>
      <c r="E64" s="126"/>
      <c r="F64" s="159"/>
      <c r="G64" s="82"/>
      <c r="H64" s="180"/>
      <c r="I64" s="126"/>
      <c r="J64" s="82"/>
      <c r="K64" s="82"/>
      <c r="S64" s="101">
        <f t="shared" si="0"/>
        <v>2014</v>
      </c>
    </row>
    <row r="65" spans="1:19">
      <c r="A65" s="113"/>
      <c r="B65" s="114"/>
      <c r="C65" s="114"/>
      <c r="D65" s="114"/>
      <c r="E65" s="114"/>
      <c r="F65" s="164"/>
      <c r="G65" s="129"/>
      <c r="H65" s="181"/>
      <c r="I65" s="121"/>
      <c r="J65" s="129"/>
      <c r="K65" s="129"/>
    </row>
    <row r="66" spans="1:19" ht="13.5" thickBot="1">
      <c r="A66" s="95" t="s">
        <v>151</v>
      </c>
      <c r="B66" s="114"/>
      <c r="C66" s="114"/>
      <c r="D66" s="114"/>
      <c r="E66" s="114"/>
      <c r="F66" s="164"/>
      <c r="G66" s="130">
        <f>SUM(G7:G65)</f>
        <v>-2151934.0099999998</v>
      </c>
      <c r="H66" s="181"/>
      <c r="I66" s="121"/>
      <c r="J66" s="130">
        <f>SUM(J7:J65)</f>
        <v>-17527.670000000002</v>
      </c>
      <c r="K66" s="130">
        <f>SUM(K7:K65)</f>
        <v>-33784.510000000009</v>
      </c>
    </row>
    <row r="67" spans="1:19" ht="13.5" thickTop="1">
      <c r="A67" s="95"/>
      <c r="B67" s="114"/>
      <c r="C67" s="114"/>
      <c r="D67" s="114"/>
      <c r="E67" s="114"/>
      <c r="F67" s="164"/>
      <c r="G67" s="103"/>
      <c r="H67" s="181"/>
      <c r="I67" s="121"/>
      <c r="J67" s="103"/>
      <c r="K67" s="103"/>
    </row>
    <row r="68" spans="1:19">
      <c r="A68" s="88" t="s">
        <v>124</v>
      </c>
    </row>
    <row r="69" spans="1:19">
      <c r="A69" s="95"/>
      <c r="B69" s="114"/>
      <c r="C69" s="114"/>
      <c r="D69" s="114"/>
      <c r="E69" s="114"/>
      <c r="F69" s="164"/>
      <c r="G69" s="103"/>
      <c r="H69" s="181"/>
      <c r="I69" s="121"/>
      <c r="J69" s="103"/>
      <c r="K69" s="103"/>
    </row>
    <row r="70" spans="1:19">
      <c r="A70" s="81" t="s">
        <v>86</v>
      </c>
      <c r="B70" s="81" t="s">
        <v>87</v>
      </c>
      <c r="C70" s="81" t="s">
        <v>88</v>
      </c>
      <c r="D70" s="81" t="s">
        <v>104</v>
      </c>
      <c r="E70" s="81"/>
      <c r="F70" s="146" t="s">
        <v>121</v>
      </c>
      <c r="G70" s="90" t="s">
        <v>121</v>
      </c>
      <c r="H70" s="177"/>
      <c r="I70" s="81" t="s">
        <v>91</v>
      </c>
      <c r="J70" s="90" t="s">
        <v>92</v>
      </c>
      <c r="K70" s="90" t="s">
        <v>93</v>
      </c>
    </row>
    <row r="71" spans="1:19">
      <c r="A71" s="86" t="s">
        <v>94</v>
      </c>
      <c r="B71" s="96" t="s">
        <v>95</v>
      </c>
      <c r="C71" s="96" t="s">
        <v>96</v>
      </c>
      <c r="D71" s="96" t="s">
        <v>122</v>
      </c>
      <c r="E71" s="96" t="s">
        <v>97</v>
      </c>
      <c r="F71" s="150" t="s">
        <v>98</v>
      </c>
      <c r="G71" s="98" t="s">
        <v>99</v>
      </c>
      <c r="H71" s="179" t="s">
        <v>100</v>
      </c>
      <c r="I71" s="96" t="s">
        <v>101</v>
      </c>
      <c r="J71" s="98" t="s">
        <v>123</v>
      </c>
      <c r="K71" s="98" t="s">
        <v>102</v>
      </c>
    </row>
    <row r="72" spans="1:19">
      <c r="A72" s="521" t="s">
        <v>332</v>
      </c>
      <c r="B72" s="522" t="s">
        <v>647</v>
      </c>
      <c r="C72" s="423" t="s">
        <v>330</v>
      </c>
      <c r="D72" s="522" t="s">
        <v>647</v>
      </c>
      <c r="E72" s="521" t="s">
        <v>648</v>
      </c>
      <c r="F72" s="522">
        <v>201601</v>
      </c>
      <c r="G72" s="523">
        <v>-11845.45</v>
      </c>
      <c r="H72" s="590">
        <v>3</v>
      </c>
      <c r="I72" s="486">
        <v>2.7583E-3</v>
      </c>
      <c r="J72" s="491">
        <v>-98.02</v>
      </c>
      <c r="K72" s="523">
        <v>-392.08</v>
      </c>
      <c r="S72" s="101">
        <f t="shared" ref="S72:S139" si="1">IF(F72&lt;=$S$1,$U$5,$U$6)</f>
        <v>2015</v>
      </c>
    </row>
    <row r="73" spans="1:19">
      <c r="A73" s="521" t="s">
        <v>332</v>
      </c>
      <c r="B73" s="522" t="s">
        <v>657</v>
      </c>
      <c r="C73" s="490" t="s">
        <v>330</v>
      </c>
      <c r="D73" s="522">
        <v>900570</v>
      </c>
      <c r="E73" s="521" t="s">
        <v>658</v>
      </c>
      <c r="F73" s="522">
        <v>201601</v>
      </c>
      <c r="G73" s="523">
        <v>-15171.24</v>
      </c>
      <c r="H73" s="590">
        <v>3</v>
      </c>
      <c r="I73" s="486">
        <v>2.7583E-3</v>
      </c>
      <c r="J73" s="401">
        <v>-125.54</v>
      </c>
      <c r="K73" s="482">
        <v>-502.16</v>
      </c>
    </row>
    <row r="74" spans="1:19">
      <c r="A74" s="521" t="s">
        <v>332</v>
      </c>
      <c r="B74" s="522" t="s">
        <v>788</v>
      </c>
      <c r="C74" s="429" t="s">
        <v>330</v>
      </c>
      <c r="D74" s="522" t="s">
        <v>788</v>
      </c>
      <c r="E74" s="521" t="s">
        <v>789</v>
      </c>
      <c r="F74" s="522">
        <v>201601</v>
      </c>
      <c r="G74" s="523">
        <v>-19017.990000000002</v>
      </c>
      <c r="H74" s="590">
        <v>3</v>
      </c>
      <c r="I74" s="486">
        <v>2.7583E-3</v>
      </c>
      <c r="J74" s="491">
        <v>-157.37</v>
      </c>
      <c r="K74" s="523">
        <v>-629.49</v>
      </c>
    </row>
    <row r="75" spans="1:19">
      <c r="A75" s="521" t="s">
        <v>332</v>
      </c>
      <c r="B75" s="522" t="s">
        <v>670</v>
      </c>
      <c r="C75" s="490" t="s">
        <v>330</v>
      </c>
      <c r="D75" s="522" t="s">
        <v>670</v>
      </c>
      <c r="E75" s="521" t="s">
        <v>671</v>
      </c>
      <c r="F75" s="522">
        <v>201601</v>
      </c>
      <c r="G75" s="523">
        <v>-5840.87</v>
      </c>
      <c r="H75" s="590">
        <v>3</v>
      </c>
      <c r="I75" s="486">
        <v>2.7583E-3</v>
      </c>
      <c r="J75" s="491">
        <v>-48.33</v>
      </c>
      <c r="K75" s="523">
        <v>-193.33</v>
      </c>
    </row>
    <row r="76" spans="1:19">
      <c r="A76" s="521" t="s">
        <v>332</v>
      </c>
      <c r="B76" s="522" t="s">
        <v>567</v>
      </c>
      <c r="C76" s="490" t="s">
        <v>330</v>
      </c>
      <c r="D76" s="522" t="s">
        <v>567</v>
      </c>
      <c r="E76" s="521" t="s">
        <v>568</v>
      </c>
      <c r="F76" s="522">
        <v>201601</v>
      </c>
      <c r="G76" s="523">
        <v>-4903.16</v>
      </c>
      <c r="H76" s="590">
        <v>3</v>
      </c>
      <c r="I76" s="486">
        <v>2.7583E-3</v>
      </c>
      <c r="J76" s="491">
        <v>-40.57</v>
      </c>
      <c r="K76" s="523">
        <v>-162.29</v>
      </c>
    </row>
    <row r="77" spans="1:19">
      <c r="A77" s="481" t="s">
        <v>332</v>
      </c>
      <c r="B77" s="485" t="s">
        <v>692</v>
      </c>
      <c r="C77" s="490" t="s">
        <v>330</v>
      </c>
      <c r="D77" s="522" t="s">
        <v>692</v>
      </c>
      <c r="E77" s="481" t="s">
        <v>693</v>
      </c>
      <c r="F77" s="485">
        <v>201601</v>
      </c>
      <c r="G77" s="482">
        <v>-6497.76</v>
      </c>
      <c r="H77" s="590">
        <v>3</v>
      </c>
      <c r="I77" s="486">
        <v>2.7583E-3</v>
      </c>
      <c r="J77" s="491">
        <v>-53.77</v>
      </c>
      <c r="K77" s="523">
        <v>-215.07</v>
      </c>
    </row>
    <row r="78" spans="1:19">
      <c r="A78" s="481" t="s">
        <v>332</v>
      </c>
      <c r="B78" s="485" t="s">
        <v>1088</v>
      </c>
      <c r="C78" s="490" t="s">
        <v>330</v>
      </c>
      <c r="D78" s="485" t="s">
        <v>1088</v>
      </c>
      <c r="E78" s="481" t="s">
        <v>1089</v>
      </c>
      <c r="F78" s="485">
        <v>201601</v>
      </c>
      <c r="G78" s="482">
        <v>-4274.68</v>
      </c>
      <c r="H78" s="590">
        <v>3</v>
      </c>
      <c r="I78" s="486">
        <v>2.7583E-3</v>
      </c>
      <c r="J78" s="491">
        <v>-35.369999999999997</v>
      </c>
      <c r="K78" s="523">
        <v>-141.49</v>
      </c>
    </row>
    <row r="79" spans="1:19">
      <c r="A79" s="521"/>
      <c r="B79" s="522"/>
      <c r="C79" s="429"/>
      <c r="D79" s="522"/>
      <c r="E79" s="521"/>
      <c r="F79" s="522"/>
      <c r="G79" s="523"/>
      <c r="H79" s="590"/>
      <c r="I79" s="486"/>
      <c r="J79" s="491"/>
      <c r="K79" s="523"/>
    </row>
    <row r="80" spans="1:19">
      <c r="A80" s="521" t="s">
        <v>332</v>
      </c>
      <c r="B80" s="522" t="s">
        <v>589</v>
      </c>
      <c r="C80" s="490" t="s">
        <v>330</v>
      </c>
      <c r="D80" s="522" t="s">
        <v>589</v>
      </c>
      <c r="E80" s="521" t="s">
        <v>590</v>
      </c>
      <c r="F80" s="522">
        <v>201602</v>
      </c>
      <c r="G80" s="523">
        <v>-47069.39</v>
      </c>
      <c r="H80" s="590">
        <v>2</v>
      </c>
      <c r="I80" s="486">
        <v>2.7583E-3</v>
      </c>
      <c r="J80" s="491">
        <v>-259.66000000000003</v>
      </c>
      <c r="K80" s="523">
        <v>-1557.98</v>
      </c>
    </row>
    <row r="81" spans="1:19">
      <c r="A81" s="521" t="s">
        <v>332</v>
      </c>
      <c r="B81" s="522" t="s">
        <v>708</v>
      </c>
      <c r="C81" s="429" t="s">
        <v>331</v>
      </c>
      <c r="D81" s="522" t="s">
        <v>708</v>
      </c>
      <c r="E81" s="521" t="s">
        <v>709</v>
      </c>
      <c r="F81" s="522">
        <v>201602</v>
      </c>
      <c r="G81" s="523">
        <v>-28361.119999999999</v>
      </c>
      <c r="H81" s="590">
        <v>2</v>
      </c>
      <c r="I81" s="486">
        <v>2.7583E-3</v>
      </c>
      <c r="J81" s="491">
        <v>-156.46</v>
      </c>
      <c r="K81" s="523">
        <v>-938.74</v>
      </c>
    </row>
    <row r="82" spans="1:19">
      <c r="A82" s="521" t="s">
        <v>332</v>
      </c>
      <c r="B82" s="522" t="s">
        <v>649</v>
      </c>
      <c r="C82" s="490" t="s">
        <v>330</v>
      </c>
      <c r="D82" s="522" t="s">
        <v>649</v>
      </c>
      <c r="E82" s="521" t="s">
        <v>650</v>
      </c>
      <c r="F82" s="522">
        <v>201602</v>
      </c>
      <c r="G82" s="523">
        <v>-18216.43</v>
      </c>
      <c r="H82" s="590">
        <v>2</v>
      </c>
      <c r="I82" s="486">
        <v>2.7583E-3</v>
      </c>
      <c r="J82" s="491">
        <v>-100.49</v>
      </c>
      <c r="K82" s="523">
        <v>-602.96</v>
      </c>
    </row>
    <row r="83" spans="1:19">
      <c r="A83" s="521" t="s">
        <v>332</v>
      </c>
      <c r="B83" s="522" t="s">
        <v>786</v>
      </c>
      <c r="C83" s="490" t="s">
        <v>330</v>
      </c>
      <c r="D83" s="522" t="s">
        <v>786</v>
      </c>
      <c r="E83" s="521" t="s">
        <v>787</v>
      </c>
      <c r="F83" s="522">
        <v>201602</v>
      </c>
      <c r="G83" s="523">
        <v>-12685.39</v>
      </c>
      <c r="H83" s="590">
        <v>2</v>
      </c>
      <c r="I83" s="486">
        <v>2.7583E-3</v>
      </c>
      <c r="J83" s="491">
        <v>-69.98</v>
      </c>
      <c r="K83" s="523">
        <v>-419.88</v>
      </c>
    </row>
    <row r="84" spans="1:19">
      <c r="A84" s="481" t="s">
        <v>332</v>
      </c>
      <c r="B84" s="485" t="s">
        <v>653</v>
      </c>
      <c r="C84" s="587" t="s">
        <v>330</v>
      </c>
      <c r="D84" s="485" t="s">
        <v>653</v>
      </c>
      <c r="E84" s="481" t="s">
        <v>654</v>
      </c>
      <c r="F84" s="485">
        <v>201602</v>
      </c>
      <c r="G84" s="482">
        <v>-29708.06</v>
      </c>
      <c r="H84" s="590">
        <v>2</v>
      </c>
      <c r="I84" s="400">
        <v>2.7583E-3</v>
      </c>
      <c r="J84" s="491">
        <v>-163.89</v>
      </c>
      <c r="K84" s="523">
        <v>-983.32</v>
      </c>
    </row>
    <row r="85" spans="1:19">
      <c r="A85" s="608" t="s">
        <v>332</v>
      </c>
      <c r="B85" s="495" t="s">
        <v>659</v>
      </c>
      <c r="C85" s="460" t="s">
        <v>330</v>
      </c>
      <c r="D85" s="495" t="s">
        <v>659</v>
      </c>
      <c r="E85" s="479" t="s">
        <v>660</v>
      </c>
      <c r="F85" s="495">
        <v>201602</v>
      </c>
      <c r="G85" s="480">
        <v>-12981.6</v>
      </c>
      <c r="H85" s="479">
        <v>2</v>
      </c>
      <c r="I85" s="492">
        <v>2.7583E-3</v>
      </c>
      <c r="J85" s="420">
        <v>-71.61</v>
      </c>
      <c r="K85" s="493">
        <v>-429.69</v>
      </c>
    </row>
    <row r="86" spans="1:19">
      <c r="A86" s="326" t="s">
        <v>332</v>
      </c>
      <c r="B86" s="609" t="s">
        <v>663</v>
      </c>
      <c r="C86" s="522" t="s">
        <v>330</v>
      </c>
      <c r="D86" s="490" t="s">
        <v>663</v>
      </c>
      <c r="E86" s="472" t="s">
        <v>664</v>
      </c>
      <c r="F86" s="490">
        <v>201602</v>
      </c>
      <c r="G86" s="474">
        <v>-6404.47</v>
      </c>
      <c r="H86" s="590">
        <v>2</v>
      </c>
      <c r="I86" s="486">
        <v>2.7583E-3</v>
      </c>
      <c r="J86" s="491">
        <v>-35.33</v>
      </c>
      <c r="K86" s="523">
        <v>-211.99</v>
      </c>
      <c r="S86" s="101">
        <f t="shared" si="1"/>
        <v>2015</v>
      </c>
    </row>
    <row r="87" spans="1:19">
      <c r="A87" s="326" t="s">
        <v>332</v>
      </c>
      <c r="B87" s="485" t="s">
        <v>674</v>
      </c>
      <c r="C87" s="522" t="s">
        <v>330</v>
      </c>
      <c r="D87" s="490" t="s">
        <v>674</v>
      </c>
      <c r="E87" s="588" t="s">
        <v>675</v>
      </c>
      <c r="F87" s="490">
        <v>201602</v>
      </c>
      <c r="G87" s="338">
        <v>-4843.55</v>
      </c>
      <c r="H87" s="590">
        <v>2</v>
      </c>
      <c r="I87" s="400">
        <v>2.7583E-3</v>
      </c>
      <c r="J87" s="401">
        <v>-26.72</v>
      </c>
      <c r="K87" s="482">
        <v>-160.32</v>
      </c>
      <c r="S87" s="101">
        <f t="shared" si="1"/>
        <v>2015</v>
      </c>
    </row>
    <row r="88" spans="1:19">
      <c r="A88" s="326" t="s">
        <v>332</v>
      </c>
      <c r="B88" s="522" t="s">
        <v>678</v>
      </c>
      <c r="C88" s="522" t="s">
        <v>439</v>
      </c>
      <c r="D88" s="490" t="s">
        <v>678</v>
      </c>
      <c r="E88" s="472" t="s">
        <v>679</v>
      </c>
      <c r="F88" s="490">
        <v>201602</v>
      </c>
      <c r="G88" s="474">
        <v>-7424.88</v>
      </c>
      <c r="H88" s="590">
        <v>2</v>
      </c>
      <c r="I88" s="486">
        <v>2.7583E-3</v>
      </c>
      <c r="J88" s="491">
        <v>-40.96</v>
      </c>
      <c r="K88" s="523">
        <v>-245.76</v>
      </c>
      <c r="S88" s="101">
        <f t="shared" si="1"/>
        <v>2015</v>
      </c>
    </row>
    <row r="89" spans="1:19">
      <c r="A89" s="399" t="s">
        <v>332</v>
      </c>
      <c r="B89" s="522" t="s">
        <v>690</v>
      </c>
      <c r="C89" s="522" t="s">
        <v>330</v>
      </c>
      <c r="D89" s="522" t="s">
        <v>690</v>
      </c>
      <c r="E89" s="521" t="s">
        <v>691</v>
      </c>
      <c r="F89" s="522">
        <v>201602</v>
      </c>
      <c r="G89" s="523">
        <v>-7063.06</v>
      </c>
      <c r="H89" s="590">
        <v>2</v>
      </c>
      <c r="I89" s="486">
        <v>2.7583E-3</v>
      </c>
      <c r="J89" s="491">
        <v>-38.96</v>
      </c>
      <c r="K89" s="523">
        <v>-233.78</v>
      </c>
      <c r="S89" s="101">
        <f t="shared" si="1"/>
        <v>2015</v>
      </c>
    </row>
    <row r="90" spans="1:19" s="559" customFormat="1">
      <c r="A90" s="399" t="s">
        <v>332</v>
      </c>
      <c r="B90" s="522" t="s">
        <v>794</v>
      </c>
      <c r="C90" s="522" t="s">
        <v>331</v>
      </c>
      <c r="D90" s="522" t="s">
        <v>794</v>
      </c>
      <c r="E90" s="521" t="s">
        <v>795</v>
      </c>
      <c r="F90" s="522">
        <v>201602</v>
      </c>
      <c r="G90" s="523">
        <v>-3141.49</v>
      </c>
      <c r="H90" s="590">
        <v>2</v>
      </c>
      <c r="I90" s="486">
        <v>2.7583E-3</v>
      </c>
      <c r="J90" s="491">
        <v>-17.329999999999998</v>
      </c>
      <c r="K90" s="523">
        <v>-103.98</v>
      </c>
    </row>
    <row r="91" spans="1:19" s="559" customFormat="1">
      <c r="A91" s="399" t="s">
        <v>332</v>
      </c>
      <c r="B91" s="522" t="s">
        <v>914</v>
      </c>
      <c r="C91" s="522" t="s">
        <v>330</v>
      </c>
      <c r="D91" s="522">
        <v>900266</v>
      </c>
      <c r="E91" s="521" t="s">
        <v>905</v>
      </c>
      <c r="F91" s="522">
        <v>201603</v>
      </c>
      <c r="G91" s="523">
        <v>-26028.38</v>
      </c>
      <c r="H91" s="590">
        <v>13.5</v>
      </c>
      <c r="I91" s="486">
        <v>2.7583E-3</v>
      </c>
      <c r="J91" s="491">
        <v>-969.22</v>
      </c>
      <c r="K91" s="523">
        <v>-861.53</v>
      </c>
    </row>
    <row r="92" spans="1:19" s="559" customFormat="1">
      <c r="A92" s="399" t="s">
        <v>332</v>
      </c>
      <c r="B92" s="522" t="s">
        <v>918</v>
      </c>
      <c r="C92" s="522" t="s">
        <v>330</v>
      </c>
      <c r="D92" s="522">
        <v>900267</v>
      </c>
      <c r="E92" s="521" t="s">
        <v>919</v>
      </c>
      <c r="F92" s="522">
        <v>201603</v>
      </c>
      <c r="G92" s="523">
        <v>-12453.81</v>
      </c>
      <c r="H92" s="590">
        <v>13.5</v>
      </c>
      <c r="I92" s="486">
        <v>2.7583E-3</v>
      </c>
      <c r="J92" s="491">
        <v>-463.74</v>
      </c>
      <c r="K92" s="523">
        <v>-412.22</v>
      </c>
    </row>
    <row r="93" spans="1:19" s="559" customFormat="1">
      <c r="A93" s="399" t="s">
        <v>332</v>
      </c>
      <c r="B93" s="522" t="s">
        <v>920</v>
      </c>
      <c r="C93" s="522" t="s">
        <v>330</v>
      </c>
      <c r="D93" s="522">
        <v>900268</v>
      </c>
      <c r="E93" s="521" t="s">
        <v>906</v>
      </c>
      <c r="F93" s="522">
        <v>201603</v>
      </c>
      <c r="G93" s="523">
        <v>-15274.7</v>
      </c>
      <c r="H93" s="590">
        <v>13.5</v>
      </c>
      <c r="I93" s="486">
        <v>2.7583E-3</v>
      </c>
      <c r="J93" s="491">
        <v>-568.78</v>
      </c>
      <c r="K93" s="523">
        <v>-505.59</v>
      </c>
    </row>
    <row r="94" spans="1:19" s="559" customFormat="1">
      <c r="A94" s="326" t="s">
        <v>332</v>
      </c>
      <c r="B94" s="490" t="s">
        <v>921</v>
      </c>
      <c r="C94" s="522" t="s">
        <v>330</v>
      </c>
      <c r="D94" s="490">
        <v>900275</v>
      </c>
      <c r="E94" s="472" t="s">
        <v>922</v>
      </c>
      <c r="F94" s="490">
        <v>201603</v>
      </c>
      <c r="G94" s="474">
        <v>-8416.07</v>
      </c>
      <c r="H94" s="590">
        <v>13.5</v>
      </c>
      <c r="I94" s="486">
        <v>2.7583E-3</v>
      </c>
      <c r="J94" s="491">
        <v>-313.39</v>
      </c>
      <c r="K94" s="523">
        <v>-278.57</v>
      </c>
    </row>
    <row r="95" spans="1:19" s="559" customFormat="1">
      <c r="A95" s="326" t="s">
        <v>332</v>
      </c>
      <c r="B95" s="490" t="s">
        <v>911</v>
      </c>
      <c r="C95" s="522" t="s">
        <v>330</v>
      </c>
      <c r="D95" s="490">
        <v>900278</v>
      </c>
      <c r="E95" s="472" t="s">
        <v>903</v>
      </c>
      <c r="F95" s="490">
        <v>201603</v>
      </c>
      <c r="G95" s="474">
        <v>-13931.38</v>
      </c>
      <c r="H95" s="590">
        <v>13.5</v>
      </c>
      <c r="I95" s="486">
        <v>2.7583E-3</v>
      </c>
      <c r="J95" s="491">
        <v>-518.76</v>
      </c>
      <c r="K95" s="523">
        <v>-461.12</v>
      </c>
    </row>
    <row r="96" spans="1:19" s="559" customFormat="1">
      <c r="A96" s="326" t="s">
        <v>332</v>
      </c>
      <c r="B96" s="490" t="s">
        <v>912</v>
      </c>
      <c r="C96" s="522" t="s">
        <v>330</v>
      </c>
      <c r="D96" s="490">
        <v>900282</v>
      </c>
      <c r="E96" s="472" t="s">
        <v>904</v>
      </c>
      <c r="F96" s="490">
        <v>201603</v>
      </c>
      <c r="G96" s="474">
        <v>-27692.36</v>
      </c>
      <c r="H96" s="590">
        <v>13.5</v>
      </c>
      <c r="I96" s="486">
        <v>2.7583E-3</v>
      </c>
      <c r="J96" s="491">
        <v>-1031.18</v>
      </c>
      <c r="K96" s="523">
        <v>-916.61</v>
      </c>
    </row>
    <row r="97" spans="1:11" s="559" customFormat="1">
      <c r="A97" s="326" t="s">
        <v>332</v>
      </c>
      <c r="B97" s="490" t="s">
        <v>913</v>
      </c>
      <c r="C97" s="522" t="s">
        <v>330</v>
      </c>
      <c r="D97" s="490">
        <v>900283</v>
      </c>
      <c r="E97" s="472" t="s">
        <v>910</v>
      </c>
      <c r="F97" s="490">
        <v>201603</v>
      </c>
      <c r="G97" s="474">
        <v>-23967.06</v>
      </c>
      <c r="H97" s="590">
        <v>13.5</v>
      </c>
      <c r="I97" s="486">
        <v>2.7583E-3</v>
      </c>
      <c r="J97" s="491">
        <v>-892.46</v>
      </c>
      <c r="K97" s="523">
        <v>-793.3</v>
      </c>
    </row>
    <row r="98" spans="1:11" s="559" customFormat="1">
      <c r="A98" s="326" t="s">
        <v>332</v>
      </c>
      <c r="B98" s="490" t="s">
        <v>923</v>
      </c>
      <c r="C98" s="522" t="s">
        <v>330</v>
      </c>
      <c r="D98" s="490">
        <v>900457</v>
      </c>
      <c r="E98" s="472" t="s">
        <v>907</v>
      </c>
      <c r="F98" s="490">
        <v>201603</v>
      </c>
      <c r="G98" s="474">
        <v>-15297.97</v>
      </c>
      <c r="H98" s="590">
        <v>13.5</v>
      </c>
      <c r="I98" s="486">
        <v>2.7583E-3</v>
      </c>
      <c r="J98" s="491">
        <v>-569.65</v>
      </c>
      <c r="K98" s="523">
        <v>-506.36</v>
      </c>
    </row>
    <row r="99" spans="1:11" s="559" customFormat="1">
      <c r="A99" s="326" t="s">
        <v>332</v>
      </c>
      <c r="B99" s="490" t="s">
        <v>915</v>
      </c>
      <c r="C99" s="522" t="s">
        <v>330</v>
      </c>
      <c r="D99" s="490">
        <v>900460</v>
      </c>
      <c r="E99" s="472" t="s">
        <v>909</v>
      </c>
      <c r="F99" s="490">
        <v>201603</v>
      </c>
      <c r="G99" s="474">
        <v>-37078.879999999997</v>
      </c>
      <c r="H99" s="590">
        <v>13.5</v>
      </c>
      <c r="I99" s="486">
        <v>2.7583E-3</v>
      </c>
      <c r="J99" s="491">
        <v>-1380.71</v>
      </c>
      <c r="K99" s="523">
        <v>-1227.3</v>
      </c>
    </row>
    <row r="100" spans="1:11" s="559" customFormat="1">
      <c r="A100" s="326" t="s">
        <v>332</v>
      </c>
      <c r="B100" s="490" t="s">
        <v>651</v>
      </c>
      <c r="C100" s="522" t="s">
        <v>330</v>
      </c>
      <c r="D100" s="490" t="s">
        <v>651</v>
      </c>
      <c r="E100" s="472" t="s">
        <v>652</v>
      </c>
      <c r="F100" s="490">
        <v>201603</v>
      </c>
      <c r="G100" s="474">
        <v>-20016.310000000001</v>
      </c>
      <c r="H100" s="590">
        <v>13.5</v>
      </c>
      <c r="I100" s="486">
        <v>2.7583E-3</v>
      </c>
      <c r="J100" s="491">
        <v>-745.35</v>
      </c>
      <c r="K100" s="523">
        <v>-662.53</v>
      </c>
    </row>
    <row r="101" spans="1:11" s="559" customFormat="1">
      <c r="A101" s="326" t="s">
        <v>332</v>
      </c>
      <c r="B101" s="490" t="s">
        <v>810</v>
      </c>
      <c r="C101" s="522" t="s">
        <v>330</v>
      </c>
      <c r="D101" s="490" t="s">
        <v>810</v>
      </c>
      <c r="E101" s="472" t="s">
        <v>811</v>
      </c>
      <c r="F101" s="490">
        <v>201603</v>
      </c>
      <c r="G101" s="474">
        <v>-17893.650000000001</v>
      </c>
      <c r="H101" s="590">
        <v>13.5</v>
      </c>
      <c r="I101" s="486">
        <v>2.7583E-3</v>
      </c>
      <c r="J101" s="491">
        <v>-666.31</v>
      </c>
      <c r="K101" s="523">
        <v>-592.27</v>
      </c>
    </row>
    <row r="102" spans="1:11" s="559" customFormat="1">
      <c r="A102" s="326" t="s">
        <v>332</v>
      </c>
      <c r="B102" s="490" t="s">
        <v>916</v>
      </c>
      <c r="C102" s="522" t="s">
        <v>330</v>
      </c>
      <c r="D102" s="490">
        <v>900278</v>
      </c>
      <c r="E102" s="472" t="s">
        <v>908</v>
      </c>
      <c r="F102" s="490">
        <v>201604</v>
      </c>
      <c r="G102" s="474">
        <v>-29667.16</v>
      </c>
      <c r="H102" s="590">
        <v>12.5</v>
      </c>
      <c r="I102" s="486">
        <v>2.7583E-3</v>
      </c>
      <c r="J102" s="491">
        <v>-1022.89</v>
      </c>
      <c r="K102" s="523">
        <v>-981.97</v>
      </c>
    </row>
    <row r="103" spans="1:11" s="559" customFormat="1">
      <c r="A103" s="326" t="s">
        <v>332</v>
      </c>
      <c r="B103" s="490" t="s">
        <v>924</v>
      </c>
      <c r="C103" s="522" t="s">
        <v>330</v>
      </c>
      <c r="D103" s="490">
        <v>900284</v>
      </c>
      <c r="E103" s="472" t="s">
        <v>925</v>
      </c>
      <c r="F103" s="490">
        <v>201604</v>
      </c>
      <c r="G103" s="474">
        <v>-20183</v>
      </c>
      <c r="H103" s="590">
        <v>12.5</v>
      </c>
      <c r="I103" s="486">
        <v>2.7583E-3</v>
      </c>
      <c r="J103" s="491">
        <v>-695.88</v>
      </c>
      <c r="K103" s="523">
        <v>-668.05</v>
      </c>
    </row>
    <row r="104" spans="1:11" s="559" customFormat="1">
      <c r="A104" s="326" t="s">
        <v>332</v>
      </c>
      <c r="B104" s="490" t="s">
        <v>801</v>
      </c>
      <c r="C104" s="522" t="s">
        <v>330</v>
      </c>
      <c r="D104" s="490" t="s">
        <v>801</v>
      </c>
      <c r="E104" s="472" t="s">
        <v>802</v>
      </c>
      <c r="F104" s="490">
        <v>201604</v>
      </c>
      <c r="G104" s="474">
        <v>-2771.86</v>
      </c>
      <c r="H104" s="590">
        <v>12.5</v>
      </c>
      <c r="I104" s="486">
        <v>2.7583E-3</v>
      </c>
      <c r="J104" s="491">
        <v>-95.57</v>
      </c>
      <c r="K104" s="523">
        <v>-91.75</v>
      </c>
    </row>
    <row r="105" spans="1:11" s="559" customFormat="1">
      <c r="A105" s="326" t="s">
        <v>332</v>
      </c>
      <c r="B105" s="490" t="s">
        <v>784</v>
      </c>
      <c r="C105" s="522" t="s">
        <v>330</v>
      </c>
      <c r="D105" s="490" t="s">
        <v>784</v>
      </c>
      <c r="E105" s="472" t="s">
        <v>785</v>
      </c>
      <c r="F105" s="490">
        <v>201606</v>
      </c>
      <c r="G105" s="474">
        <v>-4333.41</v>
      </c>
      <c r="H105" s="590">
        <v>10.5</v>
      </c>
      <c r="I105" s="486">
        <v>2.7583E-3</v>
      </c>
      <c r="J105" s="491">
        <v>-125.5</v>
      </c>
      <c r="K105" s="523">
        <v>-143.43</v>
      </c>
    </row>
    <row r="106" spans="1:11" s="559" customFormat="1">
      <c r="A106" s="326" t="s">
        <v>332</v>
      </c>
      <c r="B106" s="490" t="s">
        <v>803</v>
      </c>
      <c r="C106" s="522" t="s">
        <v>330</v>
      </c>
      <c r="D106" s="490" t="s">
        <v>803</v>
      </c>
      <c r="E106" s="472" t="s">
        <v>804</v>
      </c>
      <c r="F106" s="490">
        <v>201606</v>
      </c>
      <c r="G106" s="474">
        <v>-3888.12</v>
      </c>
      <c r="H106" s="590">
        <v>10.5</v>
      </c>
      <c r="I106" s="486">
        <v>2.7583E-3</v>
      </c>
      <c r="J106" s="491">
        <v>-112.61</v>
      </c>
      <c r="K106" s="523">
        <v>-128.69999999999999</v>
      </c>
    </row>
    <row r="107" spans="1:11" s="559" customFormat="1">
      <c r="A107" s="326" t="s">
        <v>332</v>
      </c>
      <c r="B107" s="490" t="s">
        <v>805</v>
      </c>
      <c r="C107" s="522" t="s">
        <v>330</v>
      </c>
      <c r="D107" s="490" t="s">
        <v>805</v>
      </c>
      <c r="E107" s="472" t="s">
        <v>806</v>
      </c>
      <c r="F107" s="490">
        <v>201606</v>
      </c>
      <c r="G107" s="474">
        <v>-2878.25</v>
      </c>
      <c r="H107" s="590">
        <v>10.5</v>
      </c>
      <c r="I107" s="486">
        <v>2.7583E-3</v>
      </c>
      <c r="J107" s="491">
        <v>-83.36</v>
      </c>
      <c r="K107" s="523">
        <v>-95.27</v>
      </c>
    </row>
    <row r="108" spans="1:11" s="559" customFormat="1">
      <c r="A108" s="326" t="s">
        <v>332</v>
      </c>
      <c r="B108" s="490" t="s">
        <v>829</v>
      </c>
      <c r="C108" s="522" t="s">
        <v>330</v>
      </c>
      <c r="D108" s="490" t="s">
        <v>829</v>
      </c>
      <c r="E108" s="472" t="s">
        <v>831</v>
      </c>
      <c r="F108" s="490">
        <v>201606</v>
      </c>
      <c r="G108" s="474">
        <v>-3447.48</v>
      </c>
      <c r="H108" s="590">
        <v>10.5</v>
      </c>
      <c r="I108" s="486">
        <v>2.7583E-3</v>
      </c>
      <c r="J108" s="491">
        <v>-99.85</v>
      </c>
      <c r="K108" s="523">
        <v>-114.11</v>
      </c>
    </row>
    <row r="109" spans="1:11" s="559" customFormat="1">
      <c r="A109" s="326" t="s">
        <v>332</v>
      </c>
      <c r="B109" s="490" t="s">
        <v>926</v>
      </c>
      <c r="C109" s="522" t="s">
        <v>330</v>
      </c>
      <c r="D109" s="490" t="s">
        <v>926</v>
      </c>
      <c r="E109" s="472" t="s">
        <v>927</v>
      </c>
      <c r="F109" s="490">
        <v>201606</v>
      </c>
      <c r="G109" s="474">
        <v>-2368.4499999999998</v>
      </c>
      <c r="H109" s="590">
        <v>10.5</v>
      </c>
      <c r="I109" s="486">
        <v>2.7583E-3</v>
      </c>
      <c r="J109" s="491">
        <v>-68.599999999999994</v>
      </c>
      <c r="K109" s="523">
        <v>-78.39</v>
      </c>
    </row>
    <row r="110" spans="1:11" s="559" customFormat="1">
      <c r="A110" s="326" t="s">
        <v>332</v>
      </c>
      <c r="B110" s="490" t="s">
        <v>631</v>
      </c>
      <c r="C110" s="522" t="s">
        <v>330</v>
      </c>
      <c r="D110" s="490">
        <v>900520</v>
      </c>
      <c r="E110" s="472" t="s">
        <v>632</v>
      </c>
      <c r="F110" s="490">
        <v>201607</v>
      </c>
      <c r="G110" s="474">
        <v>-25573.29</v>
      </c>
      <c r="H110" s="590">
        <v>9.5</v>
      </c>
      <c r="I110" s="486">
        <v>2.7583E-3</v>
      </c>
      <c r="J110" s="491">
        <v>-670.12</v>
      </c>
      <c r="K110" s="523">
        <v>-846.47</v>
      </c>
    </row>
    <row r="111" spans="1:11" s="559" customFormat="1">
      <c r="A111" s="326" t="s">
        <v>332</v>
      </c>
      <c r="B111" s="490" t="s">
        <v>822</v>
      </c>
      <c r="C111" s="522" t="s">
        <v>330</v>
      </c>
      <c r="D111" s="490">
        <v>901087</v>
      </c>
      <c r="E111" s="472" t="s">
        <v>823</v>
      </c>
      <c r="F111" s="490">
        <v>201607</v>
      </c>
      <c r="G111" s="474">
        <v>-7633.68</v>
      </c>
      <c r="H111" s="590">
        <v>9.5</v>
      </c>
      <c r="I111" s="486">
        <v>2.7583E-3</v>
      </c>
      <c r="J111" s="491">
        <v>-200.03</v>
      </c>
      <c r="K111" s="523">
        <v>-252.67</v>
      </c>
    </row>
    <row r="112" spans="1:11" s="559" customFormat="1">
      <c r="A112" s="326" t="s">
        <v>332</v>
      </c>
      <c r="B112" s="490" t="s">
        <v>887</v>
      </c>
      <c r="C112" s="522" t="s">
        <v>330</v>
      </c>
      <c r="D112" s="490">
        <v>901365</v>
      </c>
      <c r="E112" s="472" t="s">
        <v>888</v>
      </c>
      <c r="F112" s="490">
        <v>201607</v>
      </c>
      <c r="G112" s="474">
        <v>-681.02</v>
      </c>
      <c r="H112" s="590">
        <v>9.5</v>
      </c>
      <c r="I112" s="486">
        <v>2.7583E-3</v>
      </c>
      <c r="J112" s="491">
        <v>-17.850000000000001</v>
      </c>
      <c r="K112" s="523">
        <v>-22.54</v>
      </c>
    </row>
    <row r="113" spans="1:11" s="559" customFormat="1">
      <c r="A113" s="326" t="s">
        <v>332</v>
      </c>
      <c r="B113" s="490" t="s">
        <v>800</v>
      </c>
      <c r="C113" s="522" t="s">
        <v>330</v>
      </c>
      <c r="D113" s="490" t="s">
        <v>800</v>
      </c>
      <c r="E113" s="472" t="s">
        <v>830</v>
      </c>
      <c r="F113" s="490">
        <v>201608</v>
      </c>
      <c r="G113" s="474">
        <v>-34425.699999999997</v>
      </c>
      <c r="H113" s="590">
        <v>8.5</v>
      </c>
      <c r="I113" s="486">
        <v>2.7583E-3</v>
      </c>
      <c r="J113" s="491">
        <v>-807.13</v>
      </c>
      <c r="K113" s="523">
        <v>-1139.48</v>
      </c>
    </row>
    <row r="114" spans="1:11" s="559" customFormat="1">
      <c r="A114" s="326" t="s">
        <v>332</v>
      </c>
      <c r="B114" s="490" t="s">
        <v>838</v>
      </c>
      <c r="C114" s="522" t="s">
        <v>330</v>
      </c>
      <c r="D114" s="490" t="s">
        <v>838</v>
      </c>
      <c r="E114" s="472" t="s">
        <v>1015</v>
      </c>
      <c r="F114" s="490">
        <v>201608</v>
      </c>
      <c r="G114" s="474">
        <v>-19284.64</v>
      </c>
      <c r="H114" s="590">
        <v>8.5</v>
      </c>
      <c r="I114" s="486">
        <v>2.7583E-3</v>
      </c>
      <c r="J114" s="491">
        <v>-452.14</v>
      </c>
      <c r="K114" s="523">
        <v>-638.30999999999995</v>
      </c>
    </row>
    <row r="115" spans="1:11" s="559" customFormat="1">
      <c r="A115" s="326" t="s">
        <v>332</v>
      </c>
      <c r="B115" s="490" t="s">
        <v>814</v>
      </c>
      <c r="C115" s="522" t="s">
        <v>330</v>
      </c>
      <c r="D115" s="490" t="s">
        <v>814</v>
      </c>
      <c r="E115" s="472" t="s">
        <v>815</v>
      </c>
      <c r="F115" s="490">
        <v>201608</v>
      </c>
      <c r="G115" s="474">
        <v>-37752.480000000003</v>
      </c>
      <c r="H115" s="590">
        <v>8.5</v>
      </c>
      <c r="I115" s="486">
        <v>2.7583E-3</v>
      </c>
      <c r="J115" s="491">
        <v>-885.13</v>
      </c>
      <c r="K115" s="523">
        <v>-1249.5899999999999</v>
      </c>
    </row>
    <row r="116" spans="1:11" s="559" customFormat="1">
      <c r="A116" s="326" t="s">
        <v>332</v>
      </c>
      <c r="B116" s="490" t="s">
        <v>680</v>
      </c>
      <c r="C116" s="522" t="s">
        <v>330</v>
      </c>
      <c r="D116" s="490" t="s">
        <v>680</v>
      </c>
      <c r="E116" s="472" t="s">
        <v>681</v>
      </c>
      <c r="F116" s="490">
        <v>201608</v>
      </c>
      <c r="G116" s="474">
        <v>-15901.8</v>
      </c>
      <c r="H116" s="590">
        <v>8.5</v>
      </c>
      <c r="I116" s="486">
        <v>2.7583E-3</v>
      </c>
      <c r="J116" s="491">
        <v>-372.83</v>
      </c>
      <c r="K116" s="523">
        <v>-526.34</v>
      </c>
    </row>
    <row r="117" spans="1:11" s="559" customFormat="1">
      <c r="A117" s="326" t="s">
        <v>332</v>
      </c>
      <c r="B117" s="490" t="s">
        <v>846</v>
      </c>
      <c r="C117" s="522" t="s">
        <v>330</v>
      </c>
      <c r="D117" s="490" t="s">
        <v>846</v>
      </c>
      <c r="E117" s="472" t="s">
        <v>847</v>
      </c>
      <c r="F117" s="490">
        <v>201608</v>
      </c>
      <c r="G117" s="474">
        <v>-10891.35</v>
      </c>
      <c r="H117" s="590">
        <v>8.5</v>
      </c>
      <c r="I117" s="486">
        <v>2.7583E-3</v>
      </c>
      <c r="J117" s="491">
        <v>-255.35</v>
      </c>
      <c r="K117" s="523">
        <v>-360.5</v>
      </c>
    </row>
    <row r="118" spans="1:11" s="559" customFormat="1">
      <c r="A118" s="326" t="s">
        <v>332</v>
      </c>
      <c r="B118" s="490" t="s">
        <v>868</v>
      </c>
      <c r="C118" s="522" t="s">
        <v>330</v>
      </c>
      <c r="D118" s="490" t="s">
        <v>868</v>
      </c>
      <c r="E118" s="472" t="s">
        <v>869</v>
      </c>
      <c r="F118" s="490">
        <v>201608</v>
      </c>
      <c r="G118" s="474">
        <v>-8723.49</v>
      </c>
      <c r="H118" s="590">
        <v>8.5</v>
      </c>
      <c r="I118" s="486">
        <v>2.7583E-3</v>
      </c>
      <c r="J118" s="491">
        <v>-204.53</v>
      </c>
      <c r="K118" s="523">
        <v>-288.74</v>
      </c>
    </row>
    <row r="119" spans="1:11" s="559" customFormat="1">
      <c r="A119" s="326" t="s">
        <v>332</v>
      </c>
      <c r="B119" s="490" t="s">
        <v>852</v>
      </c>
      <c r="C119" s="522" t="s">
        <v>330</v>
      </c>
      <c r="D119" s="490" t="s">
        <v>852</v>
      </c>
      <c r="E119" s="472" t="s">
        <v>853</v>
      </c>
      <c r="F119" s="490">
        <v>201608</v>
      </c>
      <c r="G119" s="474">
        <v>-8523.8799999999992</v>
      </c>
      <c r="H119" s="590">
        <v>8.5</v>
      </c>
      <c r="I119" s="486">
        <v>2.7583E-3</v>
      </c>
      <c r="J119" s="491">
        <v>-199.85</v>
      </c>
      <c r="K119" s="523">
        <v>-282.14</v>
      </c>
    </row>
    <row r="120" spans="1:11" s="559" customFormat="1">
      <c r="A120" s="326" t="s">
        <v>332</v>
      </c>
      <c r="B120" s="490" t="s">
        <v>870</v>
      </c>
      <c r="C120" s="522" t="s">
        <v>330</v>
      </c>
      <c r="D120" s="490" t="s">
        <v>870</v>
      </c>
      <c r="E120" s="472" t="s">
        <v>871</v>
      </c>
      <c r="F120" s="490">
        <v>201608</v>
      </c>
      <c r="G120" s="474">
        <v>-2684.65</v>
      </c>
      <c r="H120" s="590">
        <v>8.5</v>
      </c>
      <c r="I120" s="486">
        <v>2.7583E-3</v>
      </c>
      <c r="J120" s="491">
        <v>-62.94</v>
      </c>
      <c r="K120" s="523">
        <v>-88.86</v>
      </c>
    </row>
    <row r="121" spans="1:11" s="559" customFormat="1">
      <c r="A121" s="326" t="s">
        <v>332</v>
      </c>
      <c r="B121" s="490" t="s">
        <v>872</v>
      </c>
      <c r="C121" s="522" t="s">
        <v>330</v>
      </c>
      <c r="D121" s="490" t="s">
        <v>872</v>
      </c>
      <c r="E121" s="472" t="s">
        <v>873</v>
      </c>
      <c r="F121" s="490">
        <v>201608</v>
      </c>
      <c r="G121" s="474">
        <v>-1419.44</v>
      </c>
      <c r="H121" s="590">
        <v>8.5</v>
      </c>
      <c r="I121" s="486">
        <v>2.7583E-3</v>
      </c>
      <c r="J121" s="491">
        <v>-33.28</v>
      </c>
      <c r="K121" s="523">
        <v>-46.98</v>
      </c>
    </row>
    <row r="122" spans="1:11" s="559" customFormat="1">
      <c r="A122" s="326" t="s">
        <v>332</v>
      </c>
      <c r="B122" s="490" t="s">
        <v>826</v>
      </c>
      <c r="C122" s="522" t="s">
        <v>330</v>
      </c>
      <c r="D122" s="490" t="s">
        <v>826</v>
      </c>
      <c r="E122" s="472" t="s">
        <v>827</v>
      </c>
      <c r="F122" s="490">
        <v>201608</v>
      </c>
      <c r="G122" s="474">
        <v>-6143.68</v>
      </c>
      <c r="H122" s="590">
        <v>8.5</v>
      </c>
      <c r="I122" s="486">
        <v>2.7583E-3</v>
      </c>
      <c r="J122" s="491">
        <v>-144.04</v>
      </c>
      <c r="K122" s="523">
        <v>-203.35</v>
      </c>
    </row>
    <row r="123" spans="1:11" s="559" customFormat="1">
      <c r="A123" s="326" t="s">
        <v>332</v>
      </c>
      <c r="B123" s="490" t="s">
        <v>874</v>
      </c>
      <c r="C123" s="522" t="s">
        <v>330</v>
      </c>
      <c r="D123" s="490" t="s">
        <v>874</v>
      </c>
      <c r="E123" s="472" t="s">
        <v>875</v>
      </c>
      <c r="F123" s="490">
        <v>201608</v>
      </c>
      <c r="G123" s="474">
        <v>-3012.74</v>
      </c>
      <c r="H123" s="590">
        <v>8.5</v>
      </c>
      <c r="I123" s="486">
        <v>2.7583E-3</v>
      </c>
      <c r="J123" s="491">
        <v>-70.64</v>
      </c>
      <c r="K123" s="523">
        <v>-99.72</v>
      </c>
    </row>
    <row r="124" spans="1:11" s="559" customFormat="1">
      <c r="A124" s="326" t="s">
        <v>332</v>
      </c>
      <c r="B124" s="490" t="s">
        <v>991</v>
      </c>
      <c r="C124" s="522" t="s">
        <v>330</v>
      </c>
      <c r="D124" s="490" t="s">
        <v>991</v>
      </c>
      <c r="E124" s="472" t="s">
        <v>992</v>
      </c>
      <c r="F124" s="490">
        <v>201608</v>
      </c>
      <c r="G124" s="474">
        <v>-1807.73</v>
      </c>
      <c r="H124" s="590">
        <v>8.5</v>
      </c>
      <c r="I124" s="486">
        <v>2.7583E-3</v>
      </c>
      <c r="J124" s="491">
        <v>-42.38</v>
      </c>
      <c r="K124" s="523">
        <v>-59.84</v>
      </c>
    </row>
    <row r="125" spans="1:11" s="559" customFormat="1">
      <c r="A125" s="326" t="s">
        <v>332</v>
      </c>
      <c r="B125" s="490" t="s">
        <v>880</v>
      </c>
      <c r="C125" s="522" t="s">
        <v>330</v>
      </c>
      <c r="D125" s="490" t="s">
        <v>880</v>
      </c>
      <c r="E125" s="472" t="s">
        <v>881</v>
      </c>
      <c r="F125" s="490">
        <v>201608</v>
      </c>
      <c r="G125" s="474">
        <v>-2220.6999999999998</v>
      </c>
      <c r="H125" s="590">
        <v>8.5</v>
      </c>
      <c r="I125" s="486">
        <v>2.7583E-3</v>
      </c>
      <c r="J125" s="491">
        <v>-52.07</v>
      </c>
      <c r="K125" s="523">
        <v>-73.5</v>
      </c>
    </row>
    <row r="126" spans="1:11" s="559" customFormat="1">
      <c r="A126" s="326" t="s">
        <v>332</v>
      </c>
      <c r="B126" s="490" t="s">
        <v>854</v>
      </c>
      <c r="C126" s="522" t="s">
        <v>330</v>
      </c>
      <c r="D126" s="490" t="s">
        <v>854</v>
      </c>
      <c r="E126" s="472" t="s">
        <v>855</v>
      </c>
      <c r="F126" s="490">
        <v>201608</v>
      </c>
      <c r="G126" s="474">
        <v>-5875.06</v>
      </c>
      <c r="H126" s="590">
        <v>8.5</v>
      </c>
      <c r="I126" s="486">
        <v>2.7583E-3</v>
      </c>
      <c r="J126" s="491">
        <v>-137.74</v>
      </c>
      <c r="K126" s="523">
        <v>-194.46</v>
      </c>
    </row>
    <row r="127" spans="1:11" s="559" customFormat="1">
      <c r="A127" s="326" t="s">
        <v>332</v>
      </c>
      <c r="B127" s="490" t="s">
        <v>953</v>
      </c>
      <c r="C127" s="522" t="s">
        <v>330</v>
      </c>
      <c r="D127" s="490" t="s">
        <v>953</v>
      </c>
      <c r="E127" s="472" t="s">
        <v>954</v>
      </c>
      <c r="F127" s="490">
        <v>201609</v>
      </c>
      <c r="G127" s="474">
        <v>-17297.32</v>
      </c>
      <c r="H127" s="590">
        <v>7.5</v>
      </c>
      <c r="I127" s="486">
        <v>2.7583E-3</v>
      </c>
      <c r="J127" s="491">
        <v>-357.83</v>
      </c>
      <c r="K127" s="523">
        <v>-572.53</v>
      </c>
    </row>
    <row r="128" spans="1:11" s="559" customFormat="1">
      <c r="A128" s="326" t="s">
        <v>332</v>
      </c>
      <c r="B128" s="490" t="s">
        <v>987</v>
      </c>
      <c r="C128" s="522" t="s">
        <v>330</v>
      </c>
      <c r="D128" s="490" t="s">
        <v>987</v>
      </c>
      <c r="E128" s="472" t="s">
        <v>988</v>
      </c>
      <c r="F128" s="490">
        <v>201609</v>
      </c>
      <c r="G128" s="474">
        <v>-7865.09</v>
      </c>
      <c r="H128" s="590">
        <v>7.5</v>
      </c>
      <c r="I128" s="486">
        <v>2.7583E-3</v>
      </c>
      <c r="J128" s="491">
        <v>-162.71</v>
      </c>
      <c r="K128" s="523">
        <v>-260.33</v>
      </c>
    </row>
    <row r="129" spans="1:19" s="559" customFormat="1">
      <c r="A129" s="326" t="s">
        <v>332</v>
      </c>
      <c r="B129" s="490" t="s">
        <v>947</v>
      </c>
      <c r="C129" s="522" t="s">
        <v>330</v>
      </c>
      <c r="D129" s="490" t="s">
        <v>947</v>
      </c>
      <c r="E129" s="472" t="s">
        <v>948</v>
      </c>
      <c r="F129" s="490">
        <v>201610</v>
      </c>
      <c r="G129" s="474">
        <v>-40156.800000000003</v>
      </c>
      <c r="H129" s="590">
        <v>6.5</v>
      </c>
      <c r="I129" s="486">
        <v>2.7583E-3</v>
      </c>
      <c r="J129" s="491">
        <v>-719.97</v>
      </c>
      <c r="K129" s="523">
        <v>-1329.17</v>
      </c>
    </row>
    <row r="130" spans="1:19" s="559" customFormat="1">
      <c r="A130" s="326" t="s">
        <v>332</v>
      </c>
      <c r="B130" s="490" t="s">
        <v>951</v>
      </c>
      <c r="C130" s="522" t="s">
        <v>330</v>
      </c>
      <c r="D130" s="490" t="s">
        <v>951</v>
      </c>
      <c r="E130" s="472" t="s">
        <v>952</v>
      </c>
      <c r="F130" s="490">
        <v>201610</v>
      </c>
      <c r="G130" s="474">
        <v>-17176.68</v>
      </c>
      <c r="H130" s="590">
        <v>6.5</v>
      </c>
      <c r="I130" s="486">
        <v>2.7583E-3</v>
      </c>
      <c r="J130" s="491">
        <v>-307.95999999999998</v>
      </c>
      <c r="K130" s="523">
        <v>-568.54</v>
      </c>
    </row>
    <row r="131" spans="1:19" s="559" customFormat="1">
      <c r="A131" s="326" t="s">
        <v>332</v>
      </c>
      <c r="B131" s="490" t="s">
        <v>832</v>
      </c>
      <c r="C131" s="522" t="s">
        <v>330</v>
      </c>
      <c r="D131" s="490" t="s">
        <v>832</v>
      </c>
      <c r="E131" s="472" t="s">
        <v>833</v>
      </c>
      <c r="F131" s="490">
        <v>201610</v>
      </c>
      <c r="G131" s="474">
        <v>-11959.85</v>
      </c>
      <c r="H131" s="590">
        <v>6.5</v>
      </c>
      <c r="I131" s="486">
        <v>2.7583E-3</v>
      </c>
      <c r="J131" s="491">
        <v>-214.43</v>
      </c>
      <c r="K131" s="523">
        <v>-395.87</v>
      </c>
    </row>
    <row r="132" spans="1:19" s="559" customFormat="1">
      <c r="A132" s="326" t="s">
        <v>332</v>
      </c>
      <c r="B132" s="490" t="s">
        <v>955</v>
      </c>
      <c r="C132" s="522" t="s">
        <v>330</v>
      </c>
      <c r="D132" s="490" t="s">
        <v>955</v>
      </c>
      <c r="E132" s="472" t="s">
        <v>956</v>
      </c>
      <c r="F132" s="490">
        <v>201610</v>
      </c>
      <c r="G132" s="474">
        <v>-7315.39</v>
      </c>
      <c r="H132" s="590">
        <v>6.5</v>
      </c>
      <c r="I132" s="486">
        <v>2.7583E-3</v>
      </c>
      <c r="J132" s="491">
        <v>-131.16</v>
      </c>
      <c r="K132" s="523">
        <v>-242.14</v>
      </c>
    </row>
    <row r="133" spans="1:19" s="559" customFormat="1">
      <c r="A133" s="326" t="s">
        <v>332</v>
      </c>
      <c r="B133" s="490" t="s">
        <v>878</v>
      </c>
      <c r="C133" s="522" t="s">
        <v>330</v>
      </c>
      <c r="D133" s="490" t="s">
        <v>878</v>
      </c>
      <c r="E133" s="472" t="s">
        <v>879</v>
      </c>
      <c r="F133" s="490">
        <v>201610</v>
      </c>
      <c r="G133" s="474">
        <v>-5614.43</v>
      </c>
      <c r="H133" s="590">
        <v>6.5</v>
      </c>
      <c r="I133" s="486">
        <v>2.7583E-3</v>
      </c>
      <c r="J133" s="491">
        <v>-100.66</v>
      </c>
      <c r="K133" s="523">
        <v>-185.84</v>
      </c>
    </row>
    <row r="134" spans="1:19" s="559" customFormat="1">
      <c r="A134" s="326" t="s">
        <v>332</v>
      </c>
      <c r="B134" s="490" t="s">
        <v>832</v>
      </c>
      <c r="C134" s="522" t="s">
        <v>330</v>
      </c>
      <c r="D134" s="490" t="s">
        <v>832</v>
      </c>
      <c r="E134" s="472" t="s">
        <v>833</v>
      </c>
      <c r="F134" s="490">
        <v>201611</v>
      </c>
      <c r="G134" s="474">
        <v>-4370</v>
      </c>
      <c r="H134" s="590">
        <v>5.5</v>
      </c>
      <c r="I134" s="486">
        <v>2.7583E-3</v>
      </c>
      <c r="J134" s="491">
        <v>-66.3</v>
      </c>
      <c r="K134" s="523">
        <v>-144.65</v>
      </c>
    </row>
    <row r="135" spans="1:19" s="559" customFormat="1">
      <c r="A135" s="326" t="s">
        <v>332</v>
      </c>
      <c r="B135" s="490" t="s">
        <v>973</v>
      </c>
      <c r="C135" s="522" t="s">
        <v>330</v>
      </c>
      <c r="D135" s="490" t="s">
        <v>973</v>
      </c>
      <c r="E135" s="472" t="s">
        <v>974</v>
      </c>
      <c r="F135" s="490">
        <v>201612</v>
      </c>
      <c r="G135" s="474">
        <v>-14794.26</v>
      </c>
      <c r="H135" s="590">
        <v>4.5</v>
      </c>
      <c r="I135" s="486">
        <v>2.7583E-3</v>
      </c>
      <c r="J135" s="491">
        <v>-183.63</v>
      </c>
      <c r="K135" s="523">
        <v>-489.68</v>
      </c>
    </row>
    <row r="136" spans="1:19" s="559" customFormat="1">
      <c r="A136" s="326" t="s">
        <v>332</v>
      </c>
      <c r="B136" s="490" t="s">
        <v>979</v>
      </c>
      <c r="C136" s="522" t="s">
        <v>330</v>
      </c>
      <c r="D136" s="490" t="s">
        <v>979</v>
      </c>
      <c r="E136" s="472" t="s">
        <v>980</v>
      </c>
      <c r="F136" s="490">
        <v>201612</v>
      </c>
      <c r="G136" s="474">
        <v>-3359.15</v>
      </c>
      <c r="H136" s="590">
        <v>4.5</v>
      </c>
      <c r="I136" s="486">
        <v>2.7583E-3</v>
      </c>
      <c r="J136" s="491">
        <v>-41.69</v>
      </c>
      <c r="K136" s="523">
        <v>-111.19</v>
      </c>
    </row>
    <row r="137" spans="1:19" s="559" customFormat="1">
      <c r="A137" s="326" t="s">
        <v>332</v>
      </c>
      <c r="B137" s="490" t="s">
        <v>985</v>
      </c>
      <c r="C137" s="522" t="s">
        <v>330</v>
      </c>
      <c r="D137" s="490" t="s">
        <v>985</v>
      </c>
      <c r="E137" s="472" t="s">
        <v>986</v>
      </c>
      <c r="F137" s="490">
        <v>201612</v>
      </c>
      <c r="G137" s="474">
        <v>-1055.72</v>
      </c>
      <c r="H137" s="590">
        <v>4.5</v>
      </c>
      <c r="I137" s="486">
        <v>2.7583E-3</v>
      </c>
      <c r="J137" s="491">
        <v>-13.1</v>
      </c>
      <c r="K137" s="523">
        <v>-34.94</v>
      </c>
    </row>
    <row r="138" spans="1:19">
      <c r="A138" s="107"/>
      <c r="B138" s="108"/>
      <c r="C138" s="108"/>
      <c r="D138" s="108"/>
      <c r="E138" s="126"/>
      <c r="F138" s="159"/>
      <c r="G138" s="82"/>
      <c r="H138" s="180"/>
      <c r="I138" s="126"/>
      <c r="J138" s="82"/>
      <c r="K138" s="82"/>
      <c r="S138" s="101">
        <f t="shared" si="1"/>
        <v>2014</v>
      </c>
    </row>
    <row r="139" spans="1:19">
      <c r="A139" s="107"/>
      <c r="B139" s="108"/>
      <c r="C139" s="108"/>
      <c r="D139" s="108"/>
      <c r="E139" s="126"/>
      <c r="F139" s="159"/>
      <c r="G139" s="82"/>
      <c r="H139" s="180"/>
      <c r="I139" s="126"/>
      <c r="J139" s="82"/>
      <c r="K139" s="82"/>
      <c r="S139" s="101">
        <f t="shared" si="1"/>
        <v>2014</v>
      </c>
    </row>
    <row r="140" spans="1:19">
      <c r="A140" s="113"/>
      <c r="B140" s="114"/>
      <c r="C140" s="114"/>
      <c r="D140" s="114"/>
      <c r="E140" s="114"/>
      <c r="F140" s="164"/>
      <c r="G140" s="129"/>
      <c r="H140" s="181"/>
      <c r="I140" s="121"/>
      <c r="J140" s="129"/>
      <c r="K140" s="129"/>
    </row>
    <row r="141" spans="1:19" ht="13.5" thickBot="1">
      <c r="A141" s="95" t="s">
        <v>125</v>
      </c>
      <c r="B141" s="114"/>
      <c r="C141" s="114"/>
      <c r="D141" s="114"/>
      <c r="E141" s="114"/>
      <c r="F141" s="164"/>
      <c r="G141" s="130">
        <f>SUM(G72:G140)</f>
        <v>-856558.91</v>
      </c>
      <c r="H141" s="181"/>
      <c r="I141" s="121"/>
      <c r="J141" s="130">
        <f>SUM(J72:J140)</f>
        <v>-18871.660000000003</v>
      </c>
      <c r="K141" s="130">
        <f>SUM(K72:K140)</f>
        <v>-28351.75</v>
      </c>
    </row>
    <row r="142" spans="1:19" ht="13.5" thickTop="1">
      <c r="A142" s="95"/>
      <c r="B142" s="114"/>
      <c r="C142" s="114"/>
      <c r="D142" s="114"/>
      <c r="E142" s="114"/>
      <c r="F142" s="164"/>
      <c r="G142" s="103"/>
      <c r="H142" s="181"/>
      <c r="I142" s="121"/>
      <c r="J142" s="103"/>
      <c r="K142" s="103"/>
    </row>
    <row r="143" spans="1:19">
      <c r="A143" s="88" t="s">
        <v>126</v>
      </c>
    </row>
    <row r="145" spans="1:19">
      <c r="A145" s="81" t="s">
        <v>86</v>
      </c>
      <c r="B145" s="81" t="s">
        <v>87</v>
      </c>
      <c r="C145" s="81" t="s">
        <v>88</v>
      </c>
      <c r="D145" s="81" t="s">
        <v>104</v>
      </c>
      <c r="E145" s="81"/>
      <c r="F145" s="146" t="s">
        <v>121</v>
      </c>
      <c r="G145" s="90" t="s">
        <v>121</v>
      </c>
      <c r="H145" s="177"/>
      <c r="I145" s="81" t="s">
        <v>91</v>
      </c>
      <c r="J145" s="90" t="s">
        <v>92</v>
      </c>
      <c r="K145" s="90" t="s">
        <v>93</v>
      </c>
    </row>
    <row r="146" spans="1:19">
      <c r="A146" s="86" t="s">
        <v>94</v>
      </c>
      <c r="B146" s="96" t="s">
        <v>95</v>
      </c>
      <c r="C146" s="96" t="s">
        <v>96</v>
      </c>
      <c r="D146" s="96" t="s">
        <v>122</v>
      </c>
      <c r="E146" s="96" t="s">
        <v>97</v>
      </c>
      <c r="F146" s="150" t="s">
        <v>98</v>
      </c>
      <c r="G146" s="98" t="s">
        <v>99</v>
      </c>
      <c r="H146" s="179" t="s">
        <v>100</v>
      </c>
      <c r="I146" s="96" t="s">
        <v>101</v>
      </c>
      <c r="J146" s="98" t="s">
        <v>123</v>
      </c>
      <c r="K146" s="98" t="s">
        <v>102</v>
      </c>
    </row>
    <row r="147" spans="1:19">
      <c r="A147" s="521" t="s">
        <v>322</v>
      </c>
      <c r="B147" s="522" t="s">
        <v>567</v>
      </c>
      <c r="C147" s="429" t="s">
        <v>330</v>
      </c>
      <c r="D147" s="522" t="s">
        <v>567</v>
      </c>
      <c r="E147" s="521" t="s">
        <v>568</v>
      </c>
      <c r="F147" s="522">
        <v>201601</v>
      </c>
      <c r="G147" s="523">
        <v>-3599.61</v>
      </c>
      <c r="H147" s="590">
        <v>3</v>
      </c>
      <c r="I147" s="486">
        <v>1.1999999999999999E-3</v>
      </c>
      <c r="J147" s="491">
        <v>-12.96</v>
      </c>
      <c r="K147" s="523">
        <v>-51.83</v>
      </c>
      <c r="S147" s="101">
        <f t="shared" ref="S147:S195" si="2">IF(F147&lt;=$S$1,$U$5,$U$6)</f>
        <v>2015</v>
      </c>
    </row>
    <row r="148" spans="1:19">
      <c r="A148" s="481" t="s">
        <v>322</v>
      </c>
      <c r="B148" s="485" t="s">
        <v>672</v>
      </c>
      <c r="C148" s="485" t="s">
        <v>330</v>
      </c>
      <c r="D148" s="485" t="s">
        <v>672</v>
      </c>
      <c r="E148" s="481" t="s">
        <v>673</v>
      </c>
      <c r="F148" s="485">
        <v>201601</v>
      </c>
      <c r="G148" s="482">
        <v>-1056.78</v>
      </c>
      <c r="H148" s="590">
        <v>3</v>
      </c>
      <c r="I148" s="400">
        <v>1.1999999999999999E-3</v>
      </c>
      <c r="J148" s="491">
        <v>-3.8</v>
      </c>
      <c r="K148" s="523">
        <v>-15.22</v>
      </c>
    </row>
    <row r="149" spans="1:19">
      <c r="A149" s="521" t="s">
        <v>322</v>
      </c>
      <c r="B149" s="522" t="s">
        <v>698</v>
      </c>
      <c r="C149" s="429" t="s">
        <v>330</v>
      </c>
      <c r="D149" s="522" t="s">
        <v>698</v>
      </c>
      <c r="E149" s="521" t="s">
        <v>699</v>
      </c>
      <c r="F149" s="522">
        <v>201601</v>
      </c>
      <c r="G149" s="523">
        <v>-1995.1</v>
      </c>
      <c r="H149" s="590">
        <v>3</v>
      </c>
      <c r="I149" s="486">
        <v>1.1999999999999999E-3</v>
      </c>
      <c r="J149" s="491">
        <v>-7.18</v>
      </c>
      <c r="K149" s="523">
        <v>-28.73</v>
      </c>
    </row>
    <row r="150" spans="1:19">
      <c r="A150" s="521" t="s">
        <v>322</v>
      </c>
      <c r="B150" s="522" t="s">
        <v>729</v>
      </c>
      <c r="C150" s="429" t="s">
        <v>331</v>
      </c>
      <c r="D150" s="522" t="s">
        <v>729</v>
      </c>
      <c r="E150" s="521" t="s">
        <v>730</v>
      </c>
      <c r="F150" s="522">
        <v>201601</v>
      </c>
      <c r="G150" s="523">
        <v>-1617.42</v>
      </c>
      <c r="H150" s="590">
        <v>3</v>
      </c>
      <c r="I150" s="486">
        <v>1.1999999999999999E-3</v>
      </c>
      <c r="J150" s="491">
        <v>-5.82</v>
      </c>
      <c r="K150" s="523">
        <v>-23.29</v>
      </c>
    </row>
    <row r="151" spans="1:19">
      <c r="A151" s="521"/>
      <c r="B151" s="522"/>
      <c r="C151" s="429"/>
      <c r="D151" s="522"/>
      <c r="E151" s="521"/>
      <c r="F151" s="522"/>
      <c r="G151" s="523"/>
      <c r="H151" s="590"/>
      <c r="I151" s="486"/>
      <c r="J151" s="491"/>
      <c r="K151" s="523"/>
    </row>
    <row r="152" spans="1:19">
      <c r="A152" s="521" t="s">
        <v>322</v>
      </c>
      <c r="B152" s="522" t="s">
        <v>746</v>
      </c>
      <c r="C152" s="490" t="s">
        <v>330</v>
      </c>
      <c r="D152" s="522" t="s">
        <v>327</v>
      </c>
      <c r="E152" s="521" t="s">
        <v>747</v>
      </c>
      <c r="F152" s="522">
        <v>201602</v>
      </c>
      <c r="G152" s="523">
        <v>-112.15</v>
      </c>
      <c r="H152" s="590">
        <v>2</v>
      </c>
      <c r="I152" s="486">
        <v>1.1999999999999999E-3</v>
      </c>
      <c r="J152" s="491">
        <v>-0.27</v>
      </c>
      <c r="K152" s="523">
        <v>-1.61</v>
      </c>
    </row>
    <row r="153" spans="1:19">
      <c r="A153" s="521" t="s">
        <v>322</v>
      </c>
      <c r="B153" s="522" t="s">
        <v>589</v>
      </c>
      <c r="C153" s="490" t="s">
        <v>330</v>
      </c>
      <c r="D153" s="522" t="s">
        <v>589</v>
      </c>
      <c r="E153" s="521" t="s">
        <v>590</v>
      </c>
      <c r="F153" s="522">
        <v>201602</v>
      </c>
      <c r="G153" s="523">
        <v>-19980.259999999998</v>
      </c>
      <c r="H153" s="590">
        <v>2</v>
      </c>
      <c r="I153" s="486">
        <v>1.1999999999999999E-3</v>
      </c>
      <c r="J153" s="491">
        <v>-47.95</v>
      </c>
      <c r="K153" s="523">
        <v>-287.72000000000003</v>
      </c>
    </row>
    <row r="154" spans="1:19">
      <c r="A154" s="481" t="s">
        <v>322</v>
      </c>
      <c r="B154" s="485" t="s">
        <v>708</v>
      </c>
      <c r="C154" s="490" t="s">
        <v>331</v>
      </c>
      <c r="D154" s="522" t="s">
        <v>708</v>
      </c>
      <c r="E154" s="481" t="s">
        <v>709</v>
      </c>
      <c r="F154" s="485">
        <v>201602</v>
      </c>
      <c r="G154" s="482">
        <v>-41896.339999999997</v>
      </c>
      <c r="H154" s="590">
        <v>2</v>
      </c>
      <c r="I154" s="486">
        <v>1.1999999999999999E-3</v>
      </c>
      <c r="J154" s="491">
        <v>-100.55</v>
      </c>
      <c r="K154" s="523">
        <v>-603.30999999999995</v>
      </c>
    </row>
    <row r="155" spans="1:19">
      <c r="A155" s="481" t="s">
        <v>322</v>
      </c>
      <c r="B155" s="485" t="s">
        <v>717</v>
      </c>
      <c r="C155" s="490" t="s">
        <v>331</v>
      </c>
      <c r="D155" s="485" t="s">
        <v>717</v>
      </c>
      <c r="E155" s="481" t="s">
        <v>718</v>
      </c>
      <c r="F155" s="485">
        <v>201602</v>
      </c>
      <c r="G155" s="482">
        <v>-23309.62</v>
      </c>
      <c r="H155" s="590">
        <v>2</v>
      </c>
      <c r="I155" s="486">
        <v>1.1999999999999999E-3</v>
      </c>
      <c r="J155" s="491">
        <v>-55.94</v>
      </c>
      <c r="K155" s="523">
        <v>-335.66</v>
      </c>
    </row>
    <row r="156" spans="1:19">
      <c r="A156" s="521" t="s">
        <v>322</v>
      </c>
      <c r="B156" s="522" t="s">
        <v>649</v>
      </c>
      <c r="C156" s="490" t="s">
        <v>330</v>
      </c>
      <c r="D156" s="522" t="s">
        <v>649</v>
      </c>
      <c r="E156" s="521" t="s">
        <v>650</v>
      </c>
      <c r="F156" s="522">
        <v>201602</v>
      </c>
      <c r="G156" s="523">
        <v>-2452.87</v>
      </c>
      <c r="H156" s="590">
        <v>2</v>
      </c>
      <c r="I156" s="486">
        <v>1.1999999999999999E-3</v>
      </c>
      <c r="J156" s="491">
        <v>-5.89</v>
      </c>
      <c r="K156" s="523">
        <v>-35.32</v>
      </c>
    </row>
    <row r="157" spans="1:19">
      <c r="A157" s="521" t="s">
        <v>322</v>
      </c>
      <c r="B157" s="522" t="s">
        <v>786</v>
      </c>
      <c r="C157" s="429" t="s">
        <v>330</v>
      </c>
      <c r="D157" s="522" t="s">
        <v>786</v>
      </c>
      <c r="E157" s="521" t="s">
        <v>787</v>
      </c>
      <c r="F157" s="522">
        <v>201602</v>
      </c>
      <c r="G157" s="523">
        <v>-4603.9399999999996</v>
      </c>
      <c r="H157" s="590">
        <v>2</v>
      </c>
      <c r="I157" s="486">
        <v>1.1999999999999999E-3</v>
      </c>
      <c r="J157" s="491">
        <v>-11.05</v>
      </c>
      <c r="K157" s="523">
        <v>-66.3</v>
      </c>
    </row>
    <row r="158" spans="1:19">
      <c r="A158" s="521" t="s">
        <v>322</v>
      </c>
      <c r="B158" s="522" t="s">
        <v>653</v>
      </c>
      <c r="C158" s="490" t="s">
        <v>330</v>
      </c>
      <c r="D158" s="522" t="s">
        <v>653</v>
      </c>
      <c r="E158" s="521" t="s">
        <v>654</v>
      </c>
      <c r="F158" s="522">
        <v>201602</v>
      </c>
      <c r="G158" s="523">
        <v>-16379.43</v>
      </c>
      <c r="H158" s="590">
        <v>2</v>
      </c>
      <c r="I158" s="486">
        <v>1.1999999999999999E-3</v>
      </c>
      <c r="J158" s="491">
        <v>-39.31</v>
      </c>
      <c r="K158" s="523">
        <v>-235.86</v>
      </c>
    </row>
    <row r="159" spans="1:19">
      <c r="A159" s="521" t="s">
        <v>322</v>
      </c>
      <c r="B159" s="522" t="s">
        <v>796</v>
      </c>
      <c r="C159" s="429" t="s">
        <v>331</v>
      </c>
      <c r="D159" s="522" t="s">
        <v>796</v>
      </c>
      <c r="E159" s="521" t="s">
        <v>797</v>
      </c>
      <c r="F159" s="522">
        <v>201602</v>
      </c>
      <c r="G159" s="523">
        <v>-1136.08</v>
      </c>
      <c r="H159" s="590">
        <v>2</v>
      </c>
      <c r="I159" s="486">
        <v>1.1999999999999999E-3</v>
      </c>
      <c r="J159" s="491">
        <v>-2.73</v>
      </c>
      <c r="K159" s="523">
        <v>-16.36</v>
      </c>
    </row>
    <row r="160" spans="1:19">
      <c r="A160" s="521" t="s">
        <v>322</v>
      </c>
      <c r="B160" s="522" t="s">
        <v>700</v>
      </c>
      <c r="C160" s="490" t="s">
        <v>330</v>
      </c>
      <c r="D160" s="522" t="s">
        <v>700</v>
      </c>
      <c r="E160" s="521" t="s">
        <v>701</v>
      </c>
      <c r="F160" s="522">
        <v>201602</v>
      </c>
      <c r="G160" s="523">
        <v>-1215.08</v>
      </c>
      <c r="H160" s="590">
        <v>2</v>
      </c>
      <c r="I160" s="486">
        <v>1.1999999999999999E-3</v>
      </c>
      <c r="J160" s="491">
        <v>-2.92</v>
      </c>
      <c r="K160" s="523">
        <v>-17.5</v>
      </c>
    </row>
    <row r="161" spans="1:19">
      <c r="A161" s="521" t="s">
        <v>322</v>
      </c>
      <c r="B161" s="522" t="s">
        <v>914</v>
      </c>
      <c r="C161" s="490" t="s">
        <v>330</v>
      </c>
      <c r="D161" s="522">
        <v>900266</v>
      </c>
      <c r="E161" s="521" t="s">
        <v>905</v>
      </c>
      <c r="F161" s="522">
        <v>201603</v>
      </c>
      <c r="G161" s="523">
        <v>-13704.47</v>
      </c>
      <c r="H161" s="590">
        <v>13.5</v>
      </c>
      <c r="I161" s="486">
        <v>1.1999999999999999E-3</v>
      </c>
      <c r="J161" s="491">
        <v>-222.01</v>
      </c>
      <c r="K161" s="523">
        <v>-197.34</v>
      </c>
    </row>
    <row r="162" spans="1:19">
      <c r="A162" s="521" t="s">
        <v>322</v>
      </c>
      <c r="B162" s="522" t="s">
        <v>915</v>
      </c>
      <c r="C162" s="288" t="s">
        <v>330</v>
      </c>
      <c r="D162" s="522">
        <v>900460</v>
      </c>
      <c r="E162" s="521" t="s">
        <v>909</v>
      </c>
      <c r="F162" s="522">
        <v>201603</v>
      </c>
      <c r="G162" s="523">
        <v>-7188.62</v>
      </c>
      <c r="H162" s="590">
        <v>13.5</v>
      </c>
      <c r="I162" s="486">
        <v>1.1999999999999999E-3</v>
      </c>
      <c r="J162" s="491">
        <v>-116.46</v>
      </c>
      <c r="K162" s="523">
        <v>-103.52</v>
      </c>
    </row>
    <row r="163" spans="1:19">
      <c r="A163" s="608" t="s">
        <v>322</v>
      </c>
      <c r="B163" s="495" t="s">
        <v>651</v>
      </c>
      <c r="C163" s="460" t="s">
        <v>330</v>
      </c>
      <c r="D163" s="495" t="s">
        <v>651</v>
      </c>
      <c r="E163" s="479" t="s">
        <v>652</v>
      </c>
      <c r="F163" s="495">
        <v>201603</v>
      </c>
      <c r="G163" s="480">
        <v>-709.41</v>
      </c>
      <c r="H163" s="479">
        <v>13.5</v>
      </c>
      <c r="I163" s="492">
        <v>1.1999999999999999E-3</v>
      </c>
      <c r="J163" s="420">
        <v>-11.49</v>
      </c>
      <c r="K163" s="493">
        <v>-10.220000000000001</v>
      </c>
    </row>
    <row r="164" spans="1:19">
      <c r="A164" s="472" t="s">
        <v>322</v>
      </c>
      <c r="B164" s="402" t="s">
        <v>916</v>
      </c>
      <c r="C164" s="522" t="s">
        <v>330</v>
      </c>
      <c r="D164" s="522">
        <v>900278</v>
      </c>
      <c r="E164" s="521" t="s">
        <v>908</v>
      </c>
      <c r="F164" s="522">
        <v>201604</v>
      </c>
      <c r="G164" s="523">
        <v>-11214.8</v>
      </c>
      <c r="H164" s="590">
        <v>12.5</v>
      </c>
      <c r="I164" s="486">
        <v>1.1999999999999999E-3</v>
      </c>
      <c r="J164" s="491">
        <v>-168.22</v>
      </c>
      <c r="K164" s="523">
        <v>-161.49</v>
      </c>
    </row>
    <row r="165" spans="1:19" ht="13.5" customHeight="1">
      <c r="A165" s="472" t="s">
        <v>322</v>
      </c>
      <c r="B165" s="609" t="s">
        <v>327</v>
      </c>
      <c r="C165" s="522" t="s">
        <v>319</v>
      </c>
      <c r="D165" s="490" t="s">
        <v>327</v>
      </c>
      <c r="E165" s="472" t="s">
        <v>328</v>
      </c>
      <c r="F165" s="490">
        <v>201604</v>
      </c>
      <c r="G165" s="474">
        <v>-1692.46</v>
      </c>
      <c r="H165" s="590">
        <v>12.5</v>
      </c>
      <c r="I165" s="486">
        <v>1.1999999999999999E-3</v>
      </c>
      <c r="J165" s="491">
        <v>-25.39</v>
      </c>
      <c r="K165" s="523">
        <v>-24.37</v>
      </c>
      <c r="S165" s="101">
        <f t="shared" si="2"/>
        <v>2015</v>
      </c>
    </row>
    <row r="166" spans="1:19">
      <c r="A166" s="472" t="s">
        <v>322</v>
      </c>
      <c r="B166" s="609" t="s">
        <v>801</v>
      </c>
      <c r="C166" s="522" t="s">
        <v>330</v>
      </c>
      <c r="D166" s="490" t="s">
        <v>801</v>
      </c>
      <c r="E166" s="472" t="s">
        <v>802</v>
      </c>
      <c r="F166" s="490">
        <v>201604</v>
      </c>
      <c r="G166" s="474">
        <v>-172.1</v>
      </c>
      <c r="H166" s="590">
        <v>12.5</v>
      </c>
      <c r="I166" s="486">
        <v>1.1999999999999999E-3</v>
      </c>
      <c r="J166" s="491">
        <v>-2.58</v>
      </c>
      <c r="K166" s="523">
        <v>-2.48</v>
      </c>
      <c r="S166" s="101">
        <f t="shared" si="2"/>
        <v>2015</v>
      </c>
    </row>
    <row r="167" spans="1:19">
      <c r="A167" s="472" t="s">
        <v>322</v>
      </c>
      <c r="B167" s="402" t="s">
        <v>746</v>
      </c>
      <c r="C167" s="490" t="s">
        <v>319</v>
      </c>
      <c r="D167" s="522" t="s">
        <v>746</v>
      </c>
      <c r="E167" s="521" t="s">
        <v>747</v>
      </c>
      <c r="F167" s="522">
        <v>201606</v>
      </c>
      <c r="G167" s="523">
        <v>-11306.6</v>
      </c>
      <c r="H167" s="590">
        <v>10.5</v>
      </c>
      <c r="I167" s="486">
        <v>1.1999999999999999E-3</v>
      </c>
      <c r="J167" s="491">
        <v>-142.46</v>
      </c>
      <c r="K167" s="523">
        <v>-162.82</v>
      </c>
    </row>
    <row r="168" spans="1:19" s="559" customFormat="1">
      <c r="A168" s="472" t="s">
        <v>322</v>
      </c>
      <c r="B168" s="609" t="s">
        <v>327</v>
      </c>
      <c r="C168" s="522" t="s">
        <v>319</v>
      </c>
      <c r="D168" s="490" t="s">
        <v>327</v>
      </c>
      <c r="E168" s="472" t="s">
        <v>328</v>
      </c>
      <c r="F168" s="490">
        <v>201606</v>
      </c>
      <c r="G168" s="474">
        <v>-590.45000000000005</v>
      </c>
      <c r="H168" s="590">
        <v>10.5</v>
      </c>
      <c r="I168" s="486">
        <v>1.1999999999999999E-3</v>
      </c>
      <c r="J168" s="491">
        <v>-7.44</v>
      </c>
      <c r="K168" s="523">
        <v>-8.5</v>
      </c>
    </row>
    <row r="169" spans="1:19" s="559" customFormat="1">
      <c r="A169" s="472" t="s">
        <v>322</v>
      </c>
      <c r="B169" s="609" t="s">
        <v>803</v>
      </c>
      <c r="C169" s="522" t="s">
        <v>330</v>
      </c>
      <c r="D169" s="490" t="s">
        <v>803</v>
      </c>
      <c r="E169" s="472" t="s">
        <v>804</v>
      </c>
      <c r="F169" s="490">
        <v>201606</v>
      </c>
      <c r="G169" s="474">
        <v>-6790.08</v>
      </c>
      <c r="H169" s="590">
        <v>10.5</v>
      </c>
      <c r="I169" s="486">
        <v>1.1999999999999999E-3</v>
      </c>
      <c r="J169" s="491">
        <v>-85.56</v>
      </c>
      <c r="K169" s="523">
        <v>-97.78</v>
      </c>
    </row>
    <row r="170" spans="1:19" s="559" customFormat="1">
      <c r="A170" s="472" t="s">
        <v>322</v>
      </c>
      <c r="B170" s="609" t="s">
        <v>805</v>
      </c>
      <c r="C170" s="522" t="s">
        <v>330</v>
      </c>
      <c r="D170" s="490" t="s">
        <v>805</v>
      </c>
      <c r="E170" s="472" t="s">
        <v>806</v>
      </c>
      <c r="F170" s="490">
        <v>201606</v>
      </c>
      <c r="G170" s="474">
        <v>-4836.32</v>
      </c>
      <c r="H170" s="590">
        <v>10.5</v>
      </c>
      <c r="I170" s="486">
        <v>1.1999999999999999E-3</v>
      </c>
      <c r="J170" s="491">
        <v>-60.94</v>
      </c>
      <c r="K170" s="523">
        <v>-69.64</v>
      </c>
    </row>
    <row r="171" spans="1:19" s="559" customFormat="1">
      <c r="A171" s="472" t="s">
        <v>322</v>
      </c>
      <c r="B171" s="609" t="s">
        <v>619</v>
      </c>
      <c r="C171" s="522" t="s">
        <v>330</v>
      </c>
      <c r="D171" s="490" t="s">
        <v>619</v>
      </c>
      <c r="E171" s="472" t="s">
        <v>620</v>
      </c>
      <c r="F171" s="490">
        <v>201606</v>
      </c>
      <c r="G171" s="474">
        <v>-4186.33</v>
      </c>
      <c r="H171" s="590">
        <v>10.5</v>
      </c>
      <c r="I171" s="486">
        <v>1.1999999999999999E-3</v>
      </c>
      <c r="J171" s="491">
        <v>-52.75</v>
      </c>
      <c r="K171" s="523">
        <v>-60.28</v>
      </c>
    </row>
    <row r="172" spans="1:19" s="559" customFormat="1">
      <c r="A172" s="472" t="s">
        <v>322</v>
      </c>
      <c r="B172" s="490" t="s">
        <v>836</v>
      </c>
      <c r="C172" s="522" t="s">
        <v>330</v>
      </c>
      <c r="D172" s="490">
        <v>901381</v>
      </c>
      <c r="E172" s="472" t="s">
        <v>837</v>
      </c>
      <c r="F172" s="490">
        <v>201607</v>
      </c>
      <c r="G172" s="474">
        <v>-41920.53</v>
      </c>
      <c r="H172" s="590">
        <v>9.5</v>
      </c>
      <c r="I172" s="486">
        <v>1.1999999999999999E-3</v>
      </c>
      <c r="J172" s="491">
        <v>-477.89</v>
      </c>
      <c r="K172" s="523">
        <v>-603.66</v>
      </c>
    </row>
    <row r="173" spans="1:19" s="559" customFormat="1">
      <c r="A173" s="472" t="s">
        <v>322</v>
      </c>
      <c r="B173" s="490" t="s">
        <v>631</v>
      </c>
      <c r="C173" s="522" t="s">
        <v>330</v>
      </c>
      <c r="D173" s="490">
        <v>900520</v>
      </c>
      <c r="E173" s="472" t="s">
        <v>632</v>
      </c>
      <c r="F173" s="490">
        <v>201607</v>
      </c>
      <c r="G173" s="474">
        <v>-25848.55</v>
      </c>
      <c r="H173" s="590">
        <v>9.5</v>
      </c>
      <c r="I173" s="486">
        <v>1.1999999999999999E-3</v>
      </c>
      <c r="J173" s="491">
        <v>-294.67</v>
      </c>
      <c r="K173" s="523">
        <v>-372.22</v>
      </c>
    </row>
    <row r="174" spans="1:19" s="559" customFormat="1">
      <c r="A174" s="472" t="s">
        <v>322</v>
      </c>
      <c r="B174" s="490" t="s">
        <v>822</v>
      </c>
      <c r="C174" s="522" t="s">
        <v>330</v>
      </c>
      <c r="D174" s="490">
        <v>901087</v>
      </c>
      <c r="E174" s="472" t="s">
        <v>823</v>
      </c>
      <c r="F174" s="490">
        <v>201607</v>
      </c>
      <c r="G174" s="474">
        <v>-5760.62</v>
      </c>
      <c r="H174" s="590">
        <v>9.5</v>
      </c>
      <c r="I174" s="486">
        <v>1.1999999999999999E-3</v>
      </c>
      <c r="J174" s="491">
        <v>-65.67</v>
      </c>
      <c r="K174" s="523">
        <v>-82.95</v>
      </c>
    </row>
    <row r="175" spans="1:19" s="559" customFormat="1">
      <c r="A175" s="472" t="s">
        <v>322</v>
      </c>
      <c r="B175" s="490" t="s">
        <v>327</v>
      </c>
      <c r="C175" s="522" t="s">
        <v>319</v>
      </c>
      <c r="D175" s="490">
        <v>699720</v>
      </c>
      <c r="E175" s="472" t="s">
        <v>328</v>
      </c>
      <c r="F175" s="490">
        <v>201607</v>
      </c>
      <c r="G175" s="474">
        <v>-309.87</v>
      </c>
      <c r="H175" s="590">
        <v>9.5</v>
      </c>
      <c r="I175" s="486">
        <v>1.1999999999999999E-3</v>
      </c>
      <c r="J175" s="491">
        <v>-3.53</v>
      </c>
      <c r="K175" s="523">
        <v>-4.46</v>
      </c>
    </row>
    <row r="176" spans="1:19" s="559" customFormat="1">
      <c r="A176" s="472" t="s">
        <v>322</v>
      </c>
      <c r="B176" s="490" t="s">
        <v>347</v>
      </c>
      <c r="C176" s="522" t="s">
        <v>917</v>
      </c>
      <c r="D176" s="490">
        <v>695300</v>
      </c>
      <c r="E176" s="472" t="s">
        <v>348</v>
      </c>
      <c r="F176" s="490">
        <v>201607</v>
      </c>
      <c r="G176" s="474">
        <v>-72.67</v>
      </c>
      <c r="H176" s="590">
        <v>9.5</v>
      </c>
      <c r="I176" s="486">
        <v>1.1999999999999999E-3</v>
      </c>
      <c r="J176" s="491">
        <v>-0.83</v>
      </c>
      <c r="K176" s="523">
        <v>-1.05</v>
      </c>
    </row>
    <row r="177" spans="1:11" s="559" customFormat="1">
      <c r="A177" s="472" t="s">
        <v>322</v>
      </c>
      <c r="B177" s="490" t="s">
        <v>643</v>
      </c>
      <c r="C177" s="522" t="s">
        <v>330</v>
      </c>
      <c r="D177" s="490" t="s">
        <v>643</v>
      </c>
      <c r="E177" s="472" t="s">
        <v>644</v>
      </c>
      <c r="F177" s="490">
        <v>201608</v>
      </c>
      <c r="G177" s="474">
        <v>-27988.44</v>
      </c>
      <c r="H177" s="590">
        <v>8.5</v>
      </c>
      <c r="I177" s="486">
        <v>1.1999999999999999E-3</v>
      </c>
      <c r="J177" s="491">
        <v>-285.48</v>
      </c>
      <c r="K177" s="523">
        <v>-403.03</v>
      </c>
    </row>
    <row r="178" spans="1:11" s="559" customFormat="1">
      <c r="A178" s="472" t="s">
        <v>322</v>
      </c>
      <c r="B178" s="490" t="s">
        <v>856</v>
      </c>
      <c r="C178" s="522" t="s">
        <v>330</v>
      </c>
      <c r="D178" s="490" t="s">
        <v>856</v>
      </c>
      <c r="E178" s="472" t="s">
        <v>857</v>
      </c>
      <c r="F178" s="490">
        <v>201608</v>
      </c>
      <c r="G178" s="474">
        <v>-108.93</v>
      </c>
      <c r="H178" s="590">
        <v>8.5</v>
      </c>
      <c r="I178" s="486">
        <v>1.1999999999999999E-3</v>
      </c>
      <c r="J178" s="491">
        <v>-1.1100000000000001</v>
      </c>
      <c r="K178" s="523">
        <v>-1.57</v>
      </c>
    </row>
    <row r="179" spans="1:11" s="559" customFormat="1">
      <c r="A179" s="472" t="s">
        <v>322</v>
      </c>
      <c r="B179" s="490" t="s">
        <v>800</v>
      </c>
      <c r="C179" s="522" t="s">
        <v>330</v>
      </c>
      <c r="D179" s="490" t="s">
        <v>800</v>
      </c>
      <c r="E179" s="472" t="s">
        <v>830</v>
      </c>
      <c r="F179" s="490">
        <v>201608</v>
      </c>
      <c r="G179" s="474">
        <v>-106135.82</v>
      </c>
      <c r="H179" s="590">
        <v>8.5</v>
      </c>
      <c r="I179" s="486">
        <v>1.1999999999999999E-3</v>
      </c>
      <c r="J179" s="491">
        <v>-1082.5899999999999</v>
      </c>
      <c r="K179" s="523">
        <v>-1528.36</v>
      </c>
    </row>
    <row r="180" spans="1:11" s="559" customFormat="1">
      <c r="A180" s="472" t="s">
        <v>322</v>
      </c>
      <c r="B180" s="490" t="s">
        <v>838</v>
      </c>
      <c r="C180" s="522" t="s">
        <v>330</v>
      </c>
      <c r="D180" s="490" t="s">
        <v>838</v>
      </c>
      <c r="E180" s="472" t="s">
        <v>1015</v>
      </c>
      <c r="F180" s="490">
        <v>201608</v>
      </c>
      <c r="G180" s="474">
        <v>-46302.86</v>
      </c>
      <c r="H180" s="590">
        <v>8.5</v>
      </c>
      <c r="I180" s="486">
        <v>1.1999999999999999E-3</v>
      </c>
      <c r="J180" s="491">
        <v>-472.29</v>
      </c>
      <c r="K180" s="523">
        <v>-666.76</v>
      </c>
    </row>
    <row r="181" spans="1:11" s="559" customFormat="1">
      <c r="A181" s="472" t="s">
        <v>322</v>
      </c>
      <c r="B181" s="490" t="s">
        <v>814</v>
      </c>
      <c r="C181" s="522" t="s">
        <v>330</v>
      </c>
      <c r="D181" s="490" t="s">
        <v>814</v>
      </c>
      <c r="E181" s="472" t="s">
        <v>815</v>
      </c>
      <c r="F181" s="490">
        <v>201608</v>
      </c>
      <c r="G181" s="474">
        <v>-24075.3</v>
      </c>
      <c r="H181" s="590">
        <v>8.5</v>
      </c>
      <c r="I181" s="486">
        <v>1.1999999999999999E-3</v>
      </c>
      <c r="J181" s="491">
        <v>-245.57</v>
      </c>
      <c r="K181" s="523">
        <v>-346.68</v>
      </c>
    </row>
    <row r="182" spans="1:11" s="559" customFormat="1">
      <c r="A182" s="472" t="s">
        <v>322</v>
      </c>
      <c r="B182" s="490" t="s">
        <v>862</v>
      </c>
      <c r="C182" s="522" t="s">
        <v>330</v>
      </c>
      <c r="D182" s="490" t="s">
        <v>862</v>
      </c>
      <c r="E182" s="472" t="s">
        <v>863</v>
      </c>
      <c r="F182" s="490">
        <v>201608</v>
      </c>
      <c r="G182" s="474">
        <v>-12833.38</v>
      </c>
      <c r="H182" s="590">
        <v>8.5</v>
      </c>
      <c r="I182" s="486">
        <v>1.1999999999999999E-3</v>
      </c>
      <c r="J182" s="491">
        <v>-130.9</v>
      </c>
      <c r="K182" s="523">
        <v>-184.8</v>
      </c>
    </row>
    <row r="183" spans="1:11" s="559" customFormat="1">
      <c r="A183" s="472" t="s">
        <v>322</v>
      </c>
      <c r="B183" s="490" t="s">
        <v>680</v>
      </c>
      <c r="C183" s="522" t="s">
        <v>330</v>
      </c>
      <c r="D183" s="490" t="s">
        <v>680</v>
      </c>
      <c r="E183" s="472" t="s">
        <v>681</v>
      </c>
      <c r="F183" s="490">
        <v>201608</v>
      </c>
      <c r="G183" s="474">
        <v>-1141.28</v>
      </c>
      <c r="H183" s="590">
        <v>8.5</v>
      </c>
      <c r="I183" s="486">
        <v>1.1999999999999999E-3</v>
      </c>
      <c r="J183" s="491">
        <v>-11.64</v>
      </c>
      <c r="K183" s="523">
        <v>-16.43</v>
      </c>
    </row>
    <row r="184" spans="1:11" s="559" customFormat="1">
      <c r="A184" s="472" t="s">
        <v>322</v>
      </c>
      <c r="B184" s="490" t="s">
        <v>846</v>
      </c>
      <c r="C184" s="522" t="s">
        <v>330</v>
      </c>
      <c r="D184" s="490" t="s">
        <v>846</v>
      </c>
      <c r="E184" s="472" t="s">
        <v>847</v>
      </c>
      <c r="F184" s="490">
        <v>201608</v>
      </c>
      <c r="G184" s="474">
        <v>-1215.9100000000001</v>
      </c>
      <c r="H184" s="590">
        <v>8.5</v>
      </c>
      <c r="I184" s="486">
        <v>1.1999999999999999E-3</v>
      </c>
      <c r="J184" s="491">
        <v>-12.4</v>
      </c>
      <c r="K184" s="523">
        <v>-17.510000000000002</v>
      </c>
    </row>
    <row r="185" spans="1:11" s="559" customFormat="1">
      <c r="A185" s="472" t="s">
        <v>322</v>
      </c>
      <c r="B185" s="490" t="s">
        <v>852</v>
      </c>
      <c r="C185" s="522" t="s">
        <v>330</v>
      </c>
      <c r="D185" s="490" t="s">
        <v>852</v>
      </c>
      <c r="E185" s="472" t="s">
        <v>853</v>
      </c>
      <c r="F185" s="490">
        <v>201608</v>
      </c>
      <c r="G185" s="474">
        <v>-3218.28</v>
      </c>
      <c r="H185" s="590">
        <v>8.5</v>
      </c>
      <c r="I185" s="486">
        <v>1.1999999999999999E-3</v>
      </c>
      <c r="J185" s="491">
        <v>-32.83</v>
      </c>
      <c r="K185" s="523">
        <v>-46.34</v>
      </c>
    </row>
    <row r="186" spans="1:11" s="559" customFormat="1">
      <c r="A186" s="472" t="s">
        <v>322</v>
      </c>
      <c r="B186" s="490" t="s">
        <v>826</v>
      </c>
      <c r="C186" s="522" t="s">
        <v>330</v>
      </c>
      <c r="D186" s="490" t="s">
        <v>826</v>
      </c>
      <c r="E186" s="472" t="s">
        <v>827</v>
      </c>
      <c r="F186" s="490">
        <v>201608</v>
      </c>
      <c r="G186" s="474">
        <v>-1469.25</v>
      </c>
      <c r="H186" s="590">
        <v>8.5</v>
      </c>
      <c r="I186" s="486">
        <v>1.1999999999999999E-3</v>
      </c>
      <c r="J186" s="491">
        <v>-14.99</v>
      </c>
      <c r="K186" s="523">
        <v>-21.16</v>
      </c>
    </row>
    <row r="187" spans="1:11" s="559" customFormat="1">
      <c r="A187" s="472" t="s">
        <v>322</v>
      </c>
      <c r="B187" s="490" t="s">
        <v>1061</v>
      </c>
      <c r="C187" s="522" t="s">
        <v>736</v>
      </c>
      <c r="D187" s="490" t="s">
        <v>1061</v>
      </c>
      <c r="E187" s="472" t="s">
        <v>1062</v>
      </c>
      <c r="F187" s="490">
        <v>201609</v>
      </c>
      <c r="G187" s="474">
        <v>-291.67</v>
      </c>
      <c r="H187" s="590">
        <v>7.5</v>
      </c>
      <c r="I187" s="486">
        <v>1.1999999999999999E-3</v>
      </c>
      <c r="J187" s="491">
        <v>-2.63</v>
      </c>
      <c r="K187" s="523">
        <v>-4.2</v>
      </c>
    </row>
    <row r="188" spans="1:11" s="559" customFormat="1">
      <c r="A188" s="472" t="s">
        <v>322</v>
      </c>
      <c r="B188" s="490" t="s">
        <v>1059</v>
      </c>
      <c r="C188" s="522" t="s">
        <v>736</v>
      </c>
      <c r="D188" s="490" t="s">
        <v>1059</v>
      </c>
      <c r="E188" s="472" t="s">
        <v>1060</v>
      </c>
      <c r="F188" s="490">
        <v>201609</v>
      </c>
      <c r="G188" s="474">
        <v>-1575.78</v>
      </c>
      <c r="H188" s="590">
        <v>7.5</v>
      </c>
      <c r="I188" s="486">
        <v>1.1999999999999999E-3</v>
      </c>
      <c r="J188" s="491">
        <v>-14.18</v>
      </c>
      <c r="K188" s="523">
        <v>-22.69</v>
      </c>
    </row>
    <row r="189" spans="1:11" s="559" customFormat="1">
      <c r="A189" s="472" t="s">
        <v>322</v>
      </c>
      <c r="B189" s="490" t="s">
        <v>323</v>
      </c>
      <c r="C189" s="522" t="s">
        <v>319</v>
      </c>
      <c r="D189" s="490" t="s">
        <v>323</v>
      </c>
      <c r="E189" s="472" t="s">
        <v>324</v>
      </c>
      <c r="F189" s="490">
        <v>201609</v>
      </c>
      <c r="G189" s="474">
        <v>-115.71</v>
      </c>
      <c r="H189" s="590">
        <v>7.5</v>
      </c>
      <c r="I189" s="486">
        <v>1.1999999999999999E-3</v>
      </c>
      <c r="J189" s="491">
        <v>-1.04</v>
      </c>
      <c r="K189" s="523">
        <v>-1.67</v>
      </c>
    </row>
    <row r="190" spans="1:11" s="559" customFormat="1">
      <c r="A190" s="472" t="s">
        <v>322</v>
      </c>
      <c r="B190" s="490" t="s">
        <v>882</v>
      </c>
      <c r="C190" s="522" t="s">
        <v>330</v>
      </c>
      <c r="D190" s="490" t="s">
        <v>882</v>
      </c>
      <c r="E190" s="472" t="s">
        <v>995</v>
      </c>
      <c r="F190" s="490">
        <v>201609</v>
      </c>
      <c r="G190" s="474">
        <v>-2267.11</v>
      </c>
      <c r="H190" s="590">
        <v>7.5</v>
      </c>
      <c r="I190" s="486">
        <v>1.1999999999999999E-3</v>
      </c>
      <c r="J190" s="491">
        <v>-20.399999999999999</v>
      </c>
      <c r="K190" s="523">
        <v>-32.65</v>
      </c>
    </row>
    <row r="191" spans="1:11" s="559" customFormat="1">
      <c r="A191" s="472" t="s">
        <v>322</v>
      </c>
      <c r="B191" s="490" t="s">
        <v>325</v>
      </c>
      <c r="C191" s="522" t="s">
        <v>319</v>
      </c>
      <c r="D191" s="490" t="s">
        <v>325</v>
      </c>
      <c r="E191" s="472" t="s">
        <v>326</v>
      </c>
      <c r="F191" s="490">
        <v>201610</v>
      </c>
      <c r="G191" s="474">
        <v>-51.56</v>
      </c>
      <c r="H191" s="590">
        <v>6.5</v>
      </c>
      <c r="I191" s="486">
        <v>1.1999999999999999E-3</v>
      </c>
      <c r="J191" s="491">
        <v>-0.4</v>
      </c>
      <c r="K191" s="523">
        <v>-0.74</v>
      </c>
    </row>
    <row r="192" spans="1:11" s="559" customFormat="1">
      <c r="A192" s="472" t="s">
        <v>322</v>
      </c>
      <c r="B192" s="490" t="s">
        <v>951</v>
      </c>
      <c r="C192" s="522" t="s">
        <v>330</v>
      </c>
      <c r="D192" s="490" t="s">
        <v>951</v>
      </c>
      <c r="E192" s="472" t="s">
        <v>952</v>
      </c>
      <c r="F192" s="490">
        <v>201610</v>
      </c>
      <c r="G192" s="474">
        <v>-3010.8</v>
      </c>
      <c r="H192" s="590">
        <v>6.5</v>
      </c>
      <c r="I192" s="486">
        <v>1.1999999999999999E-3</v>
      </c>
      <c r="J192" s="491">
        <v>-23.48</v>
      </c>
      <c r="K192" s="523">
        <v>-43.36</v>
      </c>
    </row>
    <row r="193" spans="1:19" s="559" customFormat="1">
      <c r="A193" s="472" t="s">
        <v>322</v>
      </c>
      <c r="B193" s="490" t="s">
        <v>832</v>
      </c>
      <c r="C193" s="522" t="s">
        <v>330</v>
      </c>
      <c r="D193" s="490" t="s">
        <v>832</v>
      </c>
      <c r="E193" s="472" t="s">
        <v>833</v>
      </c>
      <c r="F193" s="490">
        <v>201610</v>
      </c>
      <c r="G193" s="474">
        <v>-3031.78</v>
      </c>
      <c r="H193" s="590">
        <v>6.5</v>
      </c>
      <c r="I193" s="486">
        <v>1.1999999999999999E-3</v>
      </c>
      <c r="J193" s="491">
        <v>-23.65</v>
      </c>
      <c r="K193" s="523">
        <v>-43.66</v>
      </c>
    </row>
    <row r="194" spans="1:19" s="559" customFormat="1">
      <c r="A194" s="472" t="s">
        <v>322</v>
      </c>
      <c r="B194" s="490" t="s">
        <v>325</v>
      </c>
      <c r="C194" s="522" t="s">
        <v>319</v>
      </c>
      <c r="D194" s="490" t="s">
        <v>325</v>
      </c>
      <c r="E194" s="472" t="s">
        <v>326</v>
      </c>
      <c r="F194" s="490">
        <v>201611</v>
      </c>
      <c r="G194" s="474">
        <v>-573.20000000000005</v>
      </c>
      <c r="H194" s="590">
        <v>5.5</v>
      </c>
      <c r="I194" s="486">
        <v>1.1999999999999999E-3</v>
      </c>
      <c r="J194" s="491">
        <v>-3.78</v>
      </c>
      <c r="K194" s="523">
        <v>-8.25</v>
      </c>
    </row>
    <row r="195" spans="1:19">
      <c r="A195" s="107"/>
      <c r="B195" s="108"/>
      <c r="C195" s="108"/>
      <c r="D195" s="108"/>
      <c r="E195" s="126"/>
      <c r="F195" s="159"/>
      <c r="G195" s="82"/>
      <c r="H195" s="180"/>
      <c r="I195" s="168"/>
      <c r="J195" s="82"/>
      <c r="K195" s="82"/>
      <c r="S195" s="101">
        <f t="shared" si="2"/>
        <v>2014</v>
      </c>
    </row>
    <row r="196" spans="1:19">
      <c r="A196" s="113"/>
      <c r="B196" s="114"/>
      <c r="C196" s="114"/>
      <c r="D196" s="114"/>
      <c r="E196" s="114"/>
      <c r="F196" s="164"/>
      <c r="G196" s="129"/>
      <c r="H196" s="181"/>
      <c r="I196" s="121"/>
      <c r="J196" s="129"/>
      <c r="K196" s="129"/>
    </row>
    <row r="197" spans="1:19" ht="13.5" thickBot="1">
      <c r="A197" s="95" t="s">
        <v>127</v>
      </c>
      <c r="B197" s="114"/>
      <c r="C197" s="114"/>
      <c r="D197" s="114"/>
      <c r="E197" s="114"/>
      <c r="F197" s="164"/>
      <c r="G197" s="130">
        <f>SUM(G147:G196)</f>
        <v>-491065.62</v>
      </c>
      <c r="H197" s="181"/>
      <c r="I197" s="121"/>
      <c r="J197" s="130">
        <f>SUM(J147:J196)</f>
        <v>-4413.6199999999981</v>
      </c>
      <c r="K197" s="130">
        <f>SUM(K147:K196)</f>
        <v>-7071.3499999999995</v>
      </c>
    </row>
    <row r="198" spans="1:19" ht="13.5" thickTop="1">
      <c r="A198" s="113"/>
      <c r="B198" s="114"/>
      <c r="C198" s="114"/>
      <c r="D198" s="114"/>
      <c r="E198" s="114"/>
      <c r="F198" s="164"/>
      <c r="G198" s="103"/>
      <c r="H198" s="181"/>
      <c r="I198" s="121"/>
      <c r="J198" s="103"/>
      <c r="K198" s="103"/>
    </row>
    <row r="199" spans="1:19">
      <c r="A199" s="95"/>
      <c r="B199" s="114"/>
      <c r="C199" s="114"/>
      <c r="D199" s="114"/>
      <c r="E199" s="114"/>
      <c r="F199" s="164"/>
      <c r="G199" s="103"/>
      <c r="H199" s="181"/>
      <c r="I199" s="121"/>
      <c r="J199" s="103"/>
      <c r="K199" s="103"/>
    </row>
    <row r="200" spans="1:19" ht="13.5" thickBot="1">
      <c r="A200" s="183" t="s">
        <v>128</v>
      </c>
      <c r="B200" s="114"/>
      <c r="C200" s="114"/>
      <c r="D200" s="114"/>
      <c r="E200" s="114"/>
      <c r="F200" s="164"/>
      <c r="G200" s="130">
        <f>+G66+G141+G197</f>
        <v>-3499558.54</v>
      </c>
      <c r="H200" s="181"/>
      <c r="I200" s="121"/>
      <c r="J200" s="130">
        <f>+J66+J141+J197</f>
        <v>-40812.949999999997</v>
      </c>
      <c r="K200" s="130">
        <f>+K66+K141+K197</f>
        <v>-69207.610000000015</v>
      </c>
    </row>
    <row r="201" spans="1:19" ht="13.5" thickTop="1">
      <c r="A201" s="113"/>
      <c r="B201" s="114"/>
      <c r="C201" s="114"/>
      <c r="D201" s="114"/>
      <c r="E201" s="114"/>
      <c r="F201" s="164"/>
      <c r="G201" s="103"/>
      <c r="H201" s="181"/>
      <c r="I201" s="121"/>
      <c r="J201" s="103"/>
      <c r="K201" s="103"/>
    </row>
    <row r="202" spans="1:19">
      <c r="A202" s="183" t="s">
        <v>129</v>
      </c>
      <c r="B202" s="114"/>
      <c r="C202" s="114"/>
      <c r="D202" s="114"/>
      <c r="E202" s="114" t="s">
        <v>150</v>
      </c>
      <c r="F202" s="164"/>
      <c r="G202" s="103"/>
      <c r="H202" s="181"/>
      <c r="I202" s="121"/>
      <c r="J202" s="103"/>
      <c r="K202" s="103"/>
    </row>
    <row r="203" spans="1:19">
      <c r="A203" s="113"/>
      <c r="B203" s="114"/>
      <c r="C203" s="114"/>
      <c r="D203" s="114"/>
      <c r="E203" s="114"/>
      <c r="F203" s="164"/>
      <c r="G203" s="103"/>
      <c r="H203" s="181"/>
      <c r="I203" s="121"/>
      <c r="J203" s="103"/>
      <c r="K203" s="103"/>
    </row>
    <row r="204" spans="1:19">
      <c r="A204" s="88" t="s">
        <v>413</v>
      </c>
    </row>
    <row r="206" spans="1:19">
      <c r="A206" s="81" t="s">
        <v>86</v>
      </c>
      <c r="B206" s="81" t="s">
        <v>87</v>
      </c>
      <c r="C206" s="81" t="s">
        <v>88</v>
      </c>
      <c r="D206" s="81"/>
      <c r="E206" s="81"/>
      <c r="F206" s="146" t="s">
        <v>121</v>
      </c>
      <c r="G206" s="89" t="s">
        <v>121</v>
      </c>
      <c r="H206" s="177"/>
      <c r="I206" s="81" t="s">
        <v>91</v>
      </c>
      <c r="J206" s="90" t="s">
        <v>92</v>
      </c>
      <c r="K206" s="90" t="s">
        <v>93</v>
      </c>
    </row>
    <row r="207" spans="1:19">
      <c r="A207" s="86" t="s">
        <v>94</v>
      </c>
      <c r="B207" s="96" t="s">
        <v>95</v>
      </c>
      <c r="C207" s="96" t="s">
        <v>96</v>
      </c>
      <c r="D207" s="96"/>
      <c r="E207" s="96" t="s">
        <v>97</v>
      </c>
      <c r="F207" s="150" t="s">
        <v>98</v>
      </c>
      <c r="G207" s="98" t="s">
        <v>99</v>
      </c>
      <c r="H207" s="179" t="s">
        <v>100</v>
      </c>
      <c r="I207" s="96" t="s">
        <v>101</v>
      </c>
      <c r="J207" s="98" t="s">
        <v>93</v>
      </c>
      <c r="K207" s="98" t="s">
        <v>102</v>
      </c>
    </row>
    <row r="208" spans="1:19">
      <c r="A208" s="521" t="s">
        <v>405</v>
      </c>
      <c r="B208" s="522" t="s">
        <v>397</v>
      </c>
      <c r="C208" s="522"/>
      <c r="D208" s="522"/>
      <c r="E208" s="521" t="s">
        <v>398</v>
      </c>
      <c r="F208" s="522">
        <v>201601</v>
      </c>
      <c r="G208" s="523">
        <v>-181.66</v>
      </c>
      <c r="H208" s="590">
        <v>3</v>
      </c>
      <c r="I208" s="521">
        <v>4.3582999999999998E-3</v>
      </c>
      <c r="J208" s="523">
        <v>-2.38</v>
      </c>
      <c r="K208" s="523">
        <v>-9.5</v>
      </c>
      <c r="S208" s="101">
        <f t="shared" ref="S208:S339" si="3">IF(F208&lt;=$S$1,$U$5,$U$6)</f>
        <v>2015</v>
      </c>
    </row>
    <row r="209" spans="1:11">
      <c r="A209" s="521" t="s">
        <v>405</v>
      </c>
      <c r="B209" s="522" t="s">
        <v>347</v>
      </c>
      <c r="C209" s="522"/>
      <c r="D209" s="522"/>
      <c r="E209" s="521" t="s">
        <v>348</v>
      </c>
      <c r="F209" s="522">
        <v>201601</v>
      </c>
      <c r="G209" s="523">
        <v>-3870.16</v>
      </c>
      <c r="H209" s="590">
        <v>3</v>
      </c>
      <c r="I209" s="521">
        <v>4.3582999999999998E-3</v>
      </c>
      <c r="J209" s="523">
        <v>-50.6</v>
      </c>
      <c r="K209" s="523">
        <v>-202.41</v>
      </c>
    </row>
    <row r="210" spans="1:11">
      <c r="A210" s="521" t="s">
        <v>405</v>
      </c>
      <c r="B210" s="522" t="s">
        <v>349</v>
      </c>
      <c r="C210" s="522"/>
      <c r="D210" s="522"/>
      <c r="E210" s="521" t="s">
        <v>350</v>
      </c>
      <c r="F210" s="522">
        <v>201601</v>
      </c>
      <c r="G210" s="523">
        <v>-422.67</v>
      </c>
      <c r="H210" s="590">
        <v>3</v>
      </c>
      <c r="I210" s="521">
        <v>4.3582999999999998E-3</v>
      </c>
      <c r="J210" s="523">
        <v>-5.53</v>
      </c>
      <c r="K210" s="523">
        <v>-22.11</v>
      </c>
    </row>
    <row r="211" spans="1:11">
      <c r="A211" s="521" t="s">
        <v>405</v>
      </c>
      <c r="B211" s="522" t="s">
        <v>385</v>
      </c>
      <c r="C211" s="522"/>
      <c r="D211" s="522"/>
      <c r="E211" s="521" t="s">
        <v>386</v>
      </c>
      <c r="F211" s="522">
        <v>201601</v>
      </c>
      <c r="G211" s="523">
        <v>-972.51</v>
      </c>
      <c r="H211" s="590">
        <v>3</v>
      </c>
      <c r="I211" s="521">
        <v>4.3582999999999998E-3</v>
      </c>
      <c r="J211" s="523">
        <v>-12.72</v>
      </c>
      <c r="K211" s="523">
        <v>-50.86</v>
      </c>
    </row>
    <row r="212" spans="1:11">
      <c r="A212" s="521" t="s">
        <v>405</v>
      </c>
      <c r="B212" s="522" t="s">
        <v>387</v>
      </c>
      <c r="C212" s="522"/>
      <c r="D212" s="522"/>
      <c r="E212" s="521" t="s">
        <v>388</v>
      </c>
      <c r="F212" s="522">
        <v>201601</v>
      </c>
      <c r="G212" s="523">
        <v>-383.13</v>
      </c>
      <c r="H212" s="590">
        <v>3</v>
      </c>
      <c r="I212" s="521">
        <v>4.3582999999999998E-3</v>
      </c>
      <c r="J212" s="523">
        <v>-5.01</v>
      </c>
      <c r="K212" s="523">
        <v>-20.04</v>
      </c>
    </row>
    <row r="213" spans="1:11">
      <c r="A213" s="521" t="s">
        <v>405</v>
      </c>
      <c r="B213" s="522" t="s">
        <v>391</v>
      </c>
      <c r="C213" s="522"/>
      <c r="D213" s="522"/>
      <c r="E213" s="521" t="s">
        <v>392</v>
      </c>
      <c r="F213" s="522">
        <v>201601</v>
      </c>
      <c r="G213" s="523">
        <v>-889.64</v>
      </c>
      <c r="H213" s="590">
        <v>3</v>
      </c>
      <c r="I213" s="521">
        <v>4.3582999999999998E-3</v>
      </c>
      <c r="J213" s="523">
        <v>-11.63</v>
      </c>
      <c r="K213" s="523">
        <v>-46.53</v>
      </c>
    </row>
    <row r="214" spans="1:11">
      <c r="A214" s="521" t="s">
        <v>405</v>
      </c>
      <c r="B214" s="522" t="s">
        <v>647</v>
      </c>
      <c r="C214" s="522"/>
      <c r="D214" s="522"/>
      <c r="E214" s="521" t="s">
        <v>648</v>
      </c>
      <c r="F214" s="522">
        <v>201601</v>
      </c>
      <c r="G214" s="523">
        <v>-4148.49</v>
      </c>
      <c r="H214" s="590">
        <v>3</v>
      </c>
      <c r="I214" s="521">
        <v>4.3582999999999998E-3</v>
      </c>
      <c r="J214" s="523">
        <v>-54.24</v>
      </c>
      <c r="K214" s="523">
        <v>-216.96</v>
      </c>
    </row>
    <row r="215" spans="1:11">
      <c r="A215" s="521" t="s">
        <v>405</v>
      </c>
      <c r="B215" s="522" t="s">
        <v>657</v>
      </c>
      <c r="C215" s="522"/>
      <c r="D215" s="522"/>
      <c r="E215" s="521" t="s">
        <v>658</v>
      </c>
      <c r="F215" s="522">
        <v>201601</v>
      </c>
      <c r="G215" s="523">
        <v>-7453.21</v>
      </c>
      <c r="H215" s="590">
        <v>3</v>
      </c>
      <c r="I215" s="521">
        <v>4.3582999999999998E-3</v>
      </c>
      <c r="J215" s="523">
        <v>-97.45</v>
      </c>
      <c r="K215" s="523">
        <v>-389.8</v>
      </c>
    </row>
    <row r="216" spans="1:11">
      <c r="A216" s="521" t="s">
        <v>405</v>
      </c>
      <c r="B216" s="522" t="s">
        <v>788</v>
      </c>
      <c r="C216" s="522"/>
      <c r="D216" s="522"/>
      <c r="E216" s="521" t="s">
        <v>789</v>
      </c>
      <c r="F216" s="522">
        <v>201601</v>
      </c>
      <c r="G216" s="523">
        <v>-12922.8</v>
      </c>
      <c r="H216" s="590">
        <v>3</v>
      </c>
      <c r="I216" s="521">
        <v>4.3582999999999998E-3</v>
      </c>
      <c r="J216" s="523">
        <v>-168.96</v>
      </c>
      <c r="K216" s="523">
        <v>-675.86</v>
      </c>
    </row>
    <row r="217" spans="1:11">
      <c r="A217" s="521" t="s">
        <v>405</v>
      </c>
      <c r="B217" s="522" t="s">
        <v>670</v>
      </c>
      <c r="C217" s="522"/>
      <c r="D217" s="522"/>
      <c r="E217" s="521" t="s">
        <v>671</v>
      </c>
      <c r="F217" s="522">
        <v>201601</v>
      </c>
      <c r="G217" s="523">
        <v>-4539.24</v>
      </c>
      <c r="H217" s="590">
        <v>3</v>
      </c>
      <c r="I217" s="521">
        <v>4.3582999999999998E-3</v>
      </c>
      <c r="J217" s="523">
        <v>-59.35</v>
      </c>
      <c r="K217" s="523">
        <v>-237.4</v>
      </c>
    </row>
    <row r="218" spans="1:11">
      <c r="A218" s="521" t="s">
        <v>405</v>
      </c>
      <c r="B218" s="522" t="s">
        <v>567</v>
      </c>
      <c r="C218" s="522"/>
      <c r="D218" s="522"/>
      <c r="E218" s="521" t="s">
        <v>568</v>
      </c>
      <c r="F218" s="522">
        <v>201601</v>
      </c>
      <c r="G218" s="523">
        <v>-2156.81</v>
      </c>
      <c r="H218" s="590">
        <v>3</v>
      </c>
      <c r="I218" s="521">
        <v>4.3582999999999998E-3</v>
      </c>
      <c r="J218" s="523">
        <v>-28.2</v>
      </c>
      <c r="K218" s="523">
        <v>-112.8</v>
      </c>
    </row>
    <row r="219" spans="1:11">
      <c r="A219" s="521" t="s">
        <v>405</v>
      </c>
      <c r="B219" s="522" t="s">
        <v>729</v>
      </c>
      <c r="C219" s="522"/>
      <c r="D219" s="522"/>
      <c r="E219" s="521" t="s">
        <v>730</v>
      </c>
      <c r="F219" s="522">
        <v>201601</v>
      </c>
      <c r="G219" s="523">
        <v>-128.63</v>
      </c>
      <c r="H219" s="590">
        <v>3</v>
      </c>
      <c r="I219" s="521">
        <v>4.3582999999999998E-3</v>
      </c>
      <c r="J219" s="523">
        <v>-1.68</v>
      </c>
      <c r="K219" s="523">
        <v>-6.73</v>
      </c>
    </row>
    <row r="220" spans="1:11">
      <c r="A220" s="521"/>
      <c r="B220" s="522"/>
      <c r="C220" s="522"/>
      <c r="D220" s="522"/>
      <c r="E220" s="521"/>
      <c r="F220" s="522"/>
      <c r="G220" s="523"/>
      <c r="H220" s="590"/>
      <c r="I220" s="521"/>
      <c r="J220" s="523"/>
      <c r="K220" s="523"/>
    </row>
    <row r="221" spans="1:11">
      <c r="A221" s="521" t="s">
        <v>405</v>
      </c>
      <c r="B221" s="522" t="s">
        <v>748</v>
      </c>
      <c r="C221" s="522"/>
      <c r="D221" s="522"/>
      <c r="E221" s="521" t="s">
        <v>749</v>
      </c>
      <c r="F221" s="522">
        <v>201602</v>
      </c>
      <c r="G221" s="523">
        <v>-3.4</v>
      </c>
      <c r="H221" s="590">
        <v>2</v>
      </c>
      <c r="I221" s="521">
        <v>4.3582999999999998E-3</v>
      </c>
      <c r="J221" s="523">
        <v>-0.03</v>
      </c>
      <c r="K221" s="523">
        <v>-0.18</v>
      </c>
    </row>
    <row r="222" spans="1:11">
      <c r="A222" s="521" t="s">
        <v>405</v>
      </c>
      <c r="B222" s="522" t="s">
        <v>397</v>
      </c>
      <c r="C222" s="522"/>
      <c r="D222" s="522"/>
      <c r="E222" s="521" t="s">
        <v>398</v>
      </c>
      <c r="F222" s="522">
        <v>201602</v>
      </c>
      <c r="G222" s="523">
        <v>-404.11</v>
      </c>
      <c r="H222" s="590">
        <v>2</v>
      </c>
      <c r="I222" s="521">
        <v>4.3582999999999998E-3</v>
      </c>
      <c r="J222" s="523">
        <v>-3.52</v>
      </c>
      <c r="K222" s="523">
        <v>-21.13</v>
      </c>
    </row>
    <row r="223" spans="1:11">
      <c r="A223" s="521" t="s">
        <v>405</v>
      </c>
      <c r="B223" s="522" t="s">
        <v>347</v>
      </c>
      <c r="C223" s="522"/>
      <c r="D223" s="522"/>
      <c r="E223" s="521" t="s">
        <v>348</v>
      </c>
      <c r="F223" s="522">
        <v>201602</v>
      </c>
      <c r="G223" s="523">
        <v>-11924.2</v>
      </c>
      <c r="H223" s="590">
        <v>2</v>
      </c>
      <c r="I223" s="521">
        <v>4.3582999999999998E-3</v>
      </c>
      <c r="J223" s="523">
        <v>-103.94</v>
      </c>
      <c r="K223" s="523">
        <v>-623.63</v>
      </c>
    </row>
    <row r="224" spans="1:11">
      <c r="A224" s="521" t="s">
        <v>405</v>
      </c>
      <c r="B224" s="522" t="s">
        <v>349</v>
      </c>
      <c r="C224" s="522"/>
      <c r="D224" s="522"/>
      <c r="E224" s="521" t="s">
        <v>350</v>
      </c>
      <c r="F224" s="522">
        <v>201602</v>
      </c>
      <c r="G224" s="523">
        <v>-1022.21</v>
      </c>
      <c r="H224" s="590">
        <v>2</v>
      </c>
      <c r="I224" s="521">
        <v>4.3582999999999998E-3</v>
      </c>
      <c r="J224" s="523">
        <v>-8.91</v>
      </c>
      <c r="K224" s="523">
        <v>-53.46</v>
      </c>
    </row>
    <row r="225" spans="1:11">
      <c r="A225" s="521" t="s">
        <v>405</v>
      </c>
      <c r="B225" s="522" t="s">
        <v>355</v>
      </c>
      <c r="C225" s="522"/>
      <c r="D225" s="522"/>
      <c r="E225" s="521" t="s">
        <v>356</v>
      </c>
      <c r="F225" s="522">
        <v>201602</v>
      </c>
      <c r="G225" s="523">
        <v>-778.85</v>
      </c>
      <c r="H225" s="590">
        <v>2</v>
      </c>
      <c r="I225" s="521">
        <v>4.3582999999999998E-3</v>
      </c>
      <c r="J225" s="523">
        <v>-6.79</v>
      </c>
      <c r="K225" s="523">
        <v>-40.729999999999997</v>
      </c>
    </row>
    <row r="226" spans="1:11">
      <c r="A226" s="521" t="s">
        <v>405</v>
      </c>
      <c r="B226" s="522" t="s">
        <v>403</v>
      </c>
      <c r="C226" s="522"/>
      <c r="D226" s="522"/>
      <c r="E226" s="521" t="s">
        <v>404</v>
      </c>
      <c r="F226" s="522">
        <v>201602</v>
      </c>
      <c r="G226" s="523">
        <v>-408.63</v>
      </c>
      <c r="H226" s="590">
        <v>2</v>
      </c>
      <c r="I226" s="521">
        <v>4.3582999999999998E-3</v>
      </c>
      <c r="J226" s="523">
        <v>-3.56</v>
      </c>
      <c r="K226" s="523">
        <v>-21.37</v>
      </c>
    </row>
    <row r="227" spans="1:11">
      <c r="A227" s="521" t="s">
        <v>405</v>
      </c>
      <c r="B227" s="522" t="s">
        <v>385</v>
      </c>
      <c r="C227" s="522"/>
      <c r="D227" s="522"/>
      <c r="E227" s="521" t="s">
        <v>386</v>
      </c>
      <c r="F227" s="522">
        <v>201602</v>
      </c>
      <c r="G227" s="523">
        <v>-2036.66</v>
      </c>
      <c r="H227" s="590">
        <v>2</v>
      </c>
      <c r="I227" s="521">
        <v>4.3582999999999998E-3</v>
      </c>
      <c r="J227" s="523">
        <v>-17.75</v>
      </c>
      <c r="K227" s="523">
        <v>-106.52</v>
      </c>
    </row>
    <row r="228" spans="1:11">
      <c r="A228" s="521" t="s">
        <v>405</v>
      </c>
      <c r="B228" s="522" t="s">
        <v>387</v>
      </c>
      <c r="C228" s="522"/>
      <c r="D228" s="522"/>
      <c r="E228" s="521" t="s">
        <v>388</v>
      </c>
      <c r="F228" s="522">
        <v>201602</v>
      </c>
      <c r="G228" s="523">
        <v>-2963.86</v>
      </c>
      <c r="H228" s="590">
        <v>2</v>
      </c>
      <c r="I228" s="521">
        <v>4.3582999999999998E-3</v>
      </c>
      <c r="J228" s="523">
        <v>-25.83</v>
      </c>
      <c r="K228" s="523">
        <v>-155.01</v>
      </c>
    </row>
    <row r="229" spans="1:11">
      <c r="A229" s="521" t="s">
        <v>405</v>
      </c>
      <c r="B229" s="522" t="s">
        <v>391</v>
      </c>
      <c r="C229" s="522"/>
      <c r="D229" s="522"/>
      <c r="E229" s="521" t="s">
        <v>392</v>
      </c>
      <c r="F229" s="522">
        <v>201602</v>
      </c>
      <c r="G229" s="523">
        <v>-23.92</v>
      </c>
      <c r="H229" s="590">
        <v>2</v>
      </c>
      <c r="I229" s="521">
        <v>4.3582999999999998E-3</v>
      </c>
      <c r="J229" s="523">
        <v>-0.21</v>
      </c>
      <c r="K229" s="523">
        <v>-1.25</v>
      </c>
    </row>
    <row r="230" spans="1:11">
      <c r="A230" s="521" t="s">
        <v>405</v>
      </c>
      <c r="B230" s="522" t="s">
        <v>589</v>
      </c>
      <c r="C230" s="522"/>
      <c r="D230" s="522"/>
      <c r="E230" s="521" t="s">
        <v>590</v>
      </c>
      <c r="F230" s="522">
        <v>201602</v>
      </c>
      <c r="G230" s="523">
        <v>-29174.94</v>
      </c>
      <c r="H230" s="590">
        <v>2</v>
      </c>
      <c r="I230" s="521">
        <v>4.3582999999999998E-3</v>
      </c>
      <c r="J230" s="523">
        <v>-254.31</v>
      </c>
      <c r="K230" s="523">
        <v>-1525.84</v>
      </c>
    </row>
    <row r="231" spans="1:11">
      <c r="A231" s="521" t="s">
        <v>405</v>
      </c>
      <c r="B231" s="522" t="s">
        <v>708</v>
      </c>
      <c r="C231" s="522"/>
      <c r="D231" s="522"/>
      <c r="E231" s="521" t="s">
        <v>709</v>
      </c>
      <c r="F231" s="522">
        <v>201602</v>
      </c>
      <c r="G231" s="523">
        <v>-35011.11</v>
      </c>
      <c r="H231" s="590">
        <v>2</v>
      </c>
      <c r="I231" s="521">
        <v>4.3582999999999998E-3</v>
      </c>
      <c r="J231" s="523">
        <v>-305.18</v>
      </c>
      <c r="K231" s="523">
        <v>-1831.07</v>
      </c>
    </row>
    <row r="232" spans="1:11">
      <c r="A232" s="521" t="s">
        <v>405</v>
      </c>
      <c r="B232" s="522" t="s">
        <v>645</v>
      </c>
      <c r="C232" s="522"/>
      <c r="D232" s="522"/>
      <c r="E232" s="521" t="s">
        <v>646</v>
      </c>
      <c r="F232" s="522">
        <v>201602</v>
      </c>
      <c r="G232" s="523">
        <v>-4914.32</v>
      </c>
      <c r="H232" s="590">
        <v>2</v>
      </c>
      <c r="I232" s="521">
        <v>4.3582999999999998E-3</v>
      </c>
      <c r="J232" s="523">
        <v>-42.84</v>
      </c>
      <c r="K232" s="523">
        <v>-257.02</v>
      </c>
    </row>
    <row r="233" spans="1:11">
      <c r="A233" s="521" t="s">
        <v>405</v>
      </c>
      <c r="B233" s="522" t="s">
        <v>649</v>
      </c>
      <c r="C233" s="522"/>
      <c r="D233" s="522"/>
      <c r="E233" s="521" t="s">
        <v>650</v>
      </c>
      <c r="F233" s="522">
        <v>201602</v>
      </c>
      <c r="G233" s="523">
        <v>-17354.37</v>
      </c>
      <c r="H233" s="590">
        <v>2</v>
      </c>
      <c r="I233" s="521">
        <v>4.3582999999999998E-3</v>
      </c>
      <c r="J233" s="523">
        <v>-151.27000000000001</v>
      </c>
      <c r="K233" s="523">
        <v>-907.63</v>
      </c>
    </row>
    <row r="234" spans="1:11">
      <c r="A234" s="521" t="s">
        <v>405</v>
      </c>
      <c r="B234" s="522" t="s">
        <v>786</v>
      </c>
      <c r="C234" s="522"/>
      <c r="D234" s="522"/>
      <c r="E234" s="521" t="s">
        <v>787</v>
      </c>
      <c r="F234" s="522">
        <v>201602</v>
      </c>
      <c r="G234" s="523">
        <v>-5892.6</v>
      </c>
      <c r="H234" s="590">
        <v>2</v>
      </c>
      <c r="I234" s="521">
        <v>4.3582999999999998E-3</v>
      </c>
      <c r="J234" s="523">
        <v>-51.36</v>
      </c>
      <c r="K234" s="523">
        <v>-308.18</v>
      </c>
    </row>
    <row r="235" spans="1:11">
      <c r="A235" s="521" t="s">
        <v>405</v>
      </c>
      <c r="B235" s="522" t="s">
        <v>653</v>
      </c>
      <c r="C235" s="522"/>
      <c r="D235" s="522"/>
      <c r="E235" s="521" t="s">
        <v>654</v>
      </c>
      <c r="F235" s="522">
        <v>201602</v>
      </c>
      <c r="G235" s="523">
        <v>-10076.58</v>
      </c>
      <c r="H235" s="590">
        <v>2</v>
      </c>
      <c r="I235" s="521">
        <v>4.3582999999999998E-3</v>
      </c>
      <c r="J235" s="523">
        <v>-87.83</v>
      </c>
      <c r="K235" s="523">
        <v>-527</v>
      </c>
    </row>
    <row r="236" spans="1:11">
      <c r="A236" s="521" t="s">
        <v>405</v>
      </c>
      <c r="B236" s="522" t="s">
        <v>659</v>
      </c>
      <c r="C236" s="522"/>
      <c r="D236" s="522"/>
      <c r="E236" s="521" t="s">
        <v>660</v>
      </c>
      <c r="F236" s="522">
        <v>201602</v>
      </c>
      <c r="G236" s="523">
        <v>-1085.94</v>
      </c>
      <c r="H236" s="590">
        <v>2</v>
      </c>
      <c r="I236" s="521">
        <v>4.3582999999999998E-3</v>
      </c>
      <c r="J236" s="523">
        <v>-9.4700000000000006</v>
      </c>
      <c r="K236" s="523">
        <v>-56.79</v>
      </c>
    </row>
    <row r="237" spans="1:11">
      <c r="A237" s="521" t="s">
        <v>405</v>
      </c>
      <c r="B237" s="522" t="s">
        <v>663</v>
      </c>
      <c r="C237" s="522"/>
      <c r="D237" s="522"/>
      <c r="E237" s="521" t="s">
        <v>664</v>
      </c>
      <c r="F237" s="522">
        <v>201602</v>
      </c>
      <c r="G237" s="523">
        <v>-813.41</v>
      </c>
      <c r="H237" s="590">
        <v>2</v>
      </c>
      <c r="I237" s="521">
        <v>4.3582999999999998E-3</v>
      </c>
      <c r="J237" s="523">
        <v>-7.09</v>
      </c>
      <c r="K237" s="523">
        <v>-42.54</v>
      </c>
    </row>
    <row r="238" spans="1:11">
      <c r="A238" s="521" t="s">
        <v>405</v>
      </c>
      <c r="B238" s="522" t="s">
        <v>674</v>
      </c>
      <c r="C238" s="522"/>
      <c r="D238" s="522"/>
      <c r="E238" s="521" t="s">
        <v>675</v>
      </c>
      <c r="F238" s="522">
        <v>201602</v>
      </c>
      <c r="G238" s="523">
        <v>-630.66</v>
      </c>
      <c r="H238" s="590">
        <v>2</v>
      </c>
      <c r="I238" s="521">
        <v>4.3582999999999998E-3</v>
      </c>
      <c r="J238" s="523">
        <v>-5.5</v>
      </c>
      <c r="K238" s="523">
        <v>-32.979999999999997</v>
      </c>
    </row>
    <row r="239" spans="1:11">
      <c r="A239" s="521" t="s">
        <v>405</v>
      </c>
      <c r="B239" s="522" t="s">
        <v>678</v>
      </c>
      <c r="C239" s="522"/>
      <c r="D239" s="522"/>
      <c r="E239" s="521" t="s">
        <v>679</v>
      </c>
      <c r="F239" s="522">
        <v>201602</v>
      </c>
      <c r="G239" s="523">
        <v>-15028.21</v>
      </c>
      <c r="H239" s="590">
        <v>2</v>
      </c>
      <c r="I239" s="521">
        <v>4.3582999999999998E-3</v>
      </c>
      <c r="J239" s="523">
        <v>-130.99</v>
      </c>
      <c r="K239" s="523">
        <v>-785.97</v>
      </c>
    </row>
    <row r="240" spans="1:11">
      <c r="A240" s="521" t="s">
        <v>405</v>
      </c>
      <c r="B240" s="522" t="s">
        <v>690</v>
      </c>
      <c r="C240" s="522"/>
      <c r="D240" s="522"/>
      <c r="E240" s="521" t="s">
        <v>691</v>
      </c>
      <c r="F240" s="522">
        <v>201602</v>
      </c>
      <c r="G240" s="523">
        <v>-2319.39</v>
      </c>
      <c r="H240" s="590">
        <v>2</v>
      </c>
      <c r="I240" s="521">
        <v>4.3582999999999998E-3</v>
      </c>
      <c r="J240" s="523">
        <v>-20.22</v>
      </c>
      <c r="K240" s="523">
        <v>-121.3</v>
      </c>
    </row>
    <row r="241" spans="1:11">
      <c r="A241" s="521" t="s">
        <v>405</v>
      </c>
      <c r="B241" s="522" t="s">
        <v>700</v>
      </c>
      <c r="C241" s="522"/>
      <c r="D241" s="522"/>
      <c r="E241" s="521" t="s">
        <v>701</v>
      </c>
      <c r="F241" s="522">
        <v>201602</v>
      </c>
      <c r="G241" s="523">
        <v>-2329.46</v>
      </c>
      <c r="H241" s="590">
        <v>2</v>
      </c>
      <c r="I241" s="521">
        <v>4.3582999999999998E-3</v>
      </c>
      <c r="J241" s="523">
        <v>-20.3</v>
      </c>
      <c r="K241" s="523">
        <v>-121.83</v>
      </c>
    </row>
    <row r="242" spans="1:11">
      <c r="A242" s="521" t="s">
        <v>405</v>
      </c>
      <c r="B242" s="522" t="s">
        <v>794</v>
      </c>
      <c r="C242" s="522"/>
      <c r="D242" s="522"/>
      <c r="E242" s="521" t="s">
        <v>795</v>
      </c>
      <c r="F242" s="522">
        <v>201602</v>
      </c>
      <c r="G242" s="523">
        <v>-154.88999999999999</v>
      </c>
      <c r="H242" s="590">
        <v>2</v>
      </c>
      <c r="I242" s="521">
        <v>4.3582999999999998E-3</v>
      </c>
      <c r="J242" s="523">
        <v>-1.35</v>
      </c>
      <c r="K242" s="523">
        <v>-8.1</v>
      </c>
    </row>
    <row r="243" spans="1:11">
      <c r="A243" s="521" t="s">
        <v>405</v>
      </c>
      <c r="B243" s="522" t="s">
        <v>397</v>
      </c>
      <c r="C243" s="522"/>
      <c r="D243" s="522"/>
      <c r="E243" s="521" t="s">
        <v>398</v>
      </c>
      <c r="F243" s="522">
        <v>201603</v>
      </c>
      <c r="G243" s="523">
        <v>-993.18</v>
      </c>
      <c r="H243" s="590">
        <v>13.5</v>
      </c>
      <c r="I243" s="521">
        <v>4.3582999999999998E-3</v>
      </c>
      <c r="J243" s="523">
        <v>-58.44</v>
      </c>
      <c r="K243" s="523">
        <v>-51.94</v>
      </c>
    </row>
    <row r="244" spans="1:11">
      <c r="A244" s="521" t="s">
        <v>405</v>
      </c>
      <c r="B244" s="522" t="s">
        <v>347</v>
      </c>
      <c r="C244" s="522"/>
      <c r="D244" s="522"/>
      <c r="E244" s="521" t="s">
        <v>348</v>
      </c>
      <c r="F244" s="522">
        <v>201603</v>
      </c>
      <c r="G244" s="523">
        <v>-11177.78</v>
      </c>
      <c r="H244" s="590">
        <v>13.5</v>
      </c>
      <c r="I244" s="521">
        <v>4.3582999999999998E-3</v>
      </c>
      <c r="J244" s="523">
        <v>-657.67</v>
      </c>
      <c r="K244" s="523">
        <v>-584.59</v>
      </c>
    </row>
    <row r="245" spans="1:11">
      <c r="A245" s="521" t="s">
        <v>405</v>
      </c>
      <c r="B245" s="522" t="s">
        <v>349</v>
      </c>
      <c r="C245" s="522"/>
      <c r="D245" s="522"/>
      <c r="E245" s="521" t="s">
        <v>350</v>
      </c>
      <c r="F245" s="522">
        <v>201603</v>
      </c>
      <c r="G245" s="523">
        <v>-784.48</v>
      </c>
      <c r="H245" s="590">
        <v>13.5</v>
      </c>
      <c r="I245" s="521">
        <v>4.3582999999999998E-3</v>
      </c>
      <c r="J245" s="523">
        <v>-46.16</v>
      </c>
      <c r="K245" s="523">
        <v>-41.03</v>
      </c>
    </row>
    <row r="246" spans="1:11">
      <c r="A246" s="521" t="s">
        <v>405</v>
      </c>
      <c r="B246" s="522" t="s">
        <v>355</v>
      </c>
      <c r="C246" s="522"/>
      <c r="D246" s="522"/>
      <c r="E246" s="521" t="s">
        <v>356</v>
      </c>
      <c r="F246" s="522">
        <v>201603</v>
      </c>
      <c r="G246" s="523">
        <v>-780.06</v>
      </c>
      <c r="H246" s="590">
        <v>13.5</v>
      </c>
      <c r="I246" s="521">
        <v>4.3582999999999998E-3</v>
      </c>
      <c r="J246" s="523">
        <v>-45.9</v>
      </c>
      <c r="K246" s="523">
        <v>-40.799999999999997</v>
      </c>
    </row>
    <row r="247" spans="1:11">
      <c r="A247" s="521" t="s">
        <v>405</v>
      </c>
      <c r="B247" s="522" t="s">
        <v>357</v>
      </c>
      <c r="C247" s="522"/>
      <c r="D247" s="522"/>
      <c r="E247" s="521" t="s">
        <v>358</v>
      </c>
      <c r="F247" s="522">
        <v>201603</v>
      </c>
      <c r="G247" s="523">
        <v>-312.77</v>
      </c>
      <c r="H247" s="590">
        <v>13.5</v>
      </c>
      <c r="I247" s="521">
        <v>4.3582999999999998E-3</v>
      </c>
      <c r="J247" s="523">
        <v>-18.399999999999999</v>
      </c>
      <c r="K247" s="523">
        <v>-16.36</v>
      </c>
    </row>
    <row r="248" spans="1:11">
      <c r="A248" s="521" t="s">
        <v>405</v>
      </c>
      <c r="B248" s="522" t="s">
        <v>401</v>
      </c>
      <c r="C248" s="522"/>
      <c r="D248" s="522"/>
      <c r="E248" s="521" t="s">
        <v>402</v>
      </c>
      <c r="F248" s="522">
        <v>201603</v>
      </c>
      <c r="G248" s="523">
        <v>-1301.17</v>
      </c>
      <c r="H248" s="590">
        <v>13.5</v>
      </c>
      <c r="I248" s="521">
        <v>4.3582999999999998E-3</v>
      </c>
      <c r="J248" s="523">
        <v>-76.56</v>
      </c>
      <c r="K248" s="523">
        <v>-68.05</v>
      </c>
    </row>
    <row r="249" spans="1:11">
      <c r="A249" s="521" t="s">
        <v>405</v>
      </c>
      <c r="B249" s="522" t="s">
        <v>377</v>
      </c>
      <c r="C249" s="522"/>
      <c r="D249" s="522"/>
      <c r="E249" s="521" t="s">
        <v>378</v>
      </c>
      <c r="F249" s="522">
        <v>201603</v>
      </c>
      <c r="G249" s="523">
        <v>-262.88</v>
      </c>
      <c r="H249" s="590">
        <v>13.5</v>
      </c>
      <c r="I249" s="521">
        <v>4.3582999999999998E-3</v>
      </c>
      <c r="J249" s="523">
        <v>-15.47</v>
      </c>
      <c r="K249" s="523">
        <v>-13.75</v>
      </c>
    </row>
    <row r="250" spans="1:11">
      <c r="A250" s="521" t="s">
        <v>405</v>
      </c>
      <c r="B250" s="522" t="s">
        <v>403</v>
      </c>
      <c r="C250" s="522"/>
      <c r="D250" s="522"/>
      <c r="E250" s="521" t="s">
        <v>404</v>
      </c>
      <c r="F250" s="522">
        <v>201603</v>
      </c>
      <c r="G250" s="523">
        <v>-53.93</v>
      </c>
      <c r="H250" s="590">
        <v>13.5</v>
      </c>
      <c r="I250" s="521">
        <v>4.3582999999999998E-3</v>
      </c>
      <c r="J250" s="523">
        <v>-3.17</v>
      </c>
      <c r="K250" s="523">
        <v>-2.82</v>
      </c>
    </row>
    <row r="251" spans="1:11">
      <c r="A251" s="521" t="s">
        <v>405</v>
      </c>
      <c r="B251" s="522" t="s">
        <v>385</v>
      </c>
      <c r="C251" s="522"/>
      <c r="D251" s="522"/>
      <c r="E251" s="521" t="s">
        <v>386</v>
      </c>
      <c r="F251" s="522">
        <v>201603</v>
      </c>
      <c r="G251" s="523">
        <v>-3017.63</v>
      </c>
      <c r="H251" s="590">
        <v>13.5</v>
      </c>
      <c r="I251" s="521">
        <v>4.3582999999999998E-3</v>
      </c>
      <c r="J251" s="523">
        <v>-177.55</v>
      </c>
      <c r="K251" s="523">
        <v>-157.82</v>
      </c>
    </row>
    <row r="252" spans="1:11">
      <c r="A252" s="521" t="s">
        <v>405</v>
      </c>
      <c r="B252" s="522" t="s">
        <v>387</v>
      </c>
      <c r="C252" s="522"/>
      <c r="D252" s="522"/>
      <c r="E252" s="521" t="s">
        <v>388</v>
      </c>
      <c r="F252" s="522">
        <v>201603</v>
      </c>
      <c r="G252" s="523">
        <v>-1404.56</v>
      </c>
      <c r="H252" s="590">
        <v>13.5</v>
      </c>
      <c r="I252" s="521">
        <v>4.3582999999999998E-3</v>
      </c>
      <c r="J252" s="523">
        <v>-82.64</v>
      </c>
      <c r="K252" s="523">
        <v>-73.459999999999994</v>
      </c>
    </row>
    <row r="253" spans="1:11">
      <c r="A253" s="521" t="s">
        <v>405</v>
      </c>
      <c r="B253" s="522" t="s">
        <v>911</v>
      </c>
      <c r="C253" s="522"/>
      <c r="D253" s="522"/>
      <c r="E253" s="521" t="s">
        <v>903</v>
      </c>
      <c r="F253" s="522">
        <v>201603</v>
      </c>
      <c r="G253" s="523">
        <v>-11078.43</v>
      </c>
      <c r="H253" s="590">
        <v>13.5</v>
      </c>
      <c r="I253" s="521">
        <v>4.3582999999999998E-3</v>
      </c>
      <c r="J253" s="523">
        <v>-651.82000000000005</v>
      </c>
      <c r="K253" s="523">
        <v>-579.4</v>
      </c>
    </row>
    <row r="254" spans="1:11">
      <c r="A254" s="521" t="s">
        <v>405</v>
      </c>
      <c r="B254" s="522" t="s">
        <v>914</v>
      </c>
      <c r="C254" s="522"/>
      <c r="D254" s="522"/>
      <c r="E254" s="521" t="s">
        <v>905</v>
      </c>
      <c r="F254" s="522">
        <v>201603</v>
      </c>
      <c r="G254" s="523">
        <v>-9377.84</v>
      </c>
      <c r="H254" s="590">
        <v>13.5</v>
      </c>
      <c r="I254" s="521">
        <v>4.3582999999999998E-3</v>
      </c>
      <c r="J254" s="523">
        <v>-551.76</v>
      </c>
      <c r="K254" s="523">
        <v>-490.46</v>
      </c>
    </row>
    <row r="255" spans="1:11">
      <c r="A255" s="521" t="s">
        <v>405</v>
      </c>
      <c r="B255" s="522" t="s">
        <v>918</v>
      </c>
      <c r="C255" s="522"/>
      <c r="D255" s="522"/>
      <c r="E255" s="521" t="s">
        <v>919</v>
      </c>
      <c r="F255" s="522">
        <v>201603</v>
      </c>
      <c r="G255" s="523">
        <v>-5954.43</v>
      </c>
      <c r="H255" s="590">
        <v>13.5</v>
      </c>
      <c r="I255" s="521">
        <v>4.3582999999999998E-3</v>
      </c>
      <c r="J255" s="523">
        <v>-350.34</v>
      </c>
      <c r="K255" s="523">
        <v>-311.41000000000003</v>
      </c>
    </row>
    <row r="256" spans="1:11">
      <c r="A256" s="521" t="s">
        <v>405</v>
      </c>
      <c r="B256" s="522" t="s">
        <v>920</v>
      </c>
      <c r="C256" s="522"/>
      <c r="D256" s="522"/>
      <c r="E256" s="521" t="s">
        <v>906</v>
      </c>
      <c r="F256" s="522">
        <v>201603</v>
      </c>
      <c r="G256" s="523">
        <v>-3591.98</v>
      </c>
      <c r="H256" s="590">
        <v>13.5</v>
      </c>
      <c r="I256" s="521">
        <v>4.3582999999999998E-3</v>
      </c>
      <c r="J256" s="523">
        <v>-211.34</v>
      </c>
      <c r="K256" s="523">
        <v>-187.86</v>
      </c>
    </row>
    <row r="257" spans="1:11">
      <c r="A257" s="521" t="s">
        <v>405</v>
      </c>
      <c r="B257" s="522" t="s">
        <v>923</v>
      </c>
      <c r="C257" s="522"/>
      <c r="D257" s="522"/>
      <c r="E257" s="521" t="s">
        <v>907</v>
      </c>
      <c r="F257" s="522">
        <v>201603</v>
      </c>
      <c r="G257" s="523">
        <v>-3398.77</v>
      </c>
      <c r="H257" s="590">
        <v>13.5</v>
      </c>
      <c r="I257" s="521">
        <v>4.3582999999999998E-3</v>
      </c>
      <c r="J257" s="523">
        <v>-199.97</v>
      </c>
      <c r="K257" s="523">
        <v>-177.75</v>
      </c>
    </row>
    <row r="258" spans="1:11">
      <c r="A258" s="521" t="s">
        <v>405</v>
      </c>
      <c r="B258" s="522" t="s">
        <v>915</v>
      </c>
      <c r="C258" s="522"/>
      <c r="D258" s="522"/>
      <c r="E258" s="521" t="s">
        <v>909</v>
      </c>
      <c r="F258" s="522">
        <v>201603</v>
      </c>
      <c r="G258" s="523">
        <v>-4342.1499999999996</v>
      </c>
      <c r="H258" s="590">
        <v>13.5</v>
      </c>
      <c r="I258" s="521">
        <v>4.3582999999999998E-3</v>
      </c>
      <c r="J258" s="523">
        <v>-255.48</v>
      </c>
      <c r="K258" s="523">
        <v>-227.09</v>
      </c>
    </row>
    <row r="259" spans="1:11">
      <c r="A259" s="608" t="s">
        <v>405</v>
      </c>
      <c r="B259" s="495" t="s">
        <v>921</v>
      </c>
      <c r="C259" s="460"/>
      <c r="D259" s="495"/>
      <c r="E259" s="479" t="s">
        <v>922</v>
      </c>
      <c r="F259" s="495">
        <v>201603</v>
      </c>
      <c r="G259" s="480">
        <v>-1608.06</v>
      </c>
      <c r="H259" s="479">
        <v>13.5</v>
      </c>
      <c r="I259" s="492">
        <v>4.3582999999999998E-3</v>
      </c>
      <c r="J259" s="420">
        <v>-94.61</v>
      </c>
      <c r="K259" s="493">
        <v>-84.1</v>
      </c>
    </row>
    <row r="260" spans="1:11">
      <c r="A260" s="521" t="s">
        <v>405</v>
      </c>
      <c r="B260" s="522" t="s">
        <v>651</v>
      </c>
      <c r="C260"/>
      <c r="D260"/>
      <c r="E260" s="521" t="s">
        <v>652</v>
      </c>
      <c r="F260" s="522">
        <v>201603</v>
      </c>
      <c r="G260" s="523">
        <v>-2208.59</v>
      </c>
      <c r="H260" s="590">
        <v>13.5</v>
      </c>
      <c r="I260" s="521">
        <v>4.3582999999999998E-3</v>
      </c>
      <c r="J260" s="523">
        <v>-129.94999999999999</v>
      </c>
      <c r="K260" s="523">
        <v>-115.51</v>
      </c>
    </row>
    <row r="261" spans="1:11">
      <c r="A261" s="521" t="s">
        <v>405</v>
      </c>
      <c r="B261" s="522" t="s">
        <v>912</v>
      </c>
      <c r="C261"/>
      <c r="D261"/>
      <c r="E261" s="521" t="s">
        <v>904</v>
      </c>
      <c r="F261" s="522">
        <v>201603</v>
      </c>
      <c r="G261" s="523">
        <v>-4346.24</v>
      </c>
      <c r="H261" s="590">
        <v>13.5</v>
      </c>
      <c r="I261" s="521">
        <v>4.3582999999999998E-3</v>
      </c>
      <c r="J261" s="523">
        <v>-255.72</v>
      </c>
      <c r="K261" s="523">
        <v>-227.31</v>
      </c>
    </row>
    <row r="262" spans="1:11">
      <c r="A262" s="521" t="s">
        <v>405</v>
      </c>
      <c r="B262" s="522" t="s">
        <v>913</v>
      </c>
      <c r="C262"/>
      <c r="D262"/>
      <c r="E262" s="521" t="s">
        <v>910</v>
      </c>
      <c r="F262" s="522">
        <v>201603</v>
      </c>
      <c r="G262" s="523">
        <v>-8093.59</v>
      </c>
      <c r="H262" s="590">
        <v>13.5</v>
      </c>
      <c r="I262" s="521">
        <v>4.3582999999999998E-3</v>
      </c>
      <c r="J262" s="523">
        <v>-476.2</v>
      </c>
      <c r="K262" s="523">
        <v>-423.29</v>
      </c>
    </row>
    <row r="263" spans="1:11">
      <c r="A263" s="521" t="s">
        <v>405</v>
      </c>
      <c r="B263" s="522" t="s">
        <v>810</v>
      </c>
      <c r="C263"/>
      <c r="D263"/>
      <c r="E263" s="521" t="s">
        <v>811</v>
      </c>
      <c r="F263" s="522">
        <v>201603</v>
      </c>
      <c r="G263" s="523">
        <v>-10649.75</v>
      </c>
      <c r="H263" s="590">
        <v>13.5</v>
      </c>
      <c r="I263" s="521">
        <v>4.3582999999999998E-3</v>
      </c>
      <c r="J263" s="523">
        <v>-626.6</v>
      </c>
      <c r="K263" s="523">
        <v>-556.98</v>
      </c>
    </row>
    <row r="264" spans="1:11">
      <c r="A264" s="521" t="s">
        <v>405</v>
      </c>
      <c r="B264" s="522" t="s">
        <v>397</v>
      </c>
      <c r="C264"/>
      <c r="D264"/>
      <c r="E264" s="521" t="s">
        <v>398</v>
      </c>
      <c r="F264" s="522">
        <v>201604</v>
      </c>
      <c r="G264" s="523">
        <v>-1032.07</v>
      </c>
      <c r="H264" s="590">
        <v>12.5</v>
      </c>
      <c r="I264" s="521">
        <v>4.3582999999999998E-3</v>
      </c>
      <c r="J264" s="523">
        <v>-56.23</v>
      </c>
      <c r="K264" s="523">
        <v>-53.98</v>
      </c>
    </row>
    <row r="265" spans="1:11">
      <c r="A265" s="521" t="s">
        <v>405</v>
      </c>
      <c r="B265" s="522" t="s">
        <v>347</v>
      </c>
      <c r="C265"/>
      <c r="D265"/>
      <c r="E265" s="521" t="s">
        <v>348</v>
      </c>
      <c r="F265" s="522">
        <v>201604</v>
      </c>
      <c r="G265" s="523">
        <v>-11805.81</v>
      </c>
      <c r="H265" s="590">
        <v>12.5</v>
      </c>
      <c r="I265" s="521">
        <v>4.3582999999999998E-3</v>
      </c>
      <c r="J265" s="523">
        <v>-643.16999999999996</v>
      </c>
      <c r="K265" s="523">
        <v>-617.44000000000005</v>
      </c>
    </row>
    <row r="266" spans="1:11">
      <c r="A266" s="521" t="s">
        <v>405</v>
      </c>
      <c r="B266" s="522" t="s">
        <v>349</v>
      </c>
      <c r="C266"/>
      <c r="D266"/>
      <c r="E266" s="521" t="s">
        <v>350</v>
      </c>
      <c r="F266" s="522">
        <v>201604</v>
      </c>
      <c r="G266" s="523">
        <v>-222.57</v>
      </c>
      <c r="H266" s="590">
        <v>12.5</v>
      </c>
      <c r="I266" s="521">
        <v>4.3582999999999998E-3</v>
      </c>
      <c r="J266" s="523">
        <v>-12.13</v>
      </c>
      <c r="K266" s="523">
        <v>-11.64</v>
      </c>
    </row>
    <row r="267" spans="1:11">
      <c r="A267" s="521" t="s">
        <v>405</v>
      </c>
      <c r="B267" s="522" t="s">
        <v>355</v>
      </c>
      <c r="C267"/>
      <c r="D267"/>
      <c r="E267" s="521" t="s">
        <v>356</v>
      </c>
      <c r="F267" s="522">
        <v>201604</v>
      </c>
      <c r="G267" s="523">
        <v>-448.94</v>
      </c>
      <c r="H267" s="590">
        <v>12.5</v>
      </c>
      <c r="I267" s="521">
        <v>4.3582999999999998E-3</v>
      </c>
      <c r="J267" s="523">
        <v>-24.46</v>
      </c>
      <c r="K267" s="523">
        <v>-23.48</v>
      </c>
    </row>
    <row r="268" spans="1:11">
      <c r="A268" s="521" t="s">
        <v>405</v>
      </c>
      <c r="B268" s="522" t="s">
        <v>406</v>
      </c>
      <c r="C268"/>
      <c r="D268"/>
      <c r="E268" s="521" t="s">
        <v>407</v>
      </c>
      <c r="F268" s="522">
        <v>201604</v>
      </c>
      <c r="G268" s="523">
        <v>-97.4</v>
      </c>
      <c r="H268" s="590">
        <v>12.5</v>
      </c>
      <c r="I268" s="521">
        <v>4.3582999999999998E-3</v>
      </c>
      <c r="J268" s="523">
        <v>-5.31</v>
      </c>
      <c r="K268" s="523">
        <v>-5.09</v>
      </c>
    </row>
    <row r="269" spans="1:11">
      <c r="A269" s="521" t="s">
        <v>405</v>
      </c>
      <c r="B269" s="522" t="s">
        <v>403</v>
      </c>
      <c r="C269"/>
      <c r="D269"/>
      <c r="E269" s="521" t="s">
        <v>404</v>
      </c>
      <c r="F269" s="522">
        <v>201604</v>
      </c>
      <c r="G269" s="523">
        <v>-441.04</v>
      </c>
      <c r="H269" s="590">
        <v>12.5</v>
      </c>
      <c r="I269" s="521">
        <v>4.3582999999999998E-3</v>
      </c>
      <c r="J269" s="523">
        <v>-24.03</v>
      </c>
      <c r="K269" s="523">
        <v>-23.07</v>
      </c>
    </row>
    <row r="270" spans="1:11">
      <c r="A270" s="521" t="s">
        <v>405</v>
      </c>
      <c r="B270" s="522" t="s">
        <v>385</v>
      </c>
      <c r="C270"/>
      <c r="D270"/>
      <c r="E270" s="521" t="s">
        <v>386</v>
      </c>
      <c r="F270" s="522">
        <v>201604</v>
      </c>
      <c r="G270" s="523">
        <v>-6136.79</v>
      </c>
      <c r="H270" s="590">
        <v>12.5</v>
      </c>
      <c r="I270" s="521">
        <v>4.3582999999999998E-3</v>
      </c>
      <c r="J270" s="523">
        <v>-334.32</v>
      </c>
      <c r="K270" s="523">
        <v>-320.95</v>
      </c>
    </row>
    <row r="271" spans="1:11">
      <c r="A271" s="521" t="s">
        <v>405</v>
      </c>
      <c r="B271" s="522" t="s">
        <v>387</v>
      </c>
      <c r="C271"/>
      <c r="D271"/>
      <c r="E271" s="521" t="s">
        <v>388</v>
      </c>
      <c r="F271" s="522">
        <v>201604</v>
      </c>
      <c r="G271" s="523">
        <v>-112.02</v>
      </c>
      <c r="H271" s="590">
        <v>12.5</v>
      </c>
      <c r="I271" s="521">
        <v>4.3582999999999998E-3</v>
      </c>
      <c r="J271" s="523">
        <v>-6.1</v>
      </c>
      <c r="K271" s="523">
        <v>-5.86</v>
      </c>
    </row>
    <row r="272" spans="1:11">
      <c r="A272" s="521" t="s">
        <v>405</v>
      </c>
      <c r="B272" s="522" t="s">
        <v>389</v>
      </c>
      <c r="C272"/>
      <c r="D272"/>
      <c r="E272" s="521" t="s">
        <v>390</v>
      </c>
      <c r="F272" s="522">
        <v>201604</v>
      </c>
      <c r="G272" s="523">
        <v>-907.47</v>
      </c>
      <c r="H272" s="590">
        <v>12.5</v>
      </c>
      <c r="I272" s="521">
        <v>4.3582999999999998E-3</v>
      </c>
      <c r="J272" s="523">
        <v>-49.44</v>
      </c>
      <c r="K272" s="523">
        <v>-47.46</v>
      </c>
    </row>
    <row r="273" spans="1:11">
      <c r="A273" s="521" t="s">
        <v>405</v>
      </c>
      <c r="B273" s="522" t="s">
        <v>916</v>
      </c>
      <c r="C273"/>
      <c r="D273"/>
      <c r="E273" s="521" t="s">
        <v>908</v>
      </c>
      <c r="F273" s="522">
        <v>201604</v>
      </c>
      <c r="G273" s="523">
        <v>-2236.67</v>
      </c>
      <c r="H273" s="590">
        <v>12.5</v>
      </c>
      <c r="I273" s="521">
        <v>4.3582999999999998E-3</v>
      </c>
      <c r="J273" s="523">
        <v>-121.85</v>
      </c>
      <c r="K273" s="523">
        <v>-116.98</v>
      </c>
    </row>
    <row r="274" spans="1:11">
      <c r="A274" s="521" t="s">
        <v>405</v>
      </c>
      <c r="B274" s="522" t="s">
        <v>924</v>
      </c>
      <c r="C274"/>
      <c r="D274"/>
      <c r="E274" s="521" t="s">
        <v>925</v>
      </c>
      <c r="F274" s="522">
        <v>201604</v>
      </c>
      <c r="G274" s="523">
        <v>-2029.78</v>
      </c>
      <c r="H274" s="590">
        <v>12.5</v>
      </c>
      <c r="I274" s="521">
        <v>4.3582999999999998E-3</v>
      </c>
      <c r="J274" s="523">
        <v>-110.58</v>
      </c>
      <c r="K274" s="523">
        <v>-106.16</v>
      </c>
    </row>
    <row r="275" spans="1:11">
      <c r="A275" s="521" t="s">
        <v>405</v>
      </c>
      <c r="B275" s="522" t="s">
        <v>801</v>
      </c>
      <c r="C275"/>
      <c r="D275"/>
      <c r="E275" s="521" t="s">
        <v>802</v>
      </c>
      <c r="F275" s="522">
        <v>201604</v>
      </c>
      <c r="G275" s="523">
        <v>-606.39</v>
      </c>
      <c r="H275" s="590">
        <v>12.5</v>
      </c>
      <c r="I275" s="521">
        <v>4.3582999999999998E-3</v>
      </c>
      <c r="J275" s="523">
        <v>-33.04</v>
      </c>
      <c r="K275" s="523">
        <v>-31.71</v>
      </c>
    </row>
    <row r="276" spans="1:11">
      <c r="A276" s="521" t="s">
        <v>405</v>
      </c>
      <c r="B276" s="522" t="s">
        <v>397</v>
      </c>
      <c r="C276"/>
      <c r="D276"/>
      <c r="E276" s="521" t="s">
        <v>398</v>
      </c>
      <c r="F276" s="522">
        <v>201605</v>
      </c>
      <c r="G276" s="523">
        <v>-1177.75</v>
      </c>
      <c r="H276" s="590">
        <v>11.5</v>
      </c>
      <c r="I276" s="521">
        <v>4.3582999999999998E-3</v>
      </c>
      <c r="J276" s="523">
        <v>-59.03</v>
      </c>
      <c r="K276" s="523">
        <v>-61.6</v>
      </c>
    </row>
    <row r="277" spans="1:11">
      <c r="A277" s="521" t="s">
        <v>405</v>
      </c>
      <c r="B277" s="522" t="s">
        <v>347</v>
      </c>
      <c r="C277"/>
      <c r="D277"/>
      <c r="E277" s="521" t="s">
        <v>348</v>
      </c>
      <c r="F277" s="522">
        <v>201605</v>
      </c>
      <c r="G277" s="523">
        <v>-13465.74</v>
      </c>
      <c r="H277" s="590">
        <v>11.5</v>
      </c>
      <c r="I277" s="521">
        <v>4.3582999999999998E-3</v>
      </c>
      <c r="J277" s="523">
        <v>-674.91</v>
      </c>
      <c r="K277" s="523">
        <v>-704.25</v>
      </c>
    </row>
    <row r="278" spans="1:11">
      <c r="A278" s="521" t="s">
        <v>405</v>
      </c>
      <c r="B278" s="522" t="s">
        <v>349</v>
      </c>
      <c r="C278"/>
      <c r="D278"/>
      <c r="E278" s="521" t="s">
        <v>350</v>
      </c>
      <c r="F278" s="522">
        <v>201605</v>
      </c>
      <c r="G278" s="523">
        <v>-392.48</v>
      </c>
      <c r="H278" s="590">
        <v>11.5</v>
      </c>
      <c r="I278" s="521">
        <v>4.3582999999999998E-3</v>
      </c>
      <c r="J278" s="523">
        <v>-19.670000000000002</v>
      </c>
      <c r="K278" s="523">
        <v>-20.53</v>
      </c>
    </row>
    <row r="279" spans="1:11">
      <c r="A279" s="521" t="s">
        <v>405</v>
      </c>
      <c r="B279" s="522" t="s">
        <v>355</v>
      </c>
      <c r="C279"/>
      <c r="D279"/>
      <c r="E279" s="521" t="s">
        <v>356</v>
      </c>
      <c r="F279" s="522">
        <v>201605</v>
      </c>
      <c r="G279" s="523">
        <v>-219.91</v>
      </c>
      <c r="H279" s="590">
        <v>11.5</v>
      </c>
      <c r="I279" s="521">
        <v>4.3582999999999998E-3</v>
      </c>
      <c r="J279" s="523">
        <v>-11.02</v>
      </c>
      <c r="K279" s="523">
        <v>-11.5</v>
      </c>
    </row>
    <row r="280" spans="1:11">
      <c r="A280" s="521" t="s">
        <v>405</v>
      </c>
      <c r="B280" s="522" t="s">
        <v>385</v>
      </c>
      <c r="C280"/>
      <c r="D280"/>
      <c r="E280" s="521" t="s">
        <v>386</v>
      </c>
      <c r="F280" s="522">
        <v>201605</v>
      </c>
      <c r="G280" s="523">
        <v>-15841.88</v>
      </c>
      <c r="H280" s="590">
        <v>11.5</v>
      </c>
      <c r="I280" s="521">
        <v>4.3582999999999998E-3</v>
      </c>
      <c r="J280" s="523">
        <v>-794</v>
      </c>
      <c r="K280" s="523">
        <v>-828.52</v>
      </c>
    </row>
    <row r="281" spans="1:11">
      <c r="A281" s="521" t="s">
        <v>405</v>
      </c>
      <c r="B281" s="522" t="s">
        <v>387</v>
      </c>
      <c r="C281"/>
      <c r="D281"/>
      <c r="E281" s="521" t="s">
        <v>388</v>
      </c>
      <c r="F281" s="522">
        <v>201605</v>
      </c>
      <c r="G281" s="523">
        <v>-372.74</v>
      </c>
      <c r="H281" s="590">
        <v>11.5</v>
      </c>
      <c r="I281" s="521">
        <v>4.3582999999999998E-3</v>
      </c>
      <c r="J281" s="523">
        <v>-18.68</v>
      </c>
      <c r="K281" s="523">
        <v>-19.489999999999998</v>
      </c>
    </row>
    <row r="282" spans="1:11">
      <c r="A282" s="521" t="s">
        <v>405</v>
      </c>
      <c r="B282" s="522" t="s">
        <v>790</v>
      </c>
      <c r="C282"/>
      <c r="D282"/>
      <c r="E282" s="521" t="s">
        <v>791</v>
      </c>
      <c r="F282" s="522">
        <v>201605</v>
      </c>
      <c r="G282" s="523">
        <v>-6517.98</v>
      </c>
      <c r="H282" s="590">
        <v>11.5</v>
      </c>
      <c r="I282" s="521">
        <v>4.3582999999999998E-3</v>
      </c>
      <c r="J282" s="523">
        <v>-326.68</v>
      </c>
      <c r="K282" s="523">
        <v>-340.89</v>
      </c>
    </row>
    <row r="283" spans="1:11">
      <c r="A283" s="521" t="s">
        <v>405</v>
      </c>
      <c r="B283" s="522" t="s">
        <v>347</v>
      </c>
      <c r="C283"/>
      <c r="D283"/>
      <c r="E283" s="521" t="s">
        <v>348</v>
      </c>
      <c r="F283" s="522">
        <v>201606</v>
      </c>
      <c r="G283" s="523">
        <v>-20877.98</v>
      </c>
      <c r="H283" s="590">
        <v>10.5</v>
      </c>
      <c r="I283" s="521">
        <v>4.3582999999999998E-3</v>
      </c>
      <c r="J283" s="523">
        <v>-955.42</v>
      </c>
      <c r="K283" s="523">
        <v>-1091.9100000000001</v>
      </c>
    </row>
    <row r="284" spans="1:11">
      <c r="A284" s="521" t="s">
        <v>405</v>
      </c>
      <c r="B284" s="522" t="s">
        <v>349</v>
      </c>
      <c r="C284"/>
      <c r="D284"/>
      <c r="E284" s="521" t="s">
        <v>350</v>
      </c>
      <c r="F284" s="522">
        <v>201606</v>
      </c>
      <c r="G284" s="523">
        <v>-42.58</v>
      </c>
      <c r="H284" s="590">
        <v>10.5</v>
      </c>
      <c r="I284" s="521">
        <v>4.3582999999999998E-3</v>
      </c>
      <c r="J284" s="523">
        <v>-1.95</v>
      </c>
      <c r="K284" s="523">
        <v>-2.23</v>
      </c>
    </row>
    <row r="285" spans="1:11">
      <c r="A285" s="521" t="s">
        <v>405</v>
      </c>
      <c r="B285" s="522" t="s">
        <v>355</v>
      </c>
      <c r="C285"/>
      <c r="D285"/>
      <c r="E285" s="521" t="s">
        <v>356</v>
      </c>
      <c r="F285" s="522">
        <v>201606</v>
      </c>
      <c r="G285" s="523">
        <v>-82.63</v>
      </c>
      <c r="H285" s="590">
        <v>10.5</v>
      </c>
      <c r="I285" s="521">
        <v>4.3582999999999998E-3</v>
      </c>
      <c r="J285" s="523">
        <v>-3.78</v>
      </c>
      <c r="K285" s="523">
        <v>-4.32</v>
      </c>
    </row>
    <row r="286" spans="1:11">
      <c r="A286" s="521" t="s">
        <v>405</v>
      </c>
      <c r="B286" s="522" t="s">
        <v>401</v>
      </c>
      <c r="C286"/>
      <c r="D286"/>
      <c r="E286" s="521" t="s">
        <v>402</v>
      </c>
      <c r="F286" s="522">
        <v>201606</v>
      </c>
      <c r="G286" s="523">
        <v>-41.7</v>
      </c>
      <c r="H286" s="590">
        <v>10.5</v>
      </c>
      <c r="I286" s="521">
        <v>4.3582999999999998E-3</v>
      </c>
      <c r="J286" s="523">
        <v>-1.91</v>
      </c>
      <c r="K286" s="523">
        <v>-2.1800000000000002</v>
      </c>
    </row>
    <row r="287" spans="1:11">
      <c r="A287" s="521" t="s">
        <v>405</v>
      </c>
      <c r="B287" s="522" t="s">
        <v>377</v>
      </c>
      <c r="C287"/>
      <c r="D287"/>
      <c r="E287" s="521" t="s">
        <v>378</v>
      </c>
      <c r="F287" s="522">
        <v>201606</v>
      </c>
      <c r="G287" s="523">
        <v>-220.65</v>
      </c>
      <c r="H287" s="590">
        <v>10.5</v>
      </c>
      <c r="I287" s="521">
        <v>4.3582999999999998E-3</v>
      </c>
      <c r="J287" s="523">
        <v>-10.1</v>
      </c>
      <c r="K287" s="523">
        <v>-11.54</v>
      </c>
    </row>
    <row r="288" spans="1:11">
      <c r="A288" s="521" t="s">
        <v>405</v>
      </c>
      <c r="B288" s="522" t="s">
        <v>403</v>
      </c>
      <c r="C288"/>
      <c r="D288"/>
      <c r="E288" s="521" t="s">
        <v>404</v>
      </c>
      <c r="F288" s="522">
        <v>201606</v>
      </c>
      <c r="G288" s="523">
        <v>-380.63</v>
      </c>
      <c r="H288" s="590">
        <v>10.5</v>
      </c>
      <c r="I288" s="521">
        <v>4.3582999999999998E-3</v>
      </c>
      <c r="J288" s="523">
        <v>-17.420000000000002</v>
      </c>
      <c r="K288" s="523">
        <v>-19.91</v>
      </c>
    </row>
    <row r="289" spans="1:11">
      <c r="A289" s="521" t="s">
        <v>405</v>
      </c>
      <c r="B289" s="522" t="s">
        <v>385</v>
      </c>
      <c r="C289"/>
      <c r="D289"/>
      <c r="E289" s="521" t="s">
        <v>386</v>
      </c>
      <c r="F289" s="522">
        <v>201606</v>
      </c>
      <c r="G289" s="523">
        <v>-3243.59</v>
      </c>
      <c r="H289" s="590">
        <v>10.5</v>
      </c>
      <c r="I289" s="521">
        <v>4.3582999999999998E-3</v>
      </c>
      <c r="J289" s="523">
        <v>-148.43</v>
      </c>
      <c r="K289" s="523">
        <v>-169.64</v>
      </c>
    </row>
    <row r="290" spans="1:11">
      <c r="A290" s="521" t="s">
        <v>405</v>
      </c>
      <c r="B290" s="522" t="s">
        <v>387</v>
      </c>
      <c r="C290"/>
      <c r="D290"/>
      <c r="E290" s="521" t="s">
        <v>388</v>
      </c>
      <c r="F290" s="522">
        <v>201606</v>
      </c>
      <c r="G290" s="523">
        <v>-153.93</v>
      </c>
      <c r="H290" s="590">
        <v>10.5</v>
      </c>
      <c r="I290" s="521">
        <v>4.3582999999999998E-3</v>
      </c>
      <c r="J290" s="523">
        <v>-7.04</v>
      </c>
      <c r="K290" s="523">
        <v>-8.0500000000000007</v>
      </c>
    </row>
    <row r="291" spans="1:11">
      <c r="A291" s="521" t="s">
        <v>405</v>
      </c>
      <c r="B291" s="522" t="s">
        <v>389</v>
      </c>
      <c r="C291"/>
      <c r="D291"/>
      <c r="E291" s="521" t="s">
        <v>390</v>
      </c>
      <c r="F291" s="522">
        <v>201606</v>
      </c>
      <c r="G291" s="523">
        <v>-72.88</v>
      </c>
      <c r="H291" s="590">
        <v>10.5</v>
      </c>
      <c r="I291" s="521">
        <v>4.3582999999999998E-3</v>
      </c>
      <c r="J291" s="523">
        <v>-3.34</v>
      </c>
      <c r="K291" s="523">
        <v>-3.81</v>
      </c>
    </row>
    <row r="292" spans="1:11">
      <c r="A292" s="521" t="s">
        <v>405</v>
      </c>
      <c r="B292" s="522" t="s">
        <v>784</v>
      </c>
      <c r="C292"/>
      <c r="D292"/>
      <c r="E292" s="521" t="s">
        <v>785</v>
      </c>
      <c r="F292" s="522">
        <v>201606</v>
      </c>
      <c r="G292" s="523">
        <v>-12474.35</v>
      </c>
      <c r="H292" s="590">
        <v>10.5</v>
      </c>
      <c r="I292" s="521">
        <v>4.3582999999999998E-3</v>
      </c>
      <c r="J292" s="523">
        <v>-570.85</v>
      </c>
      <c r="K292" s="523">
        <v>-652.4</v>
      </c>
    </row>
    <row r="293" spans="1:11">
      <c r="A293" s="521" t="s">
        <v>405</v>
      </c>
      <c r="B293" s="522" t="s">
        <v>803</v>
      </c>
      <c r="C293"/>
      <c r="D293"/>
      <c r="E293" s="521" t="s">
        <v>804</v>
      </c>
      <c r="F293" s="522">
        <v>201606</v>
      </c>
      <c r="G293" s="523">
        <v>-2011.34</v>
      </c>
      <c r="H293" s="590">
        <v>10.5</v>
      </c>
      <c r="I293" s="521">
        <v>4.3582999999999998E-3</v>
      </c>
      <c r="J293" s="523">
        <v>-92.04</v>
      </c>
      <c r="K293" s="523">
        <v>-105.19</v>
      </c>
    </row>
    <row r="294" spans="1:11">
      <c r="A294" s="521" t="s">
        <v>405</v>
      </c>
      <c r="B294" s="522" t="s">
        <v>805</v>
      </c>
      <c r="C294"/>
      <c r="D294"/>
      <c r="E294" s="521" t="s">
        <v>806</v>
      </c>
      <c r="F294" s="522">
        <v>201606</v>
      </c>
      <c r="G294" s="523">
        <v>-2032.13</v>
      </c>
      <c r="H294" s="590">
        <v>10.5</v>
      </c>
      <c r="I294" s="521">
        <v>4.3582999999999998E-3</v>
      </c>
      <c r="J294" s="523">
        <v>-92.99</v>
      </c>
      <c r="K294" s="523">
        <v>-106.28</v>
      </c>
    </row>
    <row r="295" spans="1:11">
      <c r="A295" s="521" t="s">
        <v>405</v>
      </c>
      <c r="B295" s="522" t="s">
        <v>812</v>
      </c>
      <c r="C295"/>
      <c r="D295"/>
      <c r="E295" s="521" t="s">
        <v>813</v>
      </c>
      <c r="F295" s="522">
        <v>201606</v>
      </c>
      <c r="G295" s="523">
        <v>-2234.08</v>
      </c>
      <c r="H295" s="590">
        <v>10.5</v>
      </c>
      <c r="I295" s="521">
        <v>4.3582999999999998E-3</v>
      </c>
      <c r="J295" s="523">
        <v>-102.24</v>
      </c>
      <c r="K295" s="523">
        <v>-116.84</v>
      </c>
    </row>
    <row r="296" spans="1:11">
      <c r="A296" s="521" t="s">
        <v>405</v>
      </c>
      <c r="B296" s="522" t="s">
        <v>829</v>
      </c>
      <c r="C296"/>
      <c r="D296"/>
      <c r="E296" s="521" t="s">
        <v>831</v>
      </c>
      <c r="F296" s="522">
        <v>201606</v>
      </c>
      <c r="G296" s="523">
        <v>-255.61</v>
      </c>
      <c r="H296" s="590">
        <v>10.5</v>
      </c>
      <c r="I296" s="521">
        <v>4.3582999999999998E-3</v>
      </c>
      <c r="J296" s="523">
        <v>-11.7</v>
      </c>
      <c r="K296" s="523">
        <v>-13.37</v>
      </c>
    </row>
    <row r="297" spans="1:11">
      <c r="A297" s="521" t="s">
        <v>405</v>
      </c>
      <c r="B297" s="522" t="s">
        <v>397</v>
      </c>
      <c r="C297"/>
      <c r="D297"/>
      <c r="E297" s="521" t="s">
        <v>398</v>
      </c>
      <c r="F297" s="522">
        <v>201607</v>
      </c>
      <c r="G297" s="523">
        <v>-190.73</v>
      </c>
      <c r="H297" s="590">
        <v>9.5</v>
      </c>
      <c r="I297" s="521">
        <v>4.3582999999999998E-3</v>
      </c>
      <c r="J297" s="523">
        <v>-7.9</v>
      </c>
      <c r="K297" s="523">
        <v>-9.98</v>
      </c>
    </row>
    <row r="298" spans="1:11">
      <c r="A298" s="521" t="s">
        <v>405</v>
      </c>
      <c r="B298" s="522" t="s">
        <v>347</v>
      </c>
      <c r="C298"/>
      <c r="D298"/>
      <c r="E298" s="521" t="s">
        <v>348</v>
      </c>
      <c r="F298" s="522">
        <v>201607</v>
      </c>
      <c r="G298" s="523">
        <v>-19674.46</v>
      </c>
      <c r="H298" s="590">
        <v>9.5</v>
      </c>
      <c r="I298" s="521">
        <v>4.3582999999999998E-3</v>
      </c>
      <c r="J298" s="523">
        <v>-814.6</v>
      </c>
      <c r="K298" s="523">
        <v>-1028.97</v>
      </c>
    </row>
    <row r="299" spans="1:11">
      <c r="A299" s="521" t="s">
        <v>405</v>
      </c>
      <c r="B299" s="522" t="s">
        <v>349</v>
      </c>
      <c r="C299"/>
      <c r="D299"/>
      <c r="E299" s="521" t="s">
        <v>350</v>
      </c>
      <c r="F299" s="522">
        <v>201607</v>
      </c>
      <c r="G299" s="523">
        <v>-348.46</v>
      </c>
      <c r="H299" s="590">
        <v>9.5</v>
      </c>
      <c r="I299" s="521">
        <v>4.3582999999999998E-3</v>
      </c>
      <c r="J299" s="523">
        <v>-14.43</v>
      </c>
      <c r="K299" s="523">
        <v>-18.22</v>
      </c>
    </row>
    <row r="300" spans="1:11">
      <c r="A300" s="521" t="s">
        <v>405</v>
      </c>
      <c r="B300" s="522" t="s">
        <v>403</v>
      </c>
      <c r="C300"/>
      <c r="D300"/>
      <c r="E300" s="521" t="s">
        <v>404</v>
      </c>
      <c r="F300" s="522">
        <v>201607</v>
      </c>
      <c r="G300" s="523">
        <v>-111.96</v>
      </c>
      <c r="H300" s="590">
        <v>9.5</v>
      </c>
      <c r="I300" s="521">
        <v>4.3582999999999998E-3</v>
      </c>
      <c r="J300" s="523">
        <v>-4.6399999999999997</v>
      </c>
      <c r="K300" s="523">
        <v>-5.86</v>
      </c>
    </row>
    <row r="301" spans="1:11">
      <c r="A301" s="521" t="s">
        <v>405</v>
      </c>
      <c r="B301" s="522" t="s">
        <v>385</v>
      </c>
      <c r="C301"/>
      <c r="D301"/>
      <c r="E301" s="521" t="s">
        <v>386</v>
      </c>
      <c r="F301" s="522">
        <v>201607</v>
      </c>
      <c r="G301" s="523">
        <v>-11146.34</v>
      </c>
      <c r="H301" s="590">
        <v>9.5</v>
      </c>
      <c r="I301" s="521">
        <v>4.3582999999999998E-3</v>
      </c>
      <c r="J301" s="523">
        <v>-461.5</v>
      </c>
      <c r="K301" s="523">
        <v>-582.95000000000005</v>
      </c>
    </row>
    <row r="302" spans="1:11">
      <c r="A302" s="521" t="s">
        <v>405</v>
      </c>
      <c r="B302" s="522" t="s">
        <v>387</v>
      </c>
      <c r="C302"/>
      <c r="D302"/>
      <c r="E302" s="521" t="s">
        <v>388</v>
      </c>
      <c r="F302" s="522">
        <v>201607</v>
      </c>
      <c r="G302" s="523">
        <v>-67.5</v>
      </c>
      <c r="H302" s="590">
        <v>9.5</v>
      </c>
      <c r="I302" s="521">
        <v>4.3582999999999998E-3</v>
      </c>
      <c r="J302" s="523">
        <v>-2.79</v>
      </c>
      <c r="K302" s="523">
        <v>-3.53</v>
      </c>
    </row>
    <row r="303" spans="1:11">
      <c r="A303" s="521" t="s">
        <v>405</v>
      </c>
      <c r="B303" s="522" t="s">
        <v>741</v>
      </c>
      <c r="C303"/>
      <c r="D303"/>
      <c r="E303" s="521" t="s">
        <v>828</v>
      </c>
      <c r="F303" s="522">
        <v>201607</v>
      </c>
      <c r="G303" s="523">
        <v>-2315.67</v>
      </c>
      <c r="H303" s="590">
        <v>9.5</v>
      </c>
      <c r="I303" s="521">
        <v>4.3582999999999998E-3</v>
      </c>
      <c r="J303" s="523">
        <v>-95.88</v>
      </c>
      <c r="K303" s="523">
        <v>-121.11</v>
      </c>
    </row>
    <row r="304" spans="1:11">
      <c r="A304" s="521" t="s">
        <v>405</v>
      </c>
      <c r="B304" s="522" t="s">
        <v>631</v>
      </c>
      <c r="C304"/>
      <c r="D304"/>
      <c r="E304" s="521" t="s">
        <v>632</v>
      </c>
      <c r="F304" s="522">
        <v>201607</v>
      </c>
      <c r="G304" s="523">
        <v>-5397.49</v>
      </c>
      <c r="H304" s="590">
        <v>9.5</v>
      </c>
      <c r="I304" s="521">
        <v>4.3582999999999998E-3</v>
      </c>
      <c r="J304" s="523">
        <v>-223.48</v>
      </c>
      <c r="K304" s="523">
        <v>-282.29000000000002</v>
      </c>
    </row>
    <row r="305" spans="1:19">
      <c r="A305" s="521" t="s">
        <v>405</v>
      </c>
      <c r="B305" s="522" t="s">
        <v>822</v>
      </c>
      <c r="C305"/>
      <c r="D305"/>
      <c r="E305" s="521" t="s">
        <v>823</v>
      </c>
      <c r="F305" s="522">
        <v>201607</v>
      </c>
      <c r="G305" s="523">
        <v>-2142.85</v>
      </c>
      <c r="H305" s="590">
        <v>9.5</v>
      </c>
      <c r="I305" s="521">
        <v>4.3582999999999998E-3</v>
      </c>
      <c r="J305" s="523">
        <v>-88.72</v>
      </c>
      <c r="K305" s="523">
        <v>-112.07</v>
      </c>
    </row>
    <row r="306" spans="1:19">
      <c r="A306" s="521" t="s">
        <v>405</v>
      </c>
      <c r="B306" s="522" t="s">
        <v>887</v>
      </c>
      <c r="C306"/>
      <c r="D306"/>
      <c r="E306" s="521" t="s">
        <v>888</v>
      </c>
      <c r="F306" s="522">
        <v>201607</v>
      </c>
      <c r="G306" s="523">
        <v>-5.13</v>
      </c>
      <c r="H306" s="590">
        <v>9.5</v>
      </c>
      <c r="I306" s="521">
        <v>4.3582999999999998E-3</v>
      </c>
      <c r="J306" s="523">
        <v>-0.21</v>
      </c>
      <c r="K306" s="523">
        <v>-0.27</v>
      </c>
      <c r="S306" s="101">
        <f t="shared" si="3"/>
        <v>2015</v>
      </c>
    </row>
    <row r="307" spans="1:19">
      <c r="A307" s="521" t="s">
        <v>405</v>
      </c>
      <c r="B307" s="522" t="s">
        <v>397</v>
      </c>
      <c r="C307"/>
      <c r="D307"/>
      <c r="E307" s="521" t="s">
        <v>398</v>
      </c>
      <c r="F307" s="522">
        <v>201608</v>
      </c>
      <c r="G307" s="523">
        <v>-91.88</v>
      </c>
      <c r="H307" s="590">
        <v>8.5</v>
      </c>
      <c r="I307" s="521">
        <v>4.3582999999999998E-3</v>
      </c>
      <c r="J307" s="523">
        <v>-3.4</v>
      </c>
      <c r="K307" s="523">
        <v>-4.8099999999999996</v>
      </c>
      <c r="S307" s="101">
        <f t="shared" si="3"/>
        <v>2015</v>
      </c>
    </row>
    <row r="308" spans="1:19">
      <c r="A308" s="521" t="s">
        <v>405</v>
      </c>
      <c r="B308" s="522" t="s">
        <v>347</v>
      </c>
      <c r="C308"/>
      <c r="D308"/>
      <c r="E308" s="521" t="s">
        <v>348</v>
      </c>
      <c r="F308" s="522">
        <v>201608</v>
      </c>
      <c r="G308" s="523">
        <v>-13132.36</v>
      </c>
      <c r="H308" s="590">
        <v>8.5</v>
      </c>
      <c r="I308" s="521">
        <v>4.3582999999999998E-3</v>
      </c>
      <c r="J308" s="523">
        <v>-486.5</v>
      </c>
      <c r="K308" s="523">
        <v>-686.82</v>
      </c>
      <c r="S308" s="101">
        <f t="shared" si="3"/>
        <v>2015</v>
      </c>
    </row>
    <row r="309" spans="1:19">
      <c r="A309" s="521" t="s">
        <v>405</v>
      </c>
      <c r="B309" s="522" t="s">
        <v>357</v>
      </c>
      <c r="C309"/>
      <c r="D309"/>
      <c r="E309" s="521" t="s">
        <v>358</v>
      </c>
      <c r="F309" s="522">
        <v>201608</v>
      </c>
      <c r="G309" s="523">
        <v>-71.42</v>
      </c>
      <c r="H309" s="590">
        <v>8.5</v>
      </c>
      <c r="I309" s="521">
        <v>4.3582999999999998E-3</v>
      </c>
      <c r="J309" s="523">
        <v>-2.65</v>
      </c>
      <c r="K309" s="523">
        <v>-3.74</v>
      </c>
      <c r="S309" s="101">
        <f t="shared" si="3"/>
        <v>2015</v>
      </c>
    </row>
    <row r="310" spans="1:19">
      <c r="A310" s="521" t="s">
        <v>405</v>
      </c>
      <c r="B310" s="522" t="s">
        <v>377</v>
      </c>
      <c r="C310"/>
      <c r="D310"/>
      <c r="E310" s="521" t="s">
        <v>378</v>
      </c>
      <c r="F310" s="522">
        <v>201608</v>
      </c>
      <c r="G310" s="523">
        <v>-195.22</v>
      </c>
      <c r="H310" s="590">
        <v>8.5</v>
      </c>
      <c r="I310" s="521">
        <v>4.3582999999999998E-3</v>
      </c>
      <c r="J310" s="523">
        <v>-7.23</v>
      </c>
      <c r="K310" s="523">
        <v>-10.210000000000001</v>
      </c>
      <c r="S310" s="101">
        <f t="shared" si="3"/>
        <v>2015</v>
      </c>
    </row>
    <row r="311" spans="1:19">
      <c r="A311" s="521" t="s">
        <v>405</v>
      </c>
      <c r="B311" s="522" t="s">
        <v>385</v>
      </c>
      <c r="C311"/>
      <c r="D311"/>
      <c r="E311" s="521" t="s">
        <v>386</v>
      </c>
      <c r="F311" s="522">
        <v>201608</v>
      </c>
      <c r="G311" s="523">
        <v>-3077.91</v>
      </c>
      <c r="H311" s="590">
        <v>8.5</v>
      </c>
      <c r="I311" s="521">
        <v>4.3582999999999998E-3</v>
      </c>
      <c r="J311" s="523">
        <v>-114.02</v>
      </c>
      <c r="K311" s="523">
        <v>-160.97</v>
      </c>
      <c r="S311" s="101">
        <f t="shared" si="3"/>
        <v>2015</v>
      </c>
    </row>
    <row r="312" spans="1:19">
      <c r="A312" s="521" t="s">
        <v>405</v>
      </c>
      <c r="B312" s="522" t="s">
        <v>643</v>
      </c>
      <c r="C312"/>
      <c r="D312"/>
      <c r="E312" s="521" t="s">
        <v>644</v>
      </c>
      <c r="F312" s="522">
        <v>201608</v>
      </c>
      <c r="G312" s="523">
        <v>-6692.64</v>
      </c>
      <c r="H312" s="590">
        <v>8.5</v>
      </c>
      <c r="I312" s="521">
        <v>4.3582999999999998E-3</v>
      </c>
      <c r="J312" s="523">
        <v>-247.93</v>
      </c>
      <c r="K312" s="523">
        <v>-350.02</v>
      </c>
      <c r="S312" s="101">
        <f t="shared" si="3"/>
        <v>2015</v>
      </c>
    </row>
    <row r="313" spans="1:19">
      <c r="A313" s="521" t="s">
        <v>405</v>
      </c>
      <c r="B313" s="522" t="s">
        <v>856</v>
      </c>
      <c r="C313"/>
      <c r="D313"/>
      <c r="E313" s="521" t="s">
        <v>857</v>
      </c>
      <c r="F313" s="522">
        <v>201608</v>
      </c>
      <c r="G313" s="523">
        <v>-12552.5</v>
      </c>
      <c r="H313" s="590">
        <v>8.5</v>
      </c>
      <c r="I313" s="521">
        <v>4.3582999999999998E-3</v>
      </c>
      <c r="J313" s="523">
        <v>-465.01</v>
      </c>
      <c r="K313" s="523">
        <v>-656.49</v>
      </c>
      <c r="S313" s="101">
        <f t="shared" si="3"/>
        <v>2015</v>
      </c>
    </row>
    <row r="314" spans="1:19">
      <c r="A314" s="521" t="s">
        <v>405</v>
      </c>
      <c r="B314" s="522" t="s">
        <v>838</v>
      </c>
      <c r="C314"/>
      <c r="D314"/>
      <c r="E314" s="521" t="s">
        <v>1018</v>
      </c>
      <c r="F314" s="522">
        <v>201608</v>
      </c>
      <c r="G314" s="523">
        <v>-9602.17</v>
      </c>
      <c r="H314" s="590">
        <v>8.5</v>
      </c>
      <c r="I314" s="521">
        <v>4.3582999999999998E-3</v>
      </c>
      <c r="J314" s="523">
        <v>-355.72</v>
      </c>
      <c r="K314" s="523">
        <v>-502.19</v>
      </c>
      <c r="S314" s="101">
        <f t="shared" si="3"/>
        <v>2015</v>
      </c>
    </row>
    <row r="315" spans="1:19">
      <c r="A315" s="521" t="s">
        <v>405</v>
      </c>
      <c r="B315" s="522" t="s">
        <v>814</v>
      </c>
      <c r="C315"/>
      <c r="D315"/>
      <c r="E315" s="521" t="s">
        <v>815</v>
      </c>
      <c r="F315" s="522">
        <v>201608</v>
      </c>
      <c r="G315" s="523">
        <v>-47183.85</v>
      </c>
      <c r="H315" s="590">
        <v>8.5</v>
      </c>
      <c r="I315" s="521">
        <v>4.3582999999999998E-3</v>
      </c>
      <c r="J315" s="523">
        <v>-1747.95</v>
      </c>
      <c r="K315" s="523">
        <v>-2467.6999999999998</v>
      </c>
      <c r="S315" s="101">
        <f t="shared" si="3"/>
        <v>2015</v>
      </c>
    </row>
    <row r="316" spans="1:19">
      <c r="A316" s="521" t="s">
        <v>405</v>
      </c>
      <c r="B316" s="522" t="s">
        <v>862</v>
      </c>
      <c r="C316"/>
      <c r="D316"/>
      <c r="E316" s="521" t="s">
        <v>863</v>
      </c>
      <c r="F316" s="522">
        <v>201608</v>
      </c>
      <c r="G316" s="523">
        <v>-4724.66</v>
      </c>
      <c r="H316" s="590">
        <v>8.5</v>
      </c>
      <c r="I316" s="521">
        <v>4.3582999999999998E-3</v>
      </c>
      <c r="J316" s="523">
        <v>-175.03</v>
      </c>
      <c r="K316" s="523">
        <v>-247.1</v>
      </c>
      <c r="S316" s="101">
        <f t="shared" si="3"/>
        <v>2015</v>
      </c>
    </row>
    <row r="317" spans="1:19">
      <c r="A317" s="521" t="s">
        <v>405</v>
      </c>
      <c r="B317" s="522" t="s">
        <v>680</v>
      </c>
      <c r="C317"/>
      <c r="D317"/>
      <c r="E317" s="521" t="s">
        <v>681</v>
      </c>
      <c r="F317" s="522">
        <v>201608</v>
      </c>
      <c r="G317" s="523">
        <v>-4050.87</v>
      </c>
      <c r="H317" s="590">
        <v>8.5</v>
      </c>
      <c r="I317" s="521">
        <v>4.3582999999999998E-3</v>
      </c>
      <c r="J317" s="523">
        <v>-150.07</v>
      </c>
      <c r="K317" s="523">
        <v>-211.86</v>
      </c>
      <c r="S317" s="101">
        <f t="shared" si="3"/>
        <v>2015</v>
      </c>
    </row>
    <row r="318" spans="1:19">
      <c r="A318" s="521" t="s">
        <v>405</v>
      </c>
      <c r="B318" s="522" t="s">
        <v>846</v>
      </c>
      <c r="C318"/>
      <c r="D318"/>
      <c r="E318" s="521" t="s">
        <v>847</v>
      </c>
      <c r="F318" s="522">
        <v>201608</v>
      </c>
      <c r="G318" s="523">
        <v>-1278.22</v>
      </c>
      <c r="H318" s="590">
        <v>8.5</v>
      </c>
      <c r="I318" s="521">
        <v>4.3582999999999998E-3</v>
      </c>
      <c r="J318" s="523">
        <v>-47.35</v>
      </c>
      <c r="K318" s="523">
        <v>-66.849999999999994</v>
      </c>
      <c r="S318" s="101">
        <f t="shared" si="3"/>
        <v>2015</v>
      </c>
    </row>
    <row r="319" spans="1:19">
      <c r="A319" s="521" t="s">
        <v>405</v>
      </c>
      <c r="B319" s="522" t="s">
        <v>868</v>
      </c>
      <c r="C319"/>
      <c r="D319"/>
      <c r="E319" s="521" t="s">
        <v>869</v>
      </c>
      <c r="F319" s="522">
        <v>201608</v>
      </c>
      <c r="G319" s="523">
        <v>-2372.41</v>
      </c>
      <c r="H319" s="590">
        <v>8.5</v>
      </c>
      <c r="I319" s="521">
        <v>4.3582999999999998E-3</v>
      </c>
      <c r="J319" s="523">
        <v>-87.89</v>
      </c>
      <c r="K319" s="523">
        <v>-124.08</v>
      </c>
      <c r="S319" s="101">
        <f t="shared" si="3"/>
        <v>2015</v>
      </c>
    </row>
    <row r="320" spans="1:19">
      <c r="A320" s="521" t="s">
        <v>405</v>
      </c>
      <c r="B320" s="522" t="s">
        <v>852</v>
      </c>
      <c r="C320"/>
      <c r="D320"/>
      <c r="E320" s="521" t="s">
        <v>853</v>
      </c>
      <c r="F320" s="522">
        <v>201608</v>
      </c>
      <c r="G320" s="523">
        <v>-3830.05</v>
      </c>
      <c r="H320" s="590">
        <v>8.5</v>
      </c>
      <c r="I320" s="521">
        <v>4.3582999999999998E-3</v>
      </c>
      <c r="J320" s="523">
        <v>-141.88999999999999</v>
      </c>
      <c r="K320" s="523">
        <v>-200.31</v>
      </c>
      <c r="S320" s="101">
        <f t="shared" si="3"/>
        <v>2015</v>
      </c>
    </row>
    <row r="321" spans="1:19">
      <c r="A321" s="521" t="s">
        <v>405</v>
      </c>
      <c r="B321" s="522" t="s">
        <v>870</v>
      </c>
      <c r="C321"/>
      <c r="D321"/>
      <c r="E321" s="521" t="s">
        <v>871</v>
      </c>
      <c r="F321" s="522">
        <v>201608</v>
      </c>
      <c r="G321" s="523">
        <v>-13.95</v>
      </c>
      <c r="H321" s="590">
        <v>8.5</v>
      </c>
      <c r="I321" s="521">
        <v>4.3582999999999998E-3</v>
      </c>
      <c r="J321" s="523">
        <v>-0.52</v>
      </c>
      <c r="K321" s="523">
        <v>-0.73</v>
      </c>
      <c r="S321" s="101">
        <f t="shared" si="3"/>
        <v>2015</v>
      </c>
    </row>
    <row r="322" spans="1:19">
      <c r="A322" s="521" t="s">
        <v>405</v>
      </c>
      <c r="B322" s="522" t="s">
        <v>872</v>
      </c>
      <c r="C322"/>
      <c r="D322"/>
      <c r="E322" s="521" t="s">
        <v>873</v>
      </c>
      <c r="F322" s="522">
        <v>201608</v>
      </c>
      <c r="G322" s="523">
        <v>-240.4</v>
      </c>
      <c r="H322" s="590">
        <v>8.5</v>
      </c>
      <c r="I322" s="521">
        <v>4.3582999999999998E-3</v>
      </c>
      <c r="J322" s="523">
        <v>-8.91</v>
      </c>
      <c r="K322" s="523">
        <v>-12.57</v>
      </c>
      <c r="S322" s="101">
        <f t="shared" si="3"/>
        <v>2015</v>
      </c>
    </row>
    <row r="323" spans="1:19">
      <c r="A323" s="521" t="s">
        <v>405</v>
      </c>
      <c r="B323" s="522" t="s">
        <v>826</v>
      </c>
      <c r="C323"/>
      <c r="D323"/>
      <c r="E323" s="521" t="s">
        <v>827</v>
      </c>
      <c r="F323" s="522">
        <v>201608</v>
      </c>
      <c r="G323" s="523">
        <v>-3668.49</v>
      </c>
      <c r="H323" s="590">
        <v>8.5</v>
      </c>
      <c r="I323" s="521">
        <v>4.3582999999999998E-3</v>
      </c>
      <c r="J323" s="523">
        <v>-135.9</v>
      </c>
      <c r="K323" s="523">
        <v>-191.86</v>
      </c>
      <c r="S323" s="101">
        <f t="shared" si="3"/>
        <v>2015</v>
      </c>
    </row>
    <row r="324" spans="1:19">
      <c r="A324" s="521" t="s">
        <v>405</v>
      </c>
      <c r="B324" s="522" t="s">
        <v>874</v>
      </c>
      <c r="C324"/>
      <c r="D324"/>
      <c r="E324" s="521" t="s">
        <v>875</v>
      </c>
      <c r="F324" s="522">
        <v>201608</v>
      </c>
      <c r="G324" s="523">
        <v>-24.07</v>
      </c>
      <c r="H324" s="590">
        <v>8.5</v>
      </c>
      <c r="I324" s="521">
        <v>4.3582999999999998E-3</v>
      </c>
      <c r="J324" s="523">
        <v>-0.89</v>
      </c>
      <c r="K324" s="523">
        <v>-1.26</v>
      </c>
      <c r="S324" s="101">
        <f t="shared" si="3"/>
        <v>2015</v>
      </c>
    </row>
    <row r="325" spans="1:19">
      <c r="A325" s="521" t="s">
        <v>405</v>
      </c>
      <c r="B325" s="522" t="s">
        <v>991</v>
      </c>
      <c r="C325"/>
      <c r="D325"/>
      <c r="E325" s="521" t="s">
        <v>992</v>
      </c>
      <c r="F325" s="522">
        <v>201608</v>
      </c>
      <c r="G325" s="523">
        <v>-388.19</v>
      </c>
      <c r="H325" s="590">
        <v>8.5</v>
      </c>
      <c r="I325" s="521">
        <v>4.3582999999999998E-3</v>
      </c>
      <c r="J325" s="523">
        <v>-14.38</v>
      </c>
      <c r="K325" s="523">
        <v>-20.3</v>
      </c>
      <c r="S325" s="101">
        <f t="shared" si="3"/>
        <v>2015</v>
      </c>
    </row>
    <row r="326" spans="1:19">
      <c r="A326" s="521" t="s">
        <v>405</v>
      </c>
      <c r="B326" s="522" t="s">
        <v>880</v>
      </c>
      <c r="C326"/>
      <c r="D326"/>
      <c r="E326" s="521" t="s">
        <v>881</v>
      </c>
      <c r="F326" s="522">
        <v>201608</v>
      </c>
      <c r="G326" s="523">
        <v>-320.3</v>
      </c>
      <c r="H326" s="590">
        <v>8.5</v>
      </c>
      <c r="I326" s="521">
        <v>4.3582999999999998E-3</v>
      </c>
      <c r="J326" s="523">
        <v>-11.87</v>
      </c>
      <c r="K326" s="523">
        <v>-16.75</v>
      </c>
      <c r="S326" s="101">
        <f t="shared" si="3"/>
        <v>2015</v>
      </c>
    </row>
    <row r="327" spans="1:19">
      <c r="A327" s="521" t="s">
        <v>405</v>
      </c>
      <c r="B327" s="522" t="s">
        <v>854</v>
      </c>
      <c r="C327"/>
      <c r="D327"/>
      <c r="E327" s="521" t="s">
        <v>855</v>
      </c>
      <c r="F327" s="522">
        <v>201608</v>
      </c>
      <c r="G327" s="523">
        <v>-547.55999999999995</v>
      </c>
      <c r="H327" s="590">
        <v>8.5</v>
      </c>
      <c r="I327" s="521">
        <v>4.3582999999999998E-3</v>
      </c>
      <c r="J327" s="523">
        <v>-20.28</v>
      </c>
      <c r="K327" s="523">
        <v>-28.64</v>
      </c>
      <c r="S327" s="101">
        <f t="shared" si="3"/>
        <v>2015</v>
      </c>
    </row>
    <row r="328" spans="1:19">
      <c r="A328" s="521" t="s">
        <v>405</v>
      </c>
      <c r="B328" s="522" t="s">
        <v>347</v>
      </c>
      <c r="C328"/>
      <c r="D328"/>
      <c r="E328" s="521" t="s">
        <v>348</v>
      </c>
      <c r="F328" s="522">
        <v>201609</v>
      </c>
      <c r="G328" s="523">
        <v>-12011.61</v>
      </c>
      <c r="H328" s="590">
        <v>7.5</v>
      </c>
      <c r="I328" s="521">
        <v>4.3582999999999998E-3</v>
      </c>
      <c r="J328" s="523">
        <v>-392.63</v>
      </c>
      <c r="K328" s="523">
        <v>-628.20000000000005</v>
      </c>
      <c r="S328" s="101">
        <f t="shared" si="3"/>
        <v>2015</v>
      </c>
    </row>
    <row r="329" spans="1:19">
      <c r="A329" s="521" t="s">
        <v>405</v>
      </c>
      <c r="B329" s="522" t="s">
        <v>355</v>
      </c>
      <c r="C329"/>
      <c r="D329"/>
      <c r="E329" s="521" t="s">
        <v>356</v>
      </c>
      <c r="F329" s="522">
        <v>201609</v>
      </c>
      <c r="G329" s="523">
        <v>-90.83</v>
      </c>
      <c r="H329" s="590">
        <v>7.5</v>
      </c>
      <c r="I329" s="521">
        <v>4.3582999999999998E-3</v>
      </c>
      <c r="J329" s="523">
        <v>-2.97</v>
      </c>
      <c r="K329" s="523">
        <v>-4.75</v>
      </c>
      <c r="S329" s="101">
        <f t="shared" si="3"/>
        <v>2015</v>
      </c>
    </row>
    <row r="330" spans="1:19">
      <c r="A330" s="521" t="s">
        <v>405</v>
      </c>
      <c r="B330" s="522" t="s">
        <v>357</v>
      </c>
      <c r="C330"/>
      <c r="D330"/>
      <c r="E330" s="521" t="s">
        <v>358</v>
      </c>
      <c r="F330" s="522">
        <v>201609</v>
      </c>
      <c r="G330" s="523">
        <v>-378.17</v>
      </c>
      <c r="H330" s="590">
        <v>7.5</v>
      </c>
      <c r="I330" s="521">
        <v>4.3582999999999998E-3</v>
      </c>
      <c r="J330" s="523">
        <v>-12.36</v>
      </c>
      <c r="K330" s="523">
        <v>-19.78</v>
      </c>
      <c r="S330" s="101">
        <f t="shared" si="3"/>
        <v>2015</v>
      </c>
    </row>
    <row r="331" spans="1:19">
      <c r="A331" s="521" t="s">
        <v>405</v>
      </c>
      <c r="B331" s="522" t="s">
        <v>385</v>
      </c>
      <c r="C331"/>
      <c r="D331"/>
      <c r="E331" s="521" t="s">
        <v>386</v>
      </c>
      <c r="F331" s="522">
        <v>201609</v>
      </c>
      <c r="G331" s="523">
        <v>-14641.61</v>
      </c>
      <c r="H331" s="590">
        <v>7.5</v>
      </c>
      <c r="I331" s="521">
        <v>4.3582999999999998E-3</v>
      </c>
      <c r="J331" s="523">
        <v>-478.59</v>
      </c>
      <c r="K331" s="523">
        <v>-765.75</v>
      </c>
      <c r="S331" s="101">
        <f t="shared" si="3"/>
        <v>2015</v>
      </c>
    </row>
    <row r="332" spans="1:19">
      <c r="A332" s="521" t="s">
        <v>405</v>
      </c>
      <c r="B332" s="522" t="s">
        <v>387</v>
      </c>
      <c r="C332"/>
      <c r="D332"/>
      <c r="E332" s="521" t="s">
        <v>388</v>
      </c>
      <c r="F332" s="522">
        <v>201609</v>
      </c>
      <c r="G332" s="523">
        <v>-41.45</v>
      </c>
      <c r="H332" s="590">
        <v>7.5</v>
      </c>
      <c r="I332" s="521">
        <v>4.3582999999999998E-3</v>
      </c>
      <c r="J332" s="523">
        <v>-1.35</v>
      </c>
      <c r="K332" s="523">
        <v>-2.17</v>
      </c>
      <c r="S332" s="101">
        <f t="shared" si="3"/>
        <v>2015</v>
      </c>
    </row>
    <row r="333" spans="1:19">
      <c r="A333" s="521" t="s">
        <v>405</v>
      </c>
      <c r="B333" s="522" t="s">
        <v>834</v>
      </c>
      <c r="C333"/>
      <c r="D333"/>
      <c r="E333" s="521" t="s">
        <v>835</v>
      </c>
      <c r="F333" s="522">
        <v>201609</v>
      </c>
      <c r="G333" s="523">
        <v>-3016.97</v>
      </c>
      <c r="H333" s="590">
        <v>7.5</v>
      </c>
      <c r="I333" s="521">
        <v>4.3582999999999998E-3</v>
      </c>
      <c r="J333" s="523">
        <v>-98.62</v>
      </c>
      <c r="K333" s="523">
        <v>-157.79</v>
      </c>
      <c r="S333" s="101">
        <f t="shared" si="3"/>
        <v>2015</v>
      </c>
    </row>
    <row r="334" spans="1:19">
      <c r="A334" s="521" t="s">
        <v>405</v>
      </c>
      <c r="B334" s="522" t="s">
        <v>953</v>
      </c>
      <c r="C334"/>
      <c r="D334"/>
      <c r="E334" s="521" t="s">
        <v>954</v>
      </c>
      <c r="F334" s="522">
        <v>201609</v>
      </c>
      <c r="G334" s="523">
        <v>-9730.48</v>
      </c>
      <c r="H334" s="590">
        <v>7.5</v>
      </c>
      <c r="I334" s="521">
        <v>4.3582999999999998E-3</v>
      </c>
      <c r="J334" s="523">
        <v>-318.06</v>
      </c>
      <c r="K334" s="523">
        <v>-508.9</v>
      </c>
      <c r="S334" s="101">
        <f t="shared" si="3"/>
        <v>2015</v>
      </c>
    </row>
    <row r="335" spans="1:19">
      <c r="A335" s="521" t="s">
        <v>405</v>
      </c>
      <c r="B335" s="522" t="s">
        <v>987</v>
      </c>
      <c r="C335"/>
      <c r="D335"/>
      <c r="E335" s="521" t="s">
        <v>988</v>
      </c>
      <c r="F335" s="522">
        <v>201609</v>
      </c>
      <c r="G335" s="523">
        <v>-580.91999999999996</v>
      </c>
      <c r="H335" s="590">
        <v>7.5</v>
      </c>
      <c r="I335" s="521">
        <v>4.3582999999999998E-3</v>
      </c>
      <c r="J335" s="523">
        <v>-18.989999999999998</v>
      </c>
      <c r="K335" s="523">
        <v>-30.38</v>
      </c>
      <c r="S335" s="101">
        <f t="shared" si="3"/>
        <v>2015</v>
      </c>
    </row>
    <row r="336" spans="1:19">
      <c r="A336" s="521" t="s">
        <v>405</v>
      </c>
      <c r="B336" s="522" t="s">
        <v>397</v>
      </c>
      <c r="C336"/>
      <c r="D336"/>
      <c r="E336" s="521" t="s">
        <v>398</v>
      </c>
      <c r="F336" s="522">
        <v>201610</v>
      </c>
      <c r="G336" s="523">
        <v>-243.92</v>
      </c>
      <c r="H336" s="590">
        <v>6.5</v>
      </c>
      <c r="I336" s="521">
        <v>4.3582999999999998E-3</v>
      </c>
      <c r="J336" s="523">
        <v>-6.91</v>
      </c>
      <c r="K336" s="523">
        <v>-12.76</v>
      </c>
      <c r="S336" s="101">
        <f t="shared" si="3"/>
        <v>2015</v>
      </c>
    </row>
    <row r="337" spans="1:19">
      <c r="A337" s="521" t="s">
        <v>405</v>
      </c>
      <c r="B337" s="522" t="s">
        <v>347</v>
      </c>
      <c r="C337"/>
      <c r="D337"/>
      <c r="E337" s="521" t="s">
        <v>348</v>
      </c>
      <c r="F337" s="522">
        <v>201610</v>
      </c>
      <c r="G337" s="523">
        <v>-13643.27</v>
      </c>
      <c r="H337" s="590">
        <v>6.5</v>
      </c>
      <c r="I337" s="521">
        <v>4.3582999999999998E-3</v>
      </c>
      <c r="J337" s="523">
        <v>-386.5</v>
      </c>
      <c r="K337" s="523">
        <v>-713.54</v>
      </c>
      <c r="S337" s="101">
        <f t="shared" si="3"/>
        <v>2015</v>
      </c>
    </row>
    <row r="338" spans="1:19">
      <c r="A338" s="521" t="s">
        <v>405</v>
      </c>
      <c r="B338" s="522" t="s">
        <v>349</v>
      </c>
      <c r="C338"/>
      <c r="D338"/>
      <c r="E338" s="521" t="s">
        <v>350</v>
      </c>
      <c r="F338" s="522">
        <v>201610</v>
      </c>
      <c r="G338" s="523">
        <v>-266.39999999999998</v>
      </c>
      <c r="H338" s="590">
        <v>6.5</v>
      </c>
      <c r="I338" s="521">
        <v>4.3582999999999998E-3</v>
      </c>
      <c r="J338" s="523">
        <v>-7.55</v>
      </c>
      <c r="K338" s="523">
        <v>-13.93</v>
      </c>
      <c r="S338" s="101">
        <f t="shared" si="3"/>
        <v>2015</v>
      </c>
    </row>
    <row r="339" spans="1:19">
      <c r="A339" s="521" t="s">
        <v>405</v>
      </c>
      <c r="B339" s="522" t="s">
        <v>367</v>
      </c>
      <c r="C339"/>
      <c r="D339"/>
      <c r="E339" s="521" t="s">
        <v>368</v>
      </c>
      <c r="F339" s="522">
        <v>201610</v>
      </c>
      <c r="G339" s="523">
        <v>-268.58999999999997</v>
      </c>
      <c r="H339" s="590">
        <v>6.5</v>
      </c>
      <c r="I339" s="521">
        <v>4.3582999999999998E-3</v>
      </c>
      <c r="J339" s="523">
        <v>-7.61</v>
      </c>
      <c r="K339" s="523">
        <v>-14.05</v>
      </c>
      <c r="S339" s="101">
        <f t="shared" si="3"/>
        <v>2015</v>
      </c>
    </row>
    <row r="340" spans="1:19" s="559" customFormat="1">
      <c r="A340" s="521" t="s">
        <v>405</v>
      </c>
      <c r="B340" s="522" t="s">
        <v>377</v>
      </c>
      <c r="C340"/>
      <c r="D340"/>
      <c r="E340" s="521" t="s">
        <v>378</v>
      </c>
      <c r="F340" s="522">
        <v>201610</v>
      </c>
      <c r="G340" s="523">
        <v>-168.08</v>
      </c>
      <c r="H340" s="590">
        <v>6.5</v>
      </c>
      <c r="I340" s="521">
        <v>4.3582999999999998E-3</v>
      </c>
      <c r="J340" s="523">
        <v>-4.76</v>
      </c>
      <c r="K340" s="523">
        <v>-8.7899999999999991</v>
      </c>
    </row>
    <row r="341" spans="1:19" s="559" customFormat="1">
      <c r="A341" s="521" t="s">
        <v>405</v>
      </c>
      <c r="B341" s="522" t="s">
        <v>403</v>
      </c>
      <c r="C341"/>
      <c r="D341"/>
      <c r="E341" s="521" t="s">
        <v>404</v>
      </c>
      <c r="F341" s="522">
        <v>201610</v>
      </c>
      <c r="G341" s="523">
        <v>-374.59</v>
      </c>
      <c r="H341" s="590">
        <v>6.5</v>
      </c>
      <c r="I341" s="521">
        <v>4.3582999999999998E-3</v>
      </c>
      <c r="J341" s="523">
        <v>-10.61</v>
      </c>
      <c r="K341" s="523">
        <v>-19.59</v>
      </c>
    </row>
    <row r="342" spans="1:19" s="559" customFormat="1">
      <c r="A342" s="521" t="s">
        <v>405</v>
      </c>
      <c r="B342" s="522" t="s">
        <v>385</v>
      </c>
      <c r="C342"/>
      <c r="D342"/>
      <c r="E342" s="521" t="s">
        <v>386</v>
      </c>
      <c r="F342" s="522">
        <v>201610</v>
      </c>
      <c r="G342" s="523">
        <v>-6109.34</v>
      </c>
      <c r="H342" s="590">
        <v>6.5</v>
      </c>
      <c r="I342" s="521">
        <v>4.3582999999999998E-3</v>
      </c>
      <c r="J342" s="523">
        <v>-173.07</v>
      </c>
      <c r="K342" s="523">
        <v>-319.52</v>
      </c>
    </row>
    <row r="343" spans="1:19" s="559" customFormat="1">
      <c r="A343" s="521" t="s">
        <v>405</v>
      </c>
      <c r="B343" s="522" t="s">
        <v>832</v>
      </c>
      <c r="C343"/>
      <c r="D343"/>
      <c r="E343" s="521" t="s">
        <v>833</v>
      </c>
      <c r="F343" s="522">
        <v>201610</v>
      </c>
      <c r="G343" s="523">
        <v>-4662.17</v>
      </c>
      <c r="H343" s="590">
        <v>6.5</v>
      </c>
      <c r="I343" s="521">
        <v>4.3582999999999998E-3</v>
      </c>
      <c r="J343" s="523">
        <v>-132.07</v>
      </c>
      <c r="K343" s="523">
        <v>-243.83</v>
      </c>
    </row>
    <row r="344" spans="1:19" s="559" customFormat="1">
      <c r="A344" s="521" t="s">
        <v>405</v>
      </c>
      <c r="B344" s="522" t="s">
        <v>947</v>
      </c>
      <c r="C344"/>
      <c r="D344"/>
      <c r="E344" s="521" t="s">
        <v>948</v>
      </c>
      <c r="F344" s="522">
        <v>201610</v>
      </c>
      <c r="G344" s="523">
        <v>-9700.41</v>
      </c>
      <c r="H344" s="590">
        <v>6.5</v>
      </c>
      <c r="I344" s="521">
        <v>4.3582999999999998E-3</v>
      </c>
      <c r="J344" s="523">
        <v>-274.8</v>
      </c>
      <c r="K344" s="523">
        <v>-507.33</v>
      </c>
    </row>
    <row r="345" spans="1:19" s="559" customFormat="1">
      <c r="A345" s="521" t="s">
        <v>405</v>
      </c>
      <c r="B345" s="522" t="s">
        <v>951</v>
      </c>
      <c r="C345"/>
      <c r="D345"/>
      <c r="E345" s="521" t="s">
        <v>952</v>
      </c>
      <c r="F345" s="522">
        <v>201610</v>
      </c>
      <c r="G345" s="523">
        <v>-8676.1299999999992</v>
      </c>
      <c r="H345" s="590">
        <v>6.5</v>
      </c>
      <c r="I345" s="521">
        <v>4.3582999999999998E-3</v>
      </c>
      <c r="J345" s="523">
        <v>-245.79</v>
      </c>
      <c r="K345" s="523">
        <v>-453.76</v>
      </c>
    </row>
    <row r="346" spans="1:19" s="559" customFormat="1">
      <c r="A346" s="521" t="s">
        <v>405</v>
      </c>
      <c r="B346" s="522" t="s">
        <v>955</v>
      </c>
      <c r="C346"/>
      <c r="D346"/>
      <c r="E346" s="521" t="s">
        <v>956</v>
      </c>
      <c r="F346" s="522">
        <v>201610</v>
      </c>
      <c r="G346" s="523">
        <v>-672.29</v>
      </c>
      <c r="H346" s="590">
        <v>6.5</v>
      </c>
      <c r="I346" s="521">
        <v>4.3582999999999998E-3</v>
      </c>
      <c r="J346" s="523">
        <v>-19.05</v>
      </c>
      <c r="K346" s="523">
        <v>-35.159999999999997</v>
      </c>
    </row>
    <row r="347" spans="1:19" s="559" customFormat="1">
      <c r="A347" s="521" t="s">
        <v>405</v>
      </c>
      <c r="B347" s="522" t="s">
        <v>878</v>
      </c>
      <c r="C347"/>
      <c r="D347"/>
      <c r="E347" s="521" t="s">
        <v>879</v>
      </c>
      <c r="F347" s="522">
        <v>201610</v>
      </c>
      <c r="G347" s="523">
        <v>-753.69</v>
      </c>
      <c r="H347" s="590">
        <v>6.5</v>
      </c>
      <c r="I347" s="521">
        <v>4.3582999999999998E-3</v>
      </c>
      <c r="J347" s="523">
        <v>-21.35</v>
      </c>
      <c r="K347" s="523">
        <v>-39.42</v>
      </c>
    </row>
    <row r="348" spans="1:19" s="559" customFormat="1">
      <c r="A348" s="521" t="s">
        <v>405</v>
      </c>
      <c r="B348" s="522" t="s">
        <v>397</v>
      </c>
      <c r="C348"/>
      <c r="D348"/>
      <c r="E348" s="521" t="s">
        <v>398</v>
      </c>
      <c r="F348" s="522">
        <v>201611</v>
      </c>
      <c r="G348" s="523">
        <v>-154.37</v>
      </c>
      <c r="H348" s="590">
        <v>5.5</v>
      </c>
      <c r="I348" s="521">
        <v>4.3582999999999998E-3</v>
      </c>
      <c r="J348" s="523">
        <v>-3.7</v>
      </c>
      <c r="K348" s="523">
        <v>-8.07</v>
      </c>
    </row>
    <row r="349" spans="1:19" s="559" customFormat="1">
      <c r="A349" s="521" t="s">
        <v>405</v>
      </c>
      <c r="B349" s="522" t="s">
        <v>347</v>
      </c>
      <c r="C349"/>
      <c r="D349"/>
      <c r="E349" s="521" t="s">
        <v>348</v>
      </c>
      <c r="F349" s="522">
        <v>201611</v>
      </c>
      <c r="G349" s="523">
        <v>-14756.42</v>
      </c>
      <c r="H349" s="590">
        <v>5.5</v>
      </c>
      <c r="I349" s="521">
        <v>4.3582999999999998E-3</v>
      </c>
      <c r="J349" s="523">
        <v>-353.72</v>
      </c>
      <c r="K349" s="523">
        <v>-771.75</v>
      </c>
    </row>
    <row r="350" spans="1:19" s="559" customFormat="1">
      <c r="A350" s="521" t="s">
        <v>405</v>
      </c>
      <c r="B350" s="522" t="s">
        <v>349</v>
      </c>
      <c r="C350"/>
      <c r="D350"/>
      <c r="E350" s="521" t="s">
        <v>350</v>
      </c>
      <c r="F350" s="522">
        <v>201611</v>
      </c>
      <c r="G350" s="523">
        <v>-343.2</v>
      </c>
      <c r="H350" s="590">
        <v>5.5</v>
      </c>
      <c r="I350" s="521">
        <v>4.3582999999999998E-3</v>
      </c>
      <c r="J350" s="523">
        <v>-8.23</v>
      </c>
      <c r="K350" s="523">
        <v>-17.95</v>
      </c>
    </row>
    <row r="351" spans="1:19" s="559" customFormat="1">
      <c r="A351" s="521" t="s">
        <v>405</v>
      </c>
      <c r="B351" s="522" t="s">
        <v>357</v>
      </c>
      <c r="C351"/>
      <c r="D351"/>
      <c r="E351" s="521" t="s">
        <v>358</v>
      </c>
      <c r="F351" s="522">
        <v>201611</v>
      </c>
      <c r="G351" s="523">
        <v>-34.96</v>
      </c>
      <c r="H351" s="590">
        <v>5.5</v>
      </c>
      <c r="I351" s="521">
        <v>4.3582999999999998E-3</v>
      </c>
      <c r="J351" s="523">
        <v>-0.84</v>
      </c>
      <c r="K351" s="523">
        <v>-1.83</v>
      </c>
    </row>
    <row r="352" spans="1:19" s="559" customFormat="1">
      <c r="A352" s="521" t="s">
        <v>405</v>
      </c>
      <c r="B352" s="522" t="s">
        <v>359</v>
      </c>
      <c r="C352"/>
      <c r="D352"/>
      <c r="E352" s="521" t="s">
        <v>360</v>
      </c>
      <c r="F352" s="522">
        <v>201611</v>
      </c>
      <c r="G352" s="523">
        <v>-141.01</v>
      </c>
      <c r="H352" s="590">
        <v>5.5</v>
      </c>
      <c r="I352" s="521">
        <v>4.3582999999999998E-3</v>
      </c>
      <c r="J352" s="523">
        <v>-3.38</v>
      </c>
      <c r="K352" s="523">
        <v>-7.37</v>
      </c>
    </row>
    <row r="353" spans="1:19" s="559" customFormat="1">
      <c r="A353" s="521" t="s">
        <v>405</v>
      </c>
      <c r="B353" s="522" t="s">
        <v>401</v>
      </c>
      <c r="C353"/>
      <c r="D353"/>
      <c r="E353" s="521" t="s">
        <v>402</v>
      </c>
      <c r="F353" s="522">
        <v>201611</v>
      </c>
      <c r="G353" s="523">
        <v>-25627.22</v>
      </c>
      <c r="H353" s="590">
        <v>5.5</v>
      </c>
      <c r="I353" s="521">
        <v>4.3582999999999998E-3</v>
      </c>
      <c r="J353" s="523">
        <v>-614.29999999999995</v>
      </c>
      <c r="K353" s="523">
        <v>-1340.29</v>
      </c>
    </row>
    <row r="354" spans="1:19" s="559" customFormat="1">
      <c r="A354" s="521" t="s">
        <v>405</v>
      </c>
      <c r="B354" s="522" t="s">
        <v>377</v>
      </c>
      <c r="C354"/>
      <c r="D354"/>
      <c r="E354" s="521" t="s">
        <v>378</v>
      </c>
      <c r="F354" s="522">
        <v>201611</v>
      </c>
      <c r="G354" s="523">
        <v>-225.13</v>
      </c>
      <c r="H354" s="590">
        <v>5.5</v>
      </c>
      <c r="I354" s="521">
        <v>4.3582999999999998E-3</v>
      </c>
      <c r="J354" s="523">
        <v>-5.4</v>
      </c>
      <c r="K354" s="523">
        <v>-11.77</v>
      </c>
    </row>
    <row r="355" spans="1:19" s="559" customFormat="1">
      <c r="A355" s="521" t="s">
        <v>405</v>
      </c>
      <c r="B355" s="522" t="s">
        <v>403</v>
      </c>
      <c r="C355"/>
      <c r="D355"/>
      <c r="E355" s="521" t="s">
        <v>404</v>
      </c>
      <c r="F355" s="522">
        <v>201611</v>
      </c>
      <c r="G355" s="523">
        <v>-194.83</v>
      </c>
      <c r="H355" s="590">
        <v>5.5</v>
      </c>
      <c r="I355" s="521">
        <v>4.3582999999999998E-3</v>
      </c>
      <c r="J355" s="523">
        <v>-4.67</v>
      </c>
      <c r="K355" s="523">
        <v>-10.19</v>
      </c>
    </row>
    <row r="356" spans="1:19" s="559" customFormat="1">
      <c r="A356" s="521" t="s">
        <v>405</v>
      </c>
      <c r="B356" s="522" t="s">
        <v>385</v>
      </c>
      <c r="C356"/>
      <c r="D356"/>
      <c r="E356" s="521" t="s">
        <v>386</v>
      </c>
      <c r="F356" s="522">
        <v>201611</v>
      </c>
      <c r="G356" s="523">
        <v>-11190.4</v>
      </c>
      <c r="H356" s="590">
        <v>5.5</v>
      </c>
      <c r="I356" s="521">
        <v>4.3582999999999998E-3</v>
      </c>
      <c r="J356" s="523">
        <v>-268.24</v>
      </c>
      <c r="K356" s="523">
        <v>-585.25</v>
      </c>
    </row>
    <row r="357" spans="1:19" s="559" customFormat="1">
      <c r="A357" s="521" t="s">
        <v>405</v>
      </c>
      <c r="B357" s="522" t="s">
        <v>387</v>
      </c>
      <c r="C357"/>
      <c r="D357"/>
      <c r="E357" s="521" t="s">
        <v>388</v>
      </c>
      <c r="F357" s="522">
        <v>201611</v>
      </c>
      <c r="G357" s="523">
        <v>-68.75</v>
      </c>
      <c r="H357" s="590">
        <v>5.5</v>
      </c>
      <c r="I357" s="521">
        <v>4.3582999999999998E-3</v>
      </c>
      <c r="J357" s="523">
        <v>-1.65</v>
      </c>
      <c r="K357" s="523">
        <v>-3.6</v>
      </c>
    </row>
    <row r="358" spans="1:19" s="559" customFormat="1">
      <c r="A358" s="521" t="s">
        <v>405</v>
      </c>
      <c r="B358" s="522" t="s">
        <v>389</v>
      </c>
      <c r="C358"/>
      <c r="D358"/>
      <c r="E358" s="521" t="s">
        <v>390</v>
      </c>
      <c r="F358" s="522">
        <v>201611</v>
      </c>
      <c r="G358" s="523">
        <v>-421.66</v>
      </c>
      <c r="H358" s="590">
        <v>5.5</v>
      </c>
      <c r="I358" s="521">
        <v>4.3582999999999998E-3</v>
      </c>
      <c r="J358" s="523">
        <v>-10.11</v>
      </c>
      <c r="K358" s="523">
        <v>-22.05</v>
      </c>
    </row>
    <row r="359" spans="1:19" s="559" customFormat="1">
      <c r="A359" s="521" t="s">
        <v>405</v>
      </c>
      <c r="B359" s="522" t="s">
        <v>397</v>
      </c>
      <c r="C359"/>
      <c r="D359"/>
      <c r="E359" s="521" t="s">
        <v>398</v>
      </c>
      <c r="F359" s="522">
        <v>201612</v>
      </c>
      <c r="G359" s="523">
        <v>-362.83</v>
      </c>
      <c r="H359" s="590">
        <v>4.5</v>
      </c>
      <c r="I359" s="521">
        <v>4.3582999999999998E-3</v>
      </c>
      <c r="J359" s="523">
        <v>-7.12</v>
      </c>
      <c r="K359" s="523">
        <v>-18.98</v>
      </c>
    </row>
    <row r="360" spans="1:19" s="559" customFormat="1">
      <c r="A360" s="521" t="s">
        <v>405</v>
      </c>
      <c r="B360" s="522" t="s">
        <v>347</v>
      </c>
      <c r="C360"/>
      <c r="D360"/>
      <c r="E360" s="521" t="s">
        <v>348</v>
      </c>
      <c r="F360" s="522">
        <v>201612</v>
      </c>
      <c r="G360" s="523">
        <v>-12420.07</v>
      </c>
      <c r="H360" s="590">
        <v>4.5</v>
      </c>
      <c r="I360" s="521">
        <v>4.3582999999999998E-3</v>
      </c>
      <c r="J360" s="523">
        <v>-243.59</v>
      </c>
      <c r="K360" s="523">
        <v>-649.55999999999995</v>
      </c>
    </row>
    <row r="361" spans="1:19" s="559" customFormat="1">
      <c r="A361" s="521" t="s">
        <v>405</v>
      </c>
      <c r="B361" s="522" t="s">
        <v>351</v>
      </c>
      <c r="C361"/>
      <c r="D361"/>
      <c r="E361" s="521" t="s">
        <v>352</v>
      </c>
      <c r="F361" s="522">
        <v>201612</v>
      </c>
      <c r="G361" s="523">
        <v>-613.04999999999995</v>
      </c>
      <c r="H361" s="590">
        <v>4.5</v>
      </c>
      <c r="I361" s="521">
        <v>4.3582999999999998E-3</v>
      </c>
      <c r="J361" s="523">
        <v>-12.02</v>
      </c>
      <c r="K361" s="523">
        <v>-32.06</v>
      </c>
    </row>
    <row r="362" spans="1:19" s="559" customFormat="1">
      <c r="A362" s="521" t="s">
        <v>405</v>
      </c>
      <c r="B362" s="522" t="s">
        <v>401</v>
      </c>
      <c r="C362"/>
      <c r="D362"/>
      <c r="E362" s="521" t="s">
        <v>402</v>
      </c>
      <c r="F362" s="522">
        <v>201612</v>
      </c>
      <c r="G362" s="523">
        <v>-4035.58</v>
      </c>
      <c r="H362" s="590">
        <v>4.5</v>
      </c>
      <c r="I362" s="521">
        <v>4.3582999999999998E-3</v>
      </c>
      <c r="J362" s="523">
        <v>-79.150000000000006</v>
      </c>
      <c r="K362" s="523">
        <v>-211.06</v>
      </c>
    </row>
    <row r="363" spans="1:19" s="559" customFormat="1">
      <c r="A363" s="521" t="s">
        <v>405</v>
      </c>
      <c r="B363" s="522" t="s">
        <v>385</v>
      </c>
      <c r="C363"/>
      <c r="D363"/>
      <c r="E363" s="521" t="s">
        <v>386</v>
      </c>
      <c r="F363" s="522">
        <v>201612</v>
      </c>
      <c r="G363" s="523">
        <v>-3365.83</v>
      </c>
      <c r="H363" s="590">
        <v>4.5</v>
      </c>
      <c r="I363" s="521">
        <v>4.3582999999999998E-3</v>
      </c>
      <c r="J363" s="523">
        <v>-66.010000000000005</v>
      </c>
      <c r="K363" s="523">
        <v>-176.03</v>
      </c>
    </row>
    <row r="364" spans="1:19" s="559" customFormat="1">
      <c r="A364" s="521" t="s">
        <v>405</v>
      </c>
      <c r="B364" s="522" t="s">
        <v>973</v>
      </c>
      <c r="C364"/>
      <c r="D364"/>
      <c r="E364" s="521" t="s">
        <v>974</v>
      </c>
      <c r="F364" s="522">
        <v>201612</v>
      </c>
      <c r="G364" s="523">
        <v>-2992.99</v>
      </c>
      <c r="H364" s="590">
        <v>4.5</v>
      </c>
      <c r="I364" s="521">
        <v>4.3582999999999998E-3</v>
      </c>
      <c r="J364" s="523">
        <v>-58.7</v>
      </c>
      <c r="K364" s="523">
        <v>-156.53</v>
      </c>
    </row>
    <row r="365" spans="1:19" s="559" customFormat="1">
      <c r="A365" s="521" t="s">
        <v>405</v>
      </c>
      <c r="B365" s="522" t="s">
        <v>979</v>
      </c>
      <c r="C365"/>
      <c r="D365"/>
      <c r="E365" s="521" t="s">
        <v>980</v>
      </c>
      <c r="F365" s="522">
        <v>201612</v>
      </c>
      <c r="G365" s="523">
        <v>-564.22</v>
      </c>
      <c r="H365" s="590">
        <v>4.5</v>
      </c>
      <c r="I365" s="521">
        <v>4.3582999999999998E-3</v>
      </c>
      <c r="J365" s="523">
        <v>-11.07</v>
      </c>
      <c r="K365" s="523">
        <v>-29.51</v>
      </c>
    </row>
    <row r="366" spans="1:19" s="559" customFormat="1">
      <c r="A366" s="521" t="s">
        <v>405</v>
      </c>
      <c r="B366" s="522" t="s">
        <v>985</v>
      </c>
      <c r="C366"/>
      <c r="D366"/>
      <c r="E366" s="521" t="s">
        <v>986</v>
      </c>
      <c r="F366" s="522">
        <v>201612</v>
      </c>
      <c r="G366" s="523">
        <v>-1355.61</v>
      </c>
      <c r="H366" s="590">
        <v>4.5</v>
      </c>
      <c r="I366" s="521">
        <v>4.3582999999999998E-3</v>
      </c>
      <c r="J366" s="523">
        <v>-26.59</v>
      </c>
      <c r="K366" s="523">
        <v>-70.900000000000006</v>
      </c>
    </row>
    <row r="367" spans="1:19" s="559" customFormat="1">
      <c r="A367" s="560"/>
      <c r="B367" s="560"/>
      <c r="C367" s="560"/>
      <c r="D367" s="560"/>
      <c r="E367" s="590"/>
      <c r="F367" s="555"/>
      <c r="G367" s="589"/>
      <c r="H367" s="180"/>
      <c r="I367" s="590"/>
      <c r="J367" s="589"/>
      <c r="K367" s="589"/>
    </row>
    <row r="368" spans="1:19">
      <c r="A368" s="108"/>
      <c r="B368" s="108"/>
      <c r="C368" s="108"/>
      <c r="D368" s="108"/>
      <c r="E368" s="126"/>
      <c r="F368" s="159"/>
      <c r="G368" s="82"/>
      <c r="H368" s="180"/>
      <c r="I368" s="126"/>
      <c r="J368" s="82"/>
      <c r="K368" s="82"/>
      <c r="S368" s="101">
        <f t="shared" ref="S368" si="4">IF(F368&lt;=$S$1,$U$5,$U$6)</f>
        <v>2014</v>
      </c>
    </row>
    <row r="369" spans="1:19">
      <c r="A369" s="114"/>
      <c r="B369" s="114"/>
      <c r="C369" s="114"/>
      <c r="D369" s="114"/>
      <c r="E369" s="121"/>
      <c r="F369" s="164"/>
      <c r="G369" s="103"/>
      <c r="H369" s="184"/>
      <c r="I369" s="121"/>
      <c r="J369" s="103"/>
      <c r="K369" s="103"/>
    </row>
    <row r="370" spans="1:19">
      <c r="A370" s="114"/>
      <c r="B370" s="114"/>
      <c r="C370" s="114"/>
      <c r="D370" s="114"/>
      <c r="E370" s="121"/>
      <c r="F370" s="164"/>
      <c r="G370" s="103"/>
      <c r="H370" s="184"/>
      <c r="I370" s="121"/>
      <c r="J370" s="103"/>
      <c r="K370" s="103"/>
    </row>
    <row r="371" spans="1:19">
      <c r="A371" s="114"/>
      <c r="B371" s="114"/>
      <c r="C371" s="114"/>
      <c r="D371" s="114"/>
      <c r="E371" s="114"/>
      <c r="F371" s="164"/>
      <c r="G371" s="103"/>
      <c r="H371" s="181"/>
      <c r="I371" s="121"/>
      <c r="J371" s="103"/>
      <c r="K371" s="103"/>
    </row>
    <row r="372" spans="1:19" ht="13.5" thickBot="1">
      <c r="A372" s="114"/>
      <c r="B372" s="114"/>
      <c r="C372" s="114"/>
      <c r="D372" s="114"/>
      <c r="E372" s="114"/>
      <c r="F372" s="185" t="s">
        <v>107</v>
      </c>
      <c r="G372" s="130">
        <f>SUM(G208:G371)</f>
        <v>-695707.2099999995</v>
      </c>
      <c r="H372" s="181"/>
      <c r="I372" s="121"/>
      <c r="J372" s="130">
        <f>SUM(J208:J371)</f>
        <v>-22417.280000000002</v>
      </c>
      <c r="K372" s="130">
        <f>SUM(K208:K371)</f>
        <v>-36385.240000000005</v>
      </c>
    </row>
    <row r="373" spans="1:19" ht="13.5" thickTop="1"/>
    <row r="374" spans="1:19">
      <c r="A374" s="88" t="s">
        <v>345</v>
      </c>
      <c r="J374" s="101"/>
      <c r="K374" s="101"/>
    </row>
    <row r="375" spans="1:19">
      <c r="J375" s="101"/>
      <c r="K375" s="101"/>
    </row>
    <row r="376" spans="1:19">
      <c r="A376" s="81" t="s">
        <v>86</v>
      </c>
      <c r="B376" s="81" t="s">
        <v>87</v>
      </c>
      <c r="C376" s="81" t="s">
        <v>88</v>
      </c>
      <c r="D376" s="81"/>
      <c r="E376" s="81"/>
      <c r="F376" s="146" t="s">
        <v>121</v>
      </c>
      <c r="G376" s="89" t="s">
        <v>121</v>
      </c>
      <c r="H376" s="177"/>
      <c r="I376" s="81" t="s">
        <v>91</v>
      </c>
      <c r="J376" s="81" t="s">
        <v>92</v>
      </c>
      <c r="K376" s="81" t="s">
        <v>106</v>
      </c>
    </row>
    <row r="377" spans="1:19">
      <c r="A377" s="86" t="s">
        <v>94</v>
      </c>
      <c r="B377" s="86" t="s">
        <v>95</v>
      </c>
      <c r="C377" s="86" t="s">
        <v>96</v>
      </c>
      <c r="D377" s="86"/>
      <c r="E377" s="86" t="s">
        <v>97</v>
      </c>
      <c r="F377" s="148" t="s">
        <v>98</v>
      </c>
      <c r="G377" s="92" t="s">
        <v>99</v>
      </c>
      <c r="H377" s="182" t="s">
        <v>100</v>
      </c>
      <c r="I377" s="86" t="s">
        <v>101</v>
      </c>
      <c r="J377" s="86" t="s">
        <v>93</v>
      </c>
      <c r="K377" s="86" t="s">
        <v>102</v>
      </c>
    </row>
    <row r="378" spans="1:19">
      <c r="A378" s="521" t="s">
        <v>346</v>
      </c>
      <c r="B378" s="522" t="s">
        <v>397</v>
      </c>
      <c r="C378" s="522"/>
      <c r="D378" s="522"/>
      <c r="E378" s="521" t="s">
        <v>398</v>
      </c>
      <c r="F378" s="522">
        <v>201601</v>
      </c>
      <c r="G378" s="523">
        <v>-784.66</v>
      </c>
      <c r="H378" s="590">
        <v>3</v>
      </c>
      <c r="I378" s="400">
        <v>3.1250000000000002E-3</v>
      </c>
      <c r="J378" s="523">
        <v>-7.36</v>
      </c>
      <c r="K378" s="523">
        <v>-29.42</v>
      </c>
      <c r="S378" s="101">
        <f t="shared" ref="S378" si="5">IF(F378&lt;=$S$1,$U$5,$U$6)</f>
        <v>2015</v>
      </c>
    </row>
    <row r="379" spans="1:19">
      <c r="A379" s="521" t="s">
        <v>346</v>
      </c>
      <c r="B379" s="522" t="s">
        <v>347</v>
      </c>
      <c r="C379" s="522"/>
      <c r="D379" s="522"/>
      <c r="E379" s="521" t="s">
        <v>348</v>
      </c>
      <c r="F379" s="522">
        <v>201601</v>
      </c>
      <c r="G379" s="523">
        <v>-19953.490000000002</v>
      </c>
      <c r="H379" s="590">
        <v>3</v>
      </c>
      <c r="I379" s="400">
        <v>3.1250000000000002E-3</v>
      </c>
      <c r="J379" s="523">
        <v>-187.06</v>
      </c>
      <c r="K379" s="523">
        <v>-748.26</v>
      </c>
    </row>
    <row r="380" spans="1:19">
      <c r="A380" s="521" t="s">
        <v>346</v>
      </c>
      <c r="B380" s="522" t="s">
        <v>349</v>
      </c>
      <c r="C380" s="522"/>
      <c r="D380" s="522"/>
      <c r="E380" s="521" t="s">
        <v>350</v>
      </c>
      <c r="F380" s="522">
        <v>201601</v>
      </c>
      <c r="G380" s="523">
        <v>-7440.76</v>
      </c>
      <c r="H380" s="590">
        <v>3</v>
      </c>
      <c r="I380" s="400">
        <v>3.1250000000000002E-3</v>
      </c>
      <c r="J380" s="523">
        <v>-69.760000000000005</v>
      </c>
      <c r="K380" s="523">
        <v>-279.02999999999997</v>
      </c>
    </row>
    <row r="381" spans="1:19">
      <c r="A381" s="521" t="s">
        <v>346</v>
      </c>
      <c r="B381" s="522" t="s">
        <v>355</v>
      </c>
      <c r="C381" s="522"/>
      <c r="D381" s="522"/>
      <c r="E381" s="521" t="s">
        <v>356</v>
      </c>
      <c r="F381" s="522">
        <v>201601</v>
      </c>
      <c r="G381" s="523">
        <v>-572.04</v>
      </c>
      <c r="H381" s="590">
        <v>3</v>
      </c>
      <c r="I381" s="400">
        <v>3.1250000000000002E-3</v>
      </c>
      <c r="J381" s="523">
        <v>-5.36</v>
      </c>
      <c r="K381" s="523">
        <v>-21.45</v>
      </c>
    </row>
    <row r="382" spans="1:19">
      <c r="A382" s="521" t="s">
        <v>346</v>
      </c>
      <c r="B382" s="522" t="s">
        <v>357</v>
      </c>
      <c r="C382" s="522"/>
      <c r="D382" s="522"/>
      <c r="E382" s="521" t="s">
        <v>358</v>
      </c>
      <c r="F382" s="522">
        <v>201601</v>
      </c>
      <c r="G382" s="523">
        <v>-6132.89</v>
      </c>
      <c r="H382" s="590">
        <v>3</v>
      </c>
      <c r="I382" s="400">
        <v>3.1250000000000002E-3</v>
      </c>
      <c r="J382" s="523">
        <v>-57.5</v>
      </c>
      <c r="K382" s="523">
        <v>-229.98</v>
      </c>
    </row>
    <row r="383" spans="1:19">
      <c r="A383" s="521" t="s">
        <v>346</v>
      </c>
      <c r="B383" s="522" t="s">
        <v>367</v>
      </c>
      <c r="C383" s="522"/>
      <c r="D383" s="522"/>
      <c r="E383" s="521" t="s">
        <v>368</v>
      </c>
      <c r="F383" s="522">
        <v>201601</v>
      </c>
      <c r="G383" s="523">
        <v>-115.34</v>
      </c>
      <c r="H383" s="590">
        <v>3</v>
      </c>
      <c r="I383" s="400">
        <v>3.1250000000000002E-3</v>
      </c>
      <c r="J383" s="523">
        <v>-1.08</v>
      </c>
      <c r="K383" s="523">
        <v>-4.33</v>
      </c>
    </row>
    <row r="384" spans="1:19">
      <c r="A384" s="521" t="s">
        <v>346</v>
      </c>
      <c r="B384" s="522" t="s">
        <v>377</v>
      </c>
      <c r="C384" s="522"/>
      <c r="D384" s="522"/>
      <c r="E384" s="521" t="s">
        <v>378</v>
      </c>
      <c r="F384" s="522">
        <v>201601</v>
      </c>
      <c r="G384" s="523">
        <v>-5257.28</v>
      </c>
      <c r="H384" s="590">
        <v>3</v>
      </c>
      <c r="I384" s="400">
        <v>3.1250000000000002E-3</v>
      </c>
      <c r="J384" s="523">
        <v>-49.29</v>
      </c>
      <c r="K384" s="523">
        <v>-197.15</v>
      </c>
    </row>
    <row r="385" spans="1:11">
      <c r="A385" s="521" t="s">
        <v>346</v>
      </c>
      <c r="B385" s="522" t="s">
        <v>403</v>
      </c>
      <c r="C385" s="522"/>
      <c r="D385" s="522"/>
      <c r="E385" s="521" t="s">
        <v>404</v>
      </c>
      <c r="F385" s="522">
        <v>201601</v>
      </c>
      <c r="G385" s="523">
        <v>-356</v>
      </c>
      <c r="H385" s="590">
        <v>3</v>
      </c>
      <c r="I385" s="400">
        <v>3.1250000000000002E-3</v>
      </c>
      <c r="J385" s="523">
        <v>-3.34</v>
      </c>
      <c r="K385" s="523">
        <v>-13.35</v>
      </c>
    </row>
    <row r="386" spans="1:11">
      <c r="A386" s="521" t="s">
        <v>346</v>
      </c>
      <c r="B386" s="522" t="s">
        <v>385</v>
      </c>
      <c r="C386" s="522"/>
      <c r="D386" s="522"/>
      <c r="E386" s="521" t="s">
        <v>386</v>
      </c>
      <c r="F386" s="522">
        <v>201601</v>
      </c>
      <c r="G386" s="523">
        <v>-10778.15</v>
      </c>
      <c r="H386" s="590">
        <v>3</v>
      </c>
      <c r="I386" s="400">
        <v>3.1250000000000002E-3</v>
      </c>
      <c r="J386" s="523">
        <v>-101.05</v>
      </c>
      <c r="K386" s="523">
        <v>-404.18</v>
      </c>
    </row>
    <row r="387" spans="1:11">
      <c r="A387" s="521" t="s">
        <v>346</v>
      </c>
      <c r="B387" s="522" t="s">
        <v>387</v>
      </c>
      <c r="C387" s="522"/>
      <c r="D387" s="522"/>
      <c r="E387" s="521" t="s">
        <v>388</v>
      </c>
      <c r="F387" s="522">
        <v>201601</v>
      </c>
      <c r="G387" s="523">
        <v>-3916.87</v>
      </c>
      <c r="H387" s="590">
        <v>3</v>
      </c>
      <c r="I387" s="400">
        <v>3.1250000000000002E-3</v>
      </c>
      <c r="J387" s="523">
        <v>-36.72</v>
      </c>
      <c r="K387" s="523">
        <v>-146.88</v>
      </c>
    </row>
    <row r="388" spans="1:11">
      <c r="A388" s="521" t="s">
        <v>346</v>
      </c>
      <c r="B388" s="522" t="s">
        <v>391</v>
      </c>
      <c r="C388" s="522"/>
      <c r="D388" s="522"/>
      <c r="E388" s="521" t="s">
        <v>392</v>
      </c>
      <c r="F388" s="522">
        <v>201601</v>
      </c>
      <c r="G388" s="523">
        <v>-467.57</v>
      </c>
      <c r="H388" s="590">
        <v>3</v>
      </c>
      <c r="I388" s="400">
        <v>3.1250000000000002E-3</v>
      </c>
      <c r="J388" s="523">
        <v>-4.38</v>
      </c>
      <c r="K388" s="523">
        <v>-17.53</v>
      </c>
    </row>
    <row r="389" spans="1:11">
      <c r="A389" s="521" t="s">
        <v>346</v>
      </c>
      <c r="B389" s="522" t="s">
        <v>647</v>
      </c>
      <c r="C389" s="522"/>
      <c r="D389" s="522"/>
      <c r="E389" s="521" t="s">
        <v>648</v>
      </c>
      <c r="F389" s="522">
        <v>201601</v>
      </c>
      <c r="G389" s="523">
        <v>-139977.91</v>
      </c>
      <c r="H389" s="590">
        <v>3</v>
      </c>
      <c r="I389" s="400">
        <v>3.1250000000000002E-3</v>
      </c>
      <c r="J389" s="523">
        <v>-1312.29</v>
      </c>
      <c r="K389" s="523">
        <v>-5249.17</v>
      </c>
    </row>
    <row r="390" spans="1:11">
      <c r="A390" s="521" t="s">
        <v>346</v>
      </c>
      <c r="B390" s="522" t="s">
        <v>657</v>
      </c>
      <c r="C390" s="522"/>
      <c r="D390" s="522"/>
      <c r="E390" s="521" t="s">
        <v>658</v>
      </c>
      <c r="F390" s="522">
        <v>201601</v>
      </c>
      <c r="G390" s="523">
        <v>-166962.94</v>
      </c>
      <c r="H390" s="590">
        <v>3</v>
      </c>
      <c r="I390" s="400">
        <v>3.1250000000000002E-3</v>
      </c>
      <c r="J390" s="523">
        <v>-1565.28</v>
      </c>
      <c r="K390" s="523">
        <v>-6261.11</v>
      </c>
    </row>
    <row r="391" spans="1:11">
      <c r="A391" s="521" t="s">
        <v>346</v>
      </c>
      <c r="B391" s="522" t="s">
        <v>788</v>
      </c>
      <c r="C391" s="522"/>
      <c r="D391" s="522"/>
      <c r="E391" s="521" t="s">
        <v>789</v>
      </c>
      <c r="F391" s="522">
        <v>201601</v>
      </c>
      <c r="G391" s="523">
        <v>-147594.07999999999</v>
      </c>
      <c r="H391" s="590">
        <v>3</v>
      </c>
      <c r="I391" s="400">
        <v>3.1250000000000002E-3</v>
      </c>
      <c r="J391" s="523">
        <v>-1383.69</v>
      </c>
      <c r="K391" s="523">
        <v>-5534.78</v>
      </c>
    </row>
    <row r="392" spans="1:11">
      <c r="A392" s="521" t="s">
        <v>346</v>
      </c>
      <c r="B392" s="522" t="s">
        <v>670</v>
      </c>
      <c r="C392" s="522"/>
      <c r="D392" s="522"/>
      <c r="E392" s="521" t="s">
        <v>671</v>
      </c>
      <c r="F392" s="522">
        <v>201601</v>
      </c>
      <c r="G392" s="523">
        <v>-130547.99</v>
      </c>
      <c r="H392" s="590">
        <v>3</v>
      </c>
      <c r="I392" s="400">
        <v>3.1250000000000002E-3</v>
      </c>
      <c r="J392" s="523">
        <v>-1223.8900000000001</v>
      </c>
      <c r="K392" s="523">
        <v>-4895.55</v>
      </c>
    </row>
    <row r="393" spans="1:11">
      <c r="A393" s="521" t="s">
        <v>346</v>
      </c>
      <c r="B393" s="522" t="s">
        <v>567</v>
      </c>
      <c r="C393" s="522"/>
      <c r="D393" s="522"/>
      <c r="E393" s="521" t="s">
        <v>568</v>
      </c>
      <c r="F393" s="522">
        <v>201601</v>
      </c>
      <c r="G393" s="523">
        <v>-90612.07</v>
      </c>
      <c r="H393" s="590">
        <v>3</v>
      </c>
      <c r="I393" s="400">
        <v>3.1250000000000002E-3</v>
      </c>
      <c r="J393" s="523">
        <v>-849.49</v>
      </c>
      <c r="K393" s="523">
        <v>-3397.95</v>
      </c>
    </row>
    <row r="394" spans="1:11">
      <c r="A394" s="521" t="s">
        <v>346</v>
      </c>
      <c r="B394" s="522" t="s">
        <v>684</v>
      </c>
      <c r="C394" s="522"/>
      <c r="D394" s="522"/>
      <c r="E394" s="521" t="s">
        <v>685</v>
      </c>
      <c r="F394" s="522">
        <v>201601</v>
      </c>
      <c r="G394" s="523">
        <v>-34554.51</v>
      </c>
      <c r="H394" s="590">
        <v>3</v>
      </c>
      <c r="I394" s="400">
        <v>3.1250000000000002E-3</v>
      </c>
      <c r="J394" s="523">
        <v>-323.95</v>
      </c>
      <c r="K394" s="523">
        <v>-1295.79</v>
      </c>
    </row>
    <row r="395" spans="1:11">
      <c r="A395" s="521" t="s">
        <v>346</v>
      </c>
      <c r="B395" s="522" t="s">
        <v>692</v>
      </c>
      <c r="C395" s="522"/>
      <c r="D395" s="522"/>
      <c r="E395" s="521" t="s">
        <v>693</v>
      </c>
      <c r="F395" s="522">
        <v>201601</v>
      </c>
      <c r="G395" s="523">
        <v>-5365.05</v>
      </c>
      <c r="H395" s="590">
        <v>3</v>
      </c>
      <c r="I395" s="400">
        <v>3.1250000000000002E-3</v>
      </c>
      <c r="J395" s="523">
        <v>-50.3</v>
      </c>
      <c r="K395" s="523">
        <v>-201.19</v>
      </c>
    </row>
    <row r="396" spans="1:11">
      <c r="A396" s="521" t="s">
        <v>346</v>
      </c>
      <c r="B396" s="522" t="s">
        <v>698</v>
      </c>
      <c r="C396" s="522"/>
      <c r="D396" s="522"/>
      <c r="E396" s="521" t="s">
        <v>699</v>
      </c>
      <c r="F396" s="522">
        <v>201601</v>
      </c>
      <c r="G396" s="523">
        <v>-178.01</v>
      </c>
      <c r="H396" s="590">
        <v>3</v>
      </c>
      <c r="I396" s="400">
        <v>3.1250000000000002E-3</v>
      </c>
      <c r="J396" s="523">
        <v>-1.67</v>
      </c>
      <c r="K396" s="523">
        <v>-6.68</v>
      </c>
    </row>
    <row r="397" spans="1:11">
      <c r="A397" s="521"/>
      <c r="B397" s="522"/>
      <c r="C397" s="522"/>
      <c r="D397" s="522"/>
      <c r="E397" s="521"/>
      <c r="F397" s="522"/>
      <c r="G397" s="523"/>
      <c r="H397" s="590"/>
      <c r="I397" s="400"/>
      <c r="J397" s="523"/>
      <c r="K397" s="523"/>
    </row>
    <row r="398" spans="1:11">
      <c r="A398" s="521" t="s">
        <v>346</v>
      </c>
      <c r="B398" s="522" t="s">
        <v>397</v>
      </c>
      <c r="C398" s="522"/>
      <c r="D398" s="522"/>
      <c r="E398" s="521" t="s">
        <v>398</v>
      </c>
      <c r="F398" s="522">
        <v>201602</v>
      </c>
      <c r="G398" s="523">
        <v>-11330.42</v>
      </c>
      <c r="H398" s="590">
        <v>2</v>
      </c>
      <c r="I398" s="400">
        <v>3.1250000000000002E-3</v>
      </c>
      <c r="J398" s="523">
        <v>-70.819999999999993</v>
      </c>
      <c r="K398" s="523">
        <v>-424.89</v>
      </c>
    </row>
    <row r="399" spans="1:11">
      <c r="A399" s="521" t="s">
        <v>346</v>
      </c>
      <c r="B399" s="522" t="s">
        <v>347</v>
      </c>
      <c r="C399" s="522"/>
      <c r="D399" s="522"/>
      <c r="E399" s="521" t="s">
        <v>348</v>
      </c>
      <c r="F399" s="522">
        <v>201602</v>
      </c>
      <c r="G399" s="523">
        <v>-55176.21</v>
      </c>
      <c r="H399" s="590">
        <v>2</v>
      </c>
      <c r="I399" s="400">
        <v>3.1250000000000002E-3</v>
      </c>
      <c r="J399" s="523">
        <v>-344.85</v>
      </c>
      <c r="K399" s="523">
        <v>-2069.11</v>
      </c>
    </row>
    <row r="400" spans="1:11">
      <c r="A400" s="521" t="s">
        <v>346</v>
      </c>
      <c r="B400" s="522" t="s">
        <v>349</v>
      </c>
      <c r="C400" s="522"/>
      <c r="D400" s="522"/>
      <c r="E400" s="521" t="s">
        <v>350</v>
      </c>
      <c r="F400" s="522">
        <v>201602</v>
      </c>
      <c r="G400" s="523">
        <v>-11811.18</v>
      </c>
      <c r="H400" s="590">
        <v>2</v>
      </c>
      <c r="I400" s="400">
        <v>3.1250000000000002E-3</v>
      </c>
      <c r="J400" s="523">
        <v>-73.819999999999993</v>
      </c>
      <c r="K400" s="523">
        <v>-442.92</v>
      </c>
    </row>
    <row r="401" spans="1:11">
      <c r="A401" s="521" t="s">
        <v>346</v>
      </c>
      <c r="B401" s="522" t="s">
        <v>355</v>
      </c>
      <c r="C401" s="522"/>
      <c r="D401" s="522"/>
      <c r="E401" s="521" t="s">
        <v>356</v>
      </c>
      <c r="F401" s="522">
        <v>201602</v>
      </c>
      <c r="G401" s="523">
        <v>-3426.27</v>
      </c>
      <c r="H401" s="590">
        <v>2</v>
      </c>
      <c r="I401" s="400">
        <v>3.1250000000000002E-3</v>
      </c>
      <c r="J401" s="523">
        <v>-21.41</v>
      </c>
      <c r="K401" s="523">
        <v>-128.49</v>
      </c>
    </row>
    <row r="402" spans="1:11">
      <c r="A402" s="521" t="s">
        <v>346</v>
      </c>
      <c r="B402" s="522" t="s">
        <v>357</v>
      </c>
      <c r="C402" s="522"/>
      <c r="D402" s="522"/>
      <c r="E402" s="521" t="s">
        <v>358</v>
      </c>
      <c r="F402" s="522">
        <v>201602</v>
      </c>
      <c r="G402" s="523">
        <v>-715.02</v>
      </c>
      <c r="H402" s="590">
        <v>2</v>
      </c>
      <c r="I402" s="400">
        <v>3.1250000000000002E-3</v>
      </c>
      <c r="J402" s="523">
        <v>-4.47</v>
      </c>
      <c r="K402" s="523">
        <v>-26.81</v>
      </c>
    </row>
    <row r="403" spans="1:11">
      <c r="A403" s="521" t="s">
        <v>346</v>
      </c>
      <c r="B403" s="522" t="s">
        <v>363</v>
      </c>
      <c r="C403" s="522"/>
      <c r="D403" s="522"/>
      <c r="E403" s="521" t="s">
        <v>364</v>
      </c>
      <c r="F403" s="522">
        <v>201602</v>
      </c>
      <c r="G403" s="523">
        <v>-192.53</v>
      </c>
      <c r="H403" s="590">
        <v>2</v>
      </c>
      <c r="I403" s="400">
        <v>3.1250000000000002E-3</v>
      </c>
      <c r="J403" s="523">
        <v>-1.2</v>
      </c>
      <c r="K403" s="523">
        <v>-7.22</v>
      </c>
    </row>
    <row r="404" spans="1:11">
      <c r="A404" s="521" t="s">
        <v>346</v>
      </c>
      <c r="B404" s="522" t="s">
        <v>406</v>
      </c>
      <c r="C404" s="522"/>
      <c r="D404" s="522"/>
      <c r="E404" s="521" t="s">
        <v>407</v>
      </c>
      <c r="F404" s="522">
        <v>201602</v>
      </c>
      <c r="G404" s="523">
        <v>-444.94</v>
      </c>
      <c r="H404" s="590">
        <v>2</v>
      </c>
      <c r="I404" s="400">
        <v>3.1250000000000002E-3</v>
      </c>
      <c r="J404" s="523">
        <v>-2.78</v>
      </c>
      <c r="K404" s="523">
        <v>-16.690000000000001</v>
      </c>
    </row>
    <row r="405" spans="1:11">
      <c r="A405" s="521" t="s">
        <v>346</v>
      </c>
      <c r="B405" s="522" t="s">
        <v>367</v>
      </c>
      <c r="C405" s="522"/>
      <c r="D405" s="522"/>
      <c r="E405" s="521" t="s">
        <v>368</v>
      </c>
      <c r="F405" s="522">
        <v>201602</v>
      </c>
      <c r="G405" s="523">
        <v>-1123.1199999999999</v>
      </c>
      <c r="H405" s="590">
        <v>2</v>
      </c>
      <c r="I405" s="400">
        <v>3.1250000000000002E-3</v>
      </c>
      <c r="J405" s="523">
        <v>-7.02</v>
      </c>
      <c r="K405" s="523">
        <v>-42.12</v>
      </c>
    </row>
    <row r="406" spans="1:11">
      <c r="A406" s="521" t="s">
        <v>346</v>
      </c>
      <c r="B406" s="522" t="s">
        <v>377</v>
      </c>
      <c r="C406" s="522"/>
      <c r="D406" s="522"/>
      <c r="E406" s="521" t="s">
        <v>378</v>
      </c>
      <c r="F406" s="522">
        <v>201602</v>
      </c>
      <c r="G406" s="523">
        <v>-5535.18</v>
      </c>
      <c r="H406" s="590">
        <v>2</v>
      </c>
      <c r="I406" s="400">
        <v>3.1250000000000002E-3</v>
      </c>
      <c r="J406" s="523">
        <v>-34.590000000000003</v>
      </c>
      <c r="K406" s="523">
        <v>-207.57</v>
      </c>
    </row>
    <row r="407" spans="1:11">
      <c r="A407" s="521" t="s">
        <v>346</v>
      </c>
      <c r="B407" s="522" t="s">
        <v>379</v>
      </c>
      <c r="C407" s="522"/>
      <c r="D407" s="522"/>
      <c r="E407" s="521" t="s">
        <v>380</v>
      </c>
      <c r="F407" s="522">
        <v>201602</v>
      </c>
      <c r="G407" s="523">
        <v>-99.07</v>
      </c>
      <c r="H407" s="590">
        <v>2</v>
      </c>
      <c r="I407" s="400">
        <v>3.1250000000000002E-3</v>
      </c>
      <c r="J407" s="523">
        <v>-0.62</v>
      </c>
      <c r="K407" s="523">
        <v>-3.72</v>
      </c>
    </row>
    <row r="408" spans="1:11">
      <c r="A408" s="521" t="s">
        <v>346</v>
      </c>
      <c r="B408" s="522" t="s">
        <v>403</v>
      </c>
      <c r="C408" s="522"/>
      <c r="D408" s="522"/>
      <c r="E408" s="521" t="s">
        <v>404</v>
      </c>
      <c r="F408" s="522">
        <v>201602</v>
      </c>
      <c r="G408" s="523">
        <v>-6061.12</v>
      </c>
      <c r="H408" s="590">
        <v>2</v>
      </c>
      <c r="I408" s="400">
        <v>3.1250000000000002E-3</v>
      </c>
      <c r="J408" s="523">
        <v>-37.880000000000003</v>
      </c>
      <c r="K408" s="523">
        <v>-227.29</v>
      </c>
    </row>
    <row r="409" spans="1:11">
      <c r="A409" s="521" t="s">
        <v>346</v>
      </c>
      <c r="B409" s="522" t="s">
        <v>385</v>
      </c>
      <c r="C409" s="522"/>
      <c r="D409" s="522"/>
      <c r="E409" s="521" t="s">
        <v>386</v>
      </c>
      <c r="F409" s="522">
        <v>201602</v>
      </c>
      <c r="G409" s="523">
        <v>-37791.879999999997</v>
      </c>
      <c r="H409" s="590">
        <v>2</v>
      </c>
      <c r="I409" s="400">
        <v>3.1250000000000002E-3</v>
      </c>
      <c r="J409" s="523">
        <v>-236.2</v>
      </c>
      <c r="K409" s="523">
        <v>-1417.2</v>
      </c>
    </row>
    <row r="410" spans="1:11">
      <c r="A410" s="521" t="s">
        <v>346</v>
      </c>
      <c r="B410" s="522" t="s">
        <v>387</v>
      </c>
      <c r="C410" s="522"/>
      <c r="D410" s="522"/>
      <c r="E410" s="521" t="s">
        <v>388</v>
      </c>
      <c r="F410" s="522">
        <v>201602</v>
      </c>
      <c r="G410" s="523">
        <v>-16873.48</v>
      </c>
      <c r="H410" s="590">
        <v>2</v>
      </c>
      <c r="I410" s="400">
        <v>3.1250000000000002E-3</v>
      </c>
      <c r="J410" s="523">
        <v>-105.46</v>
      </c>
      <c r="K410" s="523">
        <v>-632.76</v>
      </c>
    </row>
    <row r="411" spans="1:11">
      <c r="A411" s="521" t="s">
        <v>346</v>
      </c>
      <c r="B411" s="522" t="s">
        <v>389</v>
      </c>
      <c r="C411" s="522"/>
      <c r="D411" s="522"/>
      <c r="E411" s="521" t="s">
        <v>390</v>
      </c>
      <c r="F411" s="522">
        <v>201602</v>
      </c>
      <c r="G411" s="523">
        <v>-2811.41</v>
      </c>
      <c r="H411" s="590">
        <v>2</v>
      </c>
      <c r="I411" s="400">
        <v>3.1250000000000002E-3</v>
      </c>
      <c r="J411" s="523">
        <v>-17.57</v>
      </c>
      <c r="K411" s="523">
        <v>-105.43</v>
      </c>
    </row>
    <row r="412" spans="1:11">
      <c r="A412" s="521" t="s">
        <v>346</v>
      </c>
      <c r="B412" s="522" t="s">
        <v>327</v>
      </c>
      <c r="C412" s="522"/>
      <c r="D412" s="522"/>
      <c r="E412" s="521" t="s">
        <v>328</v>
      </c>
      <c r="F412" s="522">
        <v>201602</v>
      </c>
      <c r="G412" s="523">
        <v>-58.82</v>
      </c>
      <c r="H412" s="590">
        <v>2</v>
      </c>
      <c r="I412" s="400">
        <v>3.1250000000000002E-3</v>
      </c>
      <c r="J412" s="523">
        <v>-0.37</v>
      </c>
      <c r="K412" s="523">
        <v>-2.21</v>
      </c>
    </row>
    <row r="413" spans="1:11">
      <c r="A413" s="521" t="s">
        <v>346</v>
      </c>
      <c r="B413" s="522" t="s">
        <v>589</v>
      </c>
      <c r="C413" s="522"/>
      <c r="D413" s="522"/>
      <c r="E413" s="521" t="s">
        <v>590</v>
      </c>
      <c r="F413" s="522">
        <v>201602</v>
      </c>
      <c r="G413" s="523">
        <v>-25565.64</v>
      </c>
      <c r="H413" s="590">
        <v>2</v>
      </c>
      <c r="I413" s="400">
        <v>3.1250000000000002E-3</v>
      </c>
      <c r="J413" s="523">
        <v>-159.79</v>
      </c>
      <c r="K413" s="523">
        <v>-958.71</v>
      </c>
    </row>
    <row r="414" spans="1:11">
      <c r="A414" s="521" t="s">
        <v>346</v>
      </c>
      <c r="B414" s="522" t="s">
        <v>708</v>
      </c>
      <c r="C414" s="522"/>
      <c r="D414" s="522"/>
      <c r="E414" s="521" t="s">
        <v>709</v>
      </c>
      <c r="F414" s="522">
        <v>201602</v>
      </c>
      <c r="G414" s="523">
        <v>-21832.35</v>
      </c>
      <c r="H414" s="590">
        <v>2</v>
      </c>
      <c r="I414" s="400">
        <v>3.1250000000000002E-3</v>
      </c>
      <c r="J414" s="523">
        <v>-136.44999999999999</v>
      </c>
      <c r="K414" s="523">
        <v>-818.71</v>
      </c>
    </row>
    <row r="415" spans="1:11">
      <c r="A415" s="521" t="s">
        <v>346</v>
      </c>
      <c r="B415" s="522" t="s">
        <v>645</v>
      </c>
      <c r="C415" s="522"/>
      <c r="D415" s="522"/>
      <c r="E415" s="521" t="s">
        <v>646</v>
      </c>
      <c r="F415" s="522">
        <v>201602</v>
      </c>
      <c r="G415" s="523">
        <v>-106427.42</v>
      </c>
      <c r="H415" s="590">
        <v>2</v>
      </c>
      <c r="I415" s="400">
        <v>3.1250000000000002E-3</v>
      </c>
      <c r="J415" s="523">
        <v>-665.17</v>
      </c>
      <c r="K415" s="523">
        <v>-3991.03</v>
      </c>
    </row>
    <row r="416" spans="1:11">
      <c r="A416" s="521" t="s">
        <v>346</v>
      </c>
      <c r="B416" s="522" t="s">
        <v>717</v>
      </c>
      <c r="C416" s="522"/>
      <c r="D416" s="522"/>
      <c r="E416" s="521" t="s">
        <v>718</v>
      </c>
      <c r="F416" s="522">
        <v>201602</v>
      </c>
      <c r="G416" s="523">
        <v>-5533.79</v>
      </c>
      <c r="H416" s="590">
        <v>2</v>
      </c>
      <c r="I416" s="400">
        <v>3.1250000000000002E-3</v>
      </c>
      <c r="J416" s="523">
        <v>-34.590000000000003</v>
      </c>
      <c r="K416" s="523">
        <v>-207.52</v>
      </c>
    </row>
    <row r="417" spans="1:11">
      <c r="A417" s="521" t="s">
        <v>346</v>
      </c>
      <c r="B417" s="522" t="s">
        <v>649</v>
      </c>
      <c r="C417" s="522"/>
      <c r="D417" s="522"/>
      <c r="E417" s="521" t="s">
        <v>650</v>
      </c>
      <c r="F417" s="522">
        <v>201602</v>
      </c>
      <c r="G417" s="523">
        <v>-100685.34</v>
      </c>
      <c r="H417" s="590">
        <v>2</v>
      </c>
      <c r="I417" s="400">
        <v>3.1250000000000002E-3</v>
      </c>
      <c r="J417" s="523">
        <v>-629.28</v>
      </c>
      <c r="K417" s="523">
        <v>-3775.7</v>
      </c>
    </row>
    <row r="418" spans="1:11">
      <c r="A418" s="521" t="s">
        <v>346</v>
      </c>
      <c r="B418" s="522" t="s">
        <v>786</v>
      </c>
      <c r="C418" s="522"/>
      <c r="D418" s="522"/>
      <c r="E418" s="521" t="s">
        <v>787</v>
      </c>
      <c r="F418" s="522">
        <v>201602</v>
      </c>
      <c r="G418" s="523">
        <v>-242251.44</v>
      </c>
      <c r="H418" s="590">
        <v>2</v>
      </c>
      <c r="I418" s="400">
        <v>3.1250000000000002E-3</v>
      </c>
      <c r="J418" s="523">
        <v>-1514.07</v>
      </c>
      <c r="K418" s="523">
        <v>-9084.43</v>
      </c>
    </row>
    <row r="419" spans="1:11">
      <c r="A419" s="521" t="s">
        <v>346</v>
      </c>
      <c r="B419" s="522" t="s">
        <v>653</v>
      </c>
      <c r="C419" s="522"/>
      <c r="D419" s="522"/>
      <c r="E419" s="521" t="s">
        <v>654</v>
      </c>
      <c r="F419" s="522">
        <v>201602</v>
      </c>
      <c r="G419" s="523">
        <v>-159947.28</v>
      </c>
      <c r="H419" s="590">
        <v>2</v>
      </c>
      <c r="I419" s="400">
        <v>3.1250000000000002E-3</v>
      </c>
      <c r="J419" s="523">
        <v>-999.67</v>
      </c>
      <c r="K419" s="523">
        <v>-5998.02</v>
      </c>
    </row>
    <row r="420" spans="1:11">
      <c r="A420" s="521" t="s">
        <v>346</v>
      </c>
      <c r="B420" s="522" t="s">
        <v>659</v>
      </c>
      <c r="C420" s="522"/>
      <c r="D420" s="522"/>
      <c r="E420" s="521" t="s">
        <v>660</v>
      </c>
      <c r="F420" s="522">
        <v>201602</v>
      </c>
      <c r="G420" s="523">
        <v>-265768.40000000002</v>
      </c>
      <c r="H420" s="590">
        <v>2</v>
      </c>
      <c r="I420" s="400">
        <v>3.1250000000000002E-3</v>
      </c>
      <c r="J420" s="523">
        <v>-1661.05</v>
      </c>
      <c r="K420" s="523">
        <v>-9966.32</v>
      </c>
    </row>
    <row r="421" spans="1:11">
      <c r="A421" s="521" t="s">
        <v>346</v>
      </c>
      <c r="B421" s="522" t="s">
        <v>663</v>
      </c>
      <c r="C421" s="522"/>
      <c r="D421" s="522"/>
      <c r="E421" s="521" t="s">
        <v>664</v>
      </c>
      <c r="F421" s="522">
        <v>201602</v>
      </c>
      <c r="G421" s="523">
        <v>-35767.26</v>
      </c>
      <c r="H421" s="590">
        <v>2</v>
      </c>
      <c r="I421" s="400">
        <v>3.1250000000000002E-3</v>
      </c>
      <c r="J421" s="523">
        <v>-223.55</v>
      </c>
      <c r="K421" s="523">
        <v>-1341.27</v>
      </c>
    </row>
    <row r="422" spans="1:11">
      <c r="A422" s="521" t="s">
        <v>346</v>
      </c>
      <c r="B422" s="522" t="s">
        <v>674</v>
      </c>
      <c r="C422" s="522"/>
      <c r="D422" s="522"/>
      <c r="E422" s="521" t="s">
        <v>675</v>
      </c>
      <c r="F422" s="522">
        <v>201602</v>
      </c>
      <c r="G422" s="523">
        <v>-84728.91</v>
      </c>
      <c r="H422" s="590">
        <v>2</v>
      </c>
      <c r="I422" s="400">
        <v>3.1250000000000002E-3</v>
      </c>
      <c r="J422" s="523">
        <v>-529.55999999999995</v>
      </c>
      <c r="K422" s="523">
        <v>-3177.33</v>
      </c>
    </row>
    <row r="423" spans="1:11">
      <c r="A423" s="521" t="s">
        <v>346</v>
      </c>
      <c r="B423" s="522" t="s">
        <v>678</v>
      </c>
      <c r="C423" s="522"/>
      <c r="D423" s="522"/>
      <c r="E423" s="521" t="s">
        <v>679</v>
      </c>
      <c r="F423" s="522">
        <v>201602</v>
      </c>
      <c r="G423" s="523">
        <v>-102544.74</v>
      </c>
      <c r="H423" s="590">
        <v>2</v>
      </c>
      <c r="I423" s="400">
        <v>3.1250000000000002E-3</v>
      </c>
      <c r="J423" s="523">
        <v>-640.9</v>
      </c>
      <c r="K423" s="523">
        <v>-3845.43</v>
      </c>
    </row>
    <row r="424" spans="1:11">
      <c r="A424" s="521" t="s">
        <v>346</v>
      </c>
      <c r="B424" s="522" t="s">
        <v>690</v>
      </c>
      <c r="C424" s="522"/>
      <c r="D424" s="522"/>
      <c r="E424" s="521" t="s">
        <v>691</v>
      </c>
      <c r="F424" s="522">
        <v>201602</v>
      </c>
      <c r="G424" s="523">
        <v>-35127.760000000002</v>
      </c>
      <c r="H424" s="590">
        <v>2</v>
      </c>
      <c r="I424" s="400">
        <v>3.1250000000000002E-3</v>
      </c>
      <c r="J424" s="523">
        <v>-219.55</v>
      </c>
      <c r="K424" s="523">
        <v>-1317.29</v>
      </c>
    </row>
    <row r="425" spans="1:11">
      <c r="A425" s="521" t="s">
        <v>346</v>
      </c>
      <c r="B425" s="522" t="s">
        <v>700</v>
      </c>
      <c r="C425" s="522"/>
      <c r="D425" s="522"/>
      <c r="E425" s="521" t="s">
        <v>701</v>
      </c>
      <c r="F425" s="522">
        <v>201602</v>
      </c>
      <c r="G425" s="523">
        <v>-2532.4699999999998</v>
      </c>
      <c r="H425" s="590">
        <v>2</v>
      </c>
      <c r="I425" s="400">
        <v>3.1250000000000002E-3</v>
      </c>
      <c r="J425" s="523">
        <v>-15.83</v>
      </c>
      <c r="K425" s="523">
        <v>-94.97</v>
      </c>
    </row>
    <row r="426" spans="1:11">
      <c r="A426" s="521" t="s">
        <v>346</v>
      </c>
      <c r="B426" s="522" t="s">
        <v>794</v>
      </c>
      <c r="C426" s="522"/>
      <c r="D426" s="522"/>
      <c r="E426" s="521" t="s">
        <v>795</v>
      </c>
      <c r="F426" s="522">
        <v>201602</v>
      </c>
      <c r="G426" s="523">
        <v>-61468.01</v>
      </c>
      <c r="H426" s="590">
        <v>2</v>
      </c>
      <c r="I426" s="400">
        <v>3.1250000000000002E-3</v>
      </c>
      <c r="J426" s="523">
        <v>-384.18</v>
      </c>
      <c r="K426" s="523">
        <v>-2305.0500000000002</v>
      </c>
    </row>
    <row r="427" spans="1:11">
      <c r="A427" s="521" t="s">
        <v>346</v>
      </c>
      <c r="B427" s="522" t="s">
        <v>397</v>
      </c>
      <c r="C427" s="522"/>
      <c r="D427" s="522"/>
      <c r="E427" s="521" t="s">
        <v>398</v>
      </c>
      <c r="F427" s="522">
        <v>201603</v>
      </c>
      <c r="G427" s="523">
        <v>-4581.5</v>
      </c>
      <c r="H427" s="590">
        <v>13.5</v>
      </c>
      <c r="I427" s="400">
        <v>3.1250000000000002E-3</v>
      </c>
      <c r="J427" s="523">
        <v>-193.28</v>
      </c>
      <c r="K427" s="523">
        <v>-171.81</v>
      </c>
    </row>
    <row r="428" spans="1:11">
      <c r="A428" s="521" t="s">
        <v>346</v>
      </c>
      <c r="B428" s="522" t="s">
        <v>347</v>
      </c>
      <c r="C428" s="522"/>
      <c r="D428" s="522"/>
      <c r="E428" s="521" t="s">
        <v>348</v>
      </c>
      <c r="F428" s="522">
        <v>201603</v>
      </c>
      <c r="G428" s="523">
        <v>-44366.44</v>
      </c>
      <c r="H428" s="590">
        <v>13.5</v>
      </c>
      <c r="I428" s="400">
        <v>3.1250000000000002E-3</v>
      </c>
      <c r="J428" s="523">
        <v>-1871.71</v>
      </c>
      <c r="K428" s="523">
        <v>-1663.74</v>
      </c>
    </row>
    <row r="429" spans="1:11" s="559" customFormat="1">
      <c r="A429" s="521" t="s">
        <v>346</v>
      </c>
      <c r="B429" s="522" t="s">
        <v>349</v>
      </c>
      <c r="C429" s="522"/>
      <c r="D429" s="522"/>
      <c r="E429" s="521" t="s">
        <v>350</v>
      </c>
      <c r="F429" s="522">
        <v>201603</v>
      </c>
      <c r="G429" s="523">
        <v>-988.83</v>
      </c>
      <c r="H429" s="590">
        <v>13.5</v>
      </c>
      <c r="I429" s="400">
        <v>3.1250000000000002E-3</v>
      </c>
      <c r="J429" s="523">
        <v>-41.72</v>
      </c>
      <c r="K429" s="523">
        <v>-37.08</v>
      </c>
    </row>
    <row r="430" spans="1:11" s="559" customFormat="1">
      <c r="A430" s="521" t="s">
        <v>346</v>
      </c>
      <c r="B430" s="522" t="s">
        <v>355</v>
      </c>
      <c r="C430" s="522"/>
      <c r="D430" s="522"/>
      <c r="E430" s="521" t="s">
        <v>356</v>
      </c>
      <c r="F430" s="522">
        <v>201603</v>
      </c>
      <c r="G430" s="523">
        <v>-1481.58</v>
      </c>
      <c r="H430" s="590">
        <v>13.5</v>
      </c>
      <c r="I430" s="400">
        <v>3.1250000000000002E-3</v>
      </c>
      <c r="J430" s="523">
        <v>-62.5</v>
      </c>
      <c r="K430" s="523">
        <v>-55.56</v>
      </c>
    </row>
    <row r="431" spans="1:11" s="559" customFormat="1">
      <c r="A431" s="521" t="s">
        <v>346</v>
      </c>
      <c r="B431" s="522" t="s">
        <v>357</v>
      </c>
      <c r="C431" s="522"/>
      <c r="D431" s="522"/>
      <c r="E431" s="521" t="s">
        <v>358</v>
      </c>
      <c r="F431" s="522">
        <v>201603</v>
      </c>
      <c r="G431" s="523">
        <v>-33.630000000000003</v>
      </c>
      <c r="H431" s="590">
        <v>13.5</v>
      </c>
      <c r="I431" s="400">
        <v>3.1250000000000002E-3</v>
      </c>
      <c r="J431" s="523">
        <v>-1.42</v>
      </c>
      <c r="K431" s="523">
        <v>-1.26</v>
      </c>
    </row>
    <row r="432" spans="1:11" s="559" customFormat="1">
      <c r="A432" s="521" t="s">
        <v>346</v>
      </c>
      <c r="B432" s="522" t="s">
        <v>406</v>
      </c>
      <c r="C432" s="522"/>
      <c r="D432" s="522"/>
      <c r="E432" s="521" t="s">
        <v>407</v>
      </c>
      <c r="F432" s="522">
        <v>201603</v>
      </c>
      <c r="G432" s="523">
        <v>-86.12</v>
      </c>
      <c r="H432" s="590">
        <v>13.5</v>
      </c>
      <c r="I432" s="400">
        <v>3.1250000000000002E-3</v>
      </c>
      <c r="J432" s="523">
        <v>-3.63</v>
      </c>
      <c r="K432" s="523">
        <v>-3.23</v>
      </c>
    </row>
    <row r="433" spans="1:11" s="559" customFormat="1">
      <c r="A433" s="521" t="s">
        <v>346</v>
      </c>
      <c r="B433" s="522" t="s">
        <v>367</v>
      </c>
      <c r="C433" s="522"/>
      <c r="D433" s="522"/>
      <c r="E433" s="521" t="s">
        <v>368</v>
      </c>
      <c r="F433" s="522">
        <v>201603</v>
      </c>
      <c r="G433" s="523">
        <v>-168.02</v>
      </c>
      <c r="H433" s="590">
        <v>13.5</v>
      </c>
      <c r="I433" s="400">
        <v>3.1250000000000002E-3</v>
      </c>
      <c r="J433" s="523">
        <v>-7.09</v>
      </c>
      <c r="K433" s="523">
        <v>-6.3</v>
      </c>
    </row>
    <row r="434" spans="1:11" s="559" customFormat="1">
      <c r="A434" s="521" t="s">
        <v>346</v>
      </c>
      <c r="B434" s="522" t="s">
        <v>369</v>
      </c>
      <c r="C434" s="522"/>
      <c r="D434" s="522"/>
      <c r="E434" s="521" t="s">
        <v>370</v>
      </c>
      <c r="F434" s="522">
        <v>201603</v>
      </c>
      <c r="G434" s="523">
        <v>-65.930000000000007</v>
      </c>
      <c r="H434" s="590">
        <v>13.5</v>
      </c>
      <c r="I434" s="400">
        <v>3.1250000000000002E-3</v>
      </c>
      <c r="J434" s="523">
        <v>-2.78</v>
      </c>
      <c r="K434" s="523">
        <v>-2.4700000000000002</v>
      </c>
    </row>
    <row r="435" spans="1:11" s="559" customFormat="1">
      <c r="A435" s="521" t="s">
        <v>346</v>
      </c>
      <c r="B435" s="522" t="s">
        <v>377</v>
      </c>
      <c r="C435" s="522"/>
      <c r="D435" s="522"/>
      <c r="E435" s="521" t="s">
        <v>378</v>
      </c>
      <c r="F435" s="522">
        <v>201603</v>
      </c>
      <c r="G435" s="523">
        <v>-4408.5200000000004</v>
      </c>
      <c r="H435" s="590">
        <v>13.5</v>
      </c>
      <c r="I435" s="400">
        <v>3.1250000000000002E-3</v>
      </c>
      <c r="J435" s="523">
        <v>-185.98</v>
      </c>
      <c r="K435" s="523">
        <v>-165.32</v>
      </c>
    </row>
    <row r="436" spans="1:11" s="559" customFormat="1">
      <c r="A436" s="521" t="s">
        <v>346</v>
      </c>
      <c r="B436" s="522" t="s">
        <v>379</v>
      </c>
      <c r="C436" s="522"/>
      <c r="D436" s="522"/>
      <c r="E436" s="521" t="s">
        <v>380</v>
      </c>
      <c r="F436" s="522">
        <v>201603</v>
      </c>
      <c r="G436" s="523">
        <v>-843.02</v>
      </c>
      <c r="H436" s="590">
        <v>13.5</v>
      </c>
      <c r="I436" s="400">
        <v>3.1250000000000002E-3</v>
      </c>
      <c r="J436" s="523">
        <v>-35.56</v>
      </c>
      <c r="K436" s="523">
        <v>-31.61</v>
      </c>
    </row>
    <row r="437" spans="1:11" s="559" customFormat="1">
      <c r="A437" s="521" t="s">
        <v>346</v>
      </c>
      <c r="B437" s="522" t="s">
        <v>403</v>
      </c>
      <c r="C437" s="522"/>
      <c r="D437" s="522"/>
      <c r="E437" s="521" t="s">
        <v>404</v>
      </c>
      <c r="F437" s="522">
        <v>201603</v>
      </c>
      <c r="G437" s="523">
        <v>-574.25</v>
      </c>
      <c r="H437" s="590">
        <v>13.5</v>
      </c>
      <c r="I437" s="400">
        <v>3.1250000000000002E-3</v>
      </c>
      <c r="J437" s="523">
        <v>-24.23</v>
      </c>
      <c r="K437" s="523">
        <v>-21.53</v>
      </c>
    </row>
    <row r="438" spans="1:11" s="559" customFormat="1">
      <c r="A438" s="521" t="s">
        <v>346</v>
      </c>
      <c r="B438" s="522" t="s">
        <v>385</v>
      </c>
      <c r="C438" s="522"/>
      <c r="D438" s="522"/>
      <c r="E438" s="521" t="s">
        <v>386</v>
      </c>
      <c r="F438" s="522">
        <v>201603</v>
      </c>
      <c r="G438" s="523">
        <v>-35095.47</v>
      </c>
      <c r="H438" s="590">
        <v>13.5</v>
      </c>
      <c r="I438" s="400">
        <v>3.1250000000000002E-3</v>
      </c>
      <c r="J438" s="523">
        <v>-1480.59</v>
      </c>
      <c r="K438" s="523">
        <v>-1316.08</v>
      </c>
    </row>
    <row r="439" spans="1:11" s="559" customFormat="1">
      <c r="A439" s="521" t="s">
        <v>346</v>
      </c>
      <c r="B439" s="522" t="s">
        <v>387</v>
      </c>
      <c r="C439" s="522"/>
      <c r="D439" s="522"/>
      <c r="E439" s="521" t="s">
        <v>388</v>
      </c>
      <c r="F439" s="522">
        <v>201603</v>
      </c>
      <c r="G439" s="523">
        <v>-7348.64</v>
      </c>
      <c r="H439" s="590">
        <v>13.5</v>
      </c>
      <c r="I439" s="400">
        <v>3.1250000000000002E-3</v>
      </c>
      <c r="J439" s="523">
        <v>-310.02</v>
      </c>
      <c r="K439" s="523">
        <v>-275.57</v>
      </c>
    </row>
    <row r="440" spans="1:11" s="559" customFormat="1">
      <c r="A440" s="521" t="s">
        <v>346</v>
      </c>
      <c r="B440" s="522" t="s">
        <v>911</v>
      </c>
      <c r="C440" s="522"/>
      <c r="D440" s="522"/>
      <c r="E440" s="521" t="s">
        <v>903</v>
      </c>
      <c r="F440" s="522">
        <v>201603</v>
      </c>
      <c r="G440" s="523">
        <v>-153300.82999999999</v>
      </c>
      <c r="H440" s="590">
        <v>13.5</v>
      </c>
      <c r="I440" s="400">
        <v>3.1250000000000002E-3</v>
      </c>
      <c r="J440" s="523">
        <v>-6467.38</v>
      </c>
      <c r="K440" s="523">
        <v>-5748.78</v>
      </c>
    </row>
    <row r="441" spans="1:11" s="559" customFormat="1">
      <c r="A441" s="521" t="s">
        <v>346</v>
      </c>
      <c r="B441" s="522" t="s">
        <v>914</v>
      </c>
      <c r="C441" s="522"/>
      <c r="D441" s="522"/>
      <c r="E441" s="521" t="s">
        <v>905</v>
      </c>
      <c r="F441" s="522">
        <v>201603</v>
      </c>
      <c r="G441" s="523">
        <v>-172617.23</v>
      </c>
      <c r="H441" s="590">
        <v>13.5</v>
      </c>
      <c r="I441" s="400">
        <v>3.1250000000000002E-3</v>
      </c>
      <c r="J441" s="523">
        <v>-7282.29</v>
      </c>
      <c r="K441" s="523">
        <v>-6473.15</v>
      </c>
    </row>
    <row r="442" spans="1:11" s="559" customFormat="1">
      <c r="A442" s="521" t="s">
        <v>346</v>
      </c>
      <c r="B442" s="522" t="s">
        <v>918</v>
      </c>
      <c r="C442" s="522"/>
      <c r="D442" s="522"/>
      <c r="E442" s="521" t="s">
        <v>919</v>
      </c>
      <c r="F442" s="522">
        <v>201603</v>
      </c>
      <c r="G442" s="523">
        <v>-186946.09</v>
      </c>
      <c r="H442" s="590">
        <v>13.5</v>
      </c>
      <c r="I442" s="400">
        <v>3.1250000000000002E-3</v>
      </c>
      <c r="J442" s="523">
        <v>-7886.79</v>
      </c>
      <c r="K442" s="523">
        <v>-7010.48</v>
      </c>
    </row>
    <row r="443" spans="1:11" s="559" customFormat="1">
      <c r="A443" s="521" t="s">
        <v>346</v>
      </c>
      <c r="B443" s="522" t="s">
        <v>920</v>
      </c>
      <c r="C443" s="522"/>
      <c r="D443" s="522"/>
      <c r="E443" s="521" t="s">
        <v>906</v>
      </c>
      <c r="F443" s="522">
        <v>201603</v>
      </c>
      <c r="G443" s="523">
        <v>-101497.49</v>
      </c>
      <c r="H443" s="590">
        <v>13.5</v>
      </c>
      <c r="I443" s="400">
        <v>3.1250000000000002E-3</v>
      </c>
      <c r="J443" s="523">
        <v>-4281.93</v>
      </c>
      <c r="K443" s="523">
        <v>-3806.16</v>
      </c>
    </row>
    <row r="444" spans="1:11" s="559" customFormat="1">
      <c r="A444" s="521" t="s">
        <v>346</v>
      </c>
      <c r="B444" s="522" t="s">
        <v>923</v>
      </c>
      <c r="C444" s="522"/>
      <c r="D444" s="522"/>
      <c r="E444" s="521" t="s">
        <v>907</v>
      </c>
      <c r="F444" s="522">
        <v>201603</v>
      </c>
      <c r="G444" s="523">
        <v>-196063.65</v>
      </c>
      <c r="H444" s="590">
        <v>13.5</v>
      </c>
      <c r="I444" s="400">
        <v>3.1250000000000002E-3</v>
      </c>
      <c r="J444" s="523">
        <v>-8271.44</v>
      </c>
      <c r="K444" s="523">
        <v>-7352.39</v>
      </c>
    </row>
    <row r="445" spans="1:11" s="559" customFormat="1">
      <c r="A445" s="521" t="s">
        <v>346</v>
      </c>
      <c r="B445" s="522" t="s">
        <v>915</v>
      </c>
      <c r="C445" s="522"/>
      <c r="D445" s="522"/>
      <c r="E445" s="521" t="s">
        <v>909</v>
      </c>
      <c r="F445" s="522">
        <v>201603</v>
      </c>
      <c r="G445" s="523">
        <v>-81229.259999999995</v>
      </c>
      <c r="H445" s="590">
        <v>13.5</v>
      </c>
      <c r="I445" s="400">
        <v>3.1250000000000002E-3</v>
      </c>
      <c r="J445" s="523">
        <v>-3426.86</v>
      </c>
      <c r="K445" s="523">
        <v>-3046.1</v>
      </c>
    </row>
    <row r="446" spans="1:11" s="559" customFormat="1">
      <c r="A446" s="521" t="s">
        <v>346</v>
      </c>
      <c r="B446" s="522" t="s">
        <v>921</v>
      </c>
      <c r="C446" s="522"/>
      <c r="D446" s="522"/>
      <c r="E446" s="521" t="s">
        <v>922</v>
      </c>
      <c r="F446" s="522">
        <v>201603</v>
      </c>
      <c r="G446" s="523">
        <v>-130687.05</v>
      </c>
      <c r="H446" s="590">
        <v>13.5</v>
      </c>
      <c r="I446" s="400">
        <v>3.1250000000000002E-3</v>
      </c>
      <c r="J446" s="523">
        <v>-5513.36</v>
      </c>
      <c r="K446" s="523">
        <v>-4900.76</v>
      </c>
    </row>
    <row r="447" spans="1:11" s="559" customFormat="1">
      <c r="A447" s="521" t="s">
        <v>346</v>
      </c>
      <c r="B447" s="522" t="s">
        <v>651</v>
      </c>
      <c r="C447" s="522"/>
      <c r="D447" s="522"/>
      <c r="E447" s="521" t="s">
        <v>652</v>
      </c>
      <c r="F447" s="522">
        <v>201603</v>
      </c>
      <c r="G447" s="523">
        <v>-131700.42000000001</v>
      </c>
      <c r="H447" s="590">
        <v>13.5</v>
      </c>
      <c r="I447" s="400">
        <v>3.1250000000000002E-3</v>
      </c>
      <c r="J447" s="523">
        <v>-5556.11</v>
      </c>
      <c r="K447" s="523">
        <v>-4938.7700000000004</v>
      </c>
    </row>
    <row r="448" spans="1:11" s="559" customFormat="1">
      <c r="A448" s="521" t="s">
        <v>346</v>
      </c>
      <c r="B448" s="522" t="s">
        <v>912</v>
      </c>
      <c r="C448" s="522"/>
      <c r="D448" s="522"/>
      <c r="E448" s="521" t="s">
        <v>904</v>
      </c>
      <c r="F448" s="522">
        <v>201603</v>
      </c>
      <c r="G448" s="523">
        <v>-161690.85999999999</v>
      </c>
      <c r="H448" s="590">
        <v>13.5</v>
      </c>
      <c r="I448" s="400">
        <v>3.1250000000000002E-3</v>
      </c>
      <c r="J448" s="523">
        <v>-6821.33</v>
      </c>
      <c r="K448" s="523">
        <v>-6063.41</v>
      </c>
    </row>
    <row r="449" spans="1:11" s="559" customFormat="1">
      <c r="A449" s="521" t="s">
        <v>346</v>
      </c>
      <c r="B449" s="522" t="s">
        <v>913</v>
      </c>
      <c r="C449" s="522"/>
      <c r="D449" s="522"/>
      <c r="E449" s="521" t="s">
        <v>910</v>
      </c>
      <c r="F449" s="522">
        <v>201603</v>
      </c>
      <c r="G449" s="523">
        <v>-199375.28</v>
      </c>
      <c r="H449" s="590">
        <v>13.5</v>
      </c>
      <c r="I449" s="400">
        <v>3.1250000000000002E-3</v>
      </c>
      <c r="J449" s="523">
        <v>-8411.14</v>
      </c>
      <c r="K449" s="523">
        <v>-7476.57</v>
      </c>
    </row>
    <row r="450" spans="1:11" s="559" customFormat="1">
      <c r="A450" s="521" t="s">
        <v>346</v>
      </c>
      <c r="B450" s="522" t="s">
        <v>810</v>
      </c>
      <c r="C450" s="522"/>
      <c r="D450" s="522"/>
      <c r="E450" s="521" t="s">
        <v>811</v>
      </c>
      <c r="F450" s="522">
        <v>201603</v>
      </c>
      <c r="G450" s="523">
        <v>-101675.16</v>
      </c>
      <c r="H450" s="590">
        <v>13.5</v>
      </c>
      <c r="I450" s="400">
        <v>3.1250000000000002E-3</v>
      </c>
      <c r="J450" s="523">
        <v>-4289.42</v>
      </c>
      <c r="K450" s="523">
        <v>-3812.82</v>
      </c>
    </row>
    <row r="451" spans="1:11" s="559" customFormat="1">
      <c r="A451" s="521" t="s">
        <v>346</v>
      </c>
      <c r="B451" s="522" t="s">
        <v>928</v>
      </c>
      <c r="C451" s="522"/>
      <c r="D451" s="522"/>
      <c r="E451" s="521" t="s">
        <v>929</v>
      </c>
      <c r="F451" s="522">
        <v>201604</v>
      </c>
      <c r="G451" s="523">
        <v>-403.76</v>
      </c>
      <c r="H451" s="590">
        <v>12.5</v>
      </c>
      <c r="I451" s="400">
        <v>3.1250000000000002E-3</v>
      </c>
      <c r="J451" s="523">
        <v>-15.77</v>
      </c>
      <c r="K451" s="523">
        <v>-15.14</v>
      </c>
    </row>
    <row r="452" spans="1:11" s="559" customFormat="1">
      <c r="A452" s="521" t="s">
        <v>346</v>
      </c>
      <c r="B452" s="522" t="s">
        <v>397</v>
      </c>
      <c r="C452" s="522"/>
      <c r="D452" s="522"/>
      <c r="E452" s="521" t="s">
        <v>398</v>
      </c>
      <c r="F452" s="522">
        <v>201604</v>
      </c>
      <c r="G452" s="523">
        <v>-792.78</v>
      </c>
      <c r="H452" s="590">
        <v>12.5</v>
      </c>
      <c r="I452" s="400">
        <v>3.1250000000000002E-3</v>
      </c>
      <c r="J452" s="523">
        <v>-30.97</v>
      </c>
      <c r="K452" s="523">
        <v>-29.73</v>
      </c>
    </row>
    <row r="453" spans="1:11" s="559" customFormat="1">
      <c r="A453" s="521" t="s">
        <v>346</v>
      </c>
      <c r="B453" s="522" t="s">
        <v>347</v>
      </c>
      <c r="C453" s="522"/>
      <c r="D453" s="522"/>
      <c r="E453" s="521" t="s">
        <v>348</v>
      </c>
      <c r="F453" s="522">
        <v>201604</v>
      </c>
      <c r="G453" s="523">
        <v>-51967.65</v>
      </c>
      <c r="H453" s="590">
        <v>12.5</v>
      </c>
      <c r="I453" s="400">
        <v>3.1250000000000002E-3</v>
      </c>
      <c r="J453" s="523">
        <v>-2029.99</v>
      </c>
      <c r="K453" s="523">
        <v>-1948.79</v>
      </c>
    </row>
    <row r="454" spans="1:11" s="559" customFormat="1">
      <c r="A454" s="521" t="s">
        <v>346</v>
      </c>
      <c r="B454" s="522" t="s">
        <v>349</v>
      </c>
      <c r="C454" s="522"/>
      <c r="D454" s="522"/>
      <c r="E454" s="521" t="s">
        <v>350</v>
      </c>
      <c r="F454" s="522">
        <v>201604</v>
      </c>
      <c r="G454" s="523">
        <v>-801.25</v>
      </c>
      <c r="H454" s="590">
        <v>12.5</v>
      </c>
      <c r="I454" s="400">
        <v>3.1250000000000002E-3</v>
      </c>
      <c r="J454" s="523">
        <v>-31.3</v>
      </c>
      <c r="K454" s="523">
        <v>-30.05</v>
      </c>
    </row>
    <row r="455" spans="1:11" s="559" customFormat="1">
      <c r="A455" s="521" t="s">
        <v>346</v>
      </c>
      <c r="B455" s="522" t="s">
        <v>399</v>
      </c>
      <c r="C455" s="522"/>
      <c r="D455" s="522"/>
      <c r="E455" s="521" t="s">
        <v>400</v>
      </c>
      <c r="F455" s="522">
        <v>201604</v>
      </c>
      <c r="G455" s="523">
        <v>-106.91</v>
      </c>
      <c r="H455" s="590">
        <v>12.5</v>
      </c>
      <c r="I455" s="400">
        <v>3.1250000000000002E-3</v>
      </c>
      <c r="J455" s="523">
        <v>-4.18</v>
      </c>
      <c r="K455" s="523">
        <v>-4.01</v>
      </c>
    </row>
    <row r="456" spans="1:11" s="559" customFormat="1">
      <c r="A456" s="521" t="s">
        <v>346</v>
      </c>
      <c r="B456" s="522" t="s">
        <v>367</v>
      </c>
      <c r="C456" s="522"/>
      <c r="D456" s="522"/>
      <c r="E456" s="521" t="s">
        <v>368</v>
      </c>
      <c r="F456" s="522">
        <v>201604</v>
      </c>
      <c r="G456" s="523">
        <v>-247.24</v>
      </c>
      <c r="H456" s="590">
        <v>12.5</v>
      </c>
      <c r="I456" s="400">
        <v>3.1250000000000002E-3</v>
      </c>
      <c r="J456" s="523">
        <v>-9.66</v>
      </c>
      <c r="K456" s="523">
        <v>-9.27</v>
      </c>
    </row>
    <row r="457" spans="1:11" s="559" customFormat="1">
      <c r="A457" s="521" t="s">
        <v>346</v>
      </c>
      <c r="B457" s="522" t="s">
        <v>369</v>
      </c>
      <c r="C457" s="522"/>
      <c r="D457" s="522"/>
      <c r="E457" s="521" t="s">
        <v>370</v>
      </c>
      <c r="F457" s="522">
        <v>201604</v>
      </c>
      <c r="G457" s="523">
        <v>-46.01</v>
      </c>
      <c r="H457" s="590">
        <v>12.5</v>
      </c>
      <c r="I457" s="400">
        <v>3.1250000000000002E-3</v>
      </c>
      <c r="J457" s="523">
        <v>-1.8</v>
      </c>
      <c r="K457" s="523">
        <v>-1.73</v>
      </c>
    </row>
    <row r="458" spans="1:11" s="559" customFormat="1">
      <c r="A458" s="521" t="s">
        <v>346</v>
      </c>
      <c r="B458" s="522" t="s">
        <v>401</v>
      </c>
      <c r="C458" s="522"/>
      <c r="D458" s="522"/>
      <c r="E458" s="521" t="s">
        <v>402</v>
      </c>
      <c r="F458" s="522">
        <v>201604</v>
      </c>
      <c r="G458" s="523">
        <v>-296.2</v>
      </c>
      <c r="H458" s="590">
        <v>12.5</v>
      </c>
      <c r="I458" s="400">
        <v>3.1250000000000002E-3</v>
      </c>
      <c r="J458" s="523">
        <v>-11.57</v>
      </c>
      <c r="K458" s="523">
        <v>-11.11</v>
      </c>
    </row>
    <row r="459" spans="1:11" s="559" customFormat="1">
      <c r="A459" s="521" t="s">
        <v>346</v>
      </c>
      <c r="B459" s="522" t="s">
        <v>377</v>
      </c>
      <c r="C459" s="522"/>
      <c r="D459" s="522"/>
      <c r="E459" s="521" t="s">
        <v>378</v>
      </c>
      <c r="F459" s="522">
        <v>201604</v>
      </c>
      <c r="G459" s="523">
        <v>-2890.97</v>
      </c>
      <c r="H459" s="590">
        <v>12.5</v>
      </c>
      <c r="I459" s="400">
        <v>3.1250000000000002E-3</v>
      </c>
      <c r="J459" s="523">
        <v>-112.93</v>
      </c>
      <c r="K459" s="523">
        <v>-108.41</v>
      </c>
    </row>
    <row r="460" spans="1:11" s="559" customFormat="1">
      <c r="A460" s="521" t="s">
        <v>346</v>
      </c>
      <c r="B460" s="522" t="s">
        <v>403</v>
      </c>
      <c r="C460" s="522"/>
      <c r="D460" s="522"/>
      <c r="E460" s="521" t="s">
        <v>404</v>
      </c>
      <c r="F460" s="522">
        <v>201604</v>
      </c>
      <c r="G460" s="523">
        <v>-3138.32</v>
      </c>
      <c r="H460" s="590">
        <v>12.5</v>
      </c>
      <c r="I460" s="400">
        <v>3.1250000000000002E-3</v>
      </c>
      <c r="J460" s="523">
        <v>-122.59</v>
      </c>
      <c r="K460" s="523">
        <v>-117.69</v>
      </c>
    </row>
    <row r="461" spans="1:11" s="559" customFormat="1">
      <c r="A461" s="521" t="s">
        <v>346</v>
      </c>
      <c r="B461" s="522" t="s">
        <v>385</v>
      </c>
      <c r="C461" s="522"/>
      <c r="D461" s="522"/>
      <c r="E461" s="521" t="s">
        <v>386</v>
      </c>
      <c r="F461" s="522">
        <v>201604</v>
      </c>
      <c r="G461" s="523">
        <v>-16527.93</v>
      </c>
      <c r="H461" s="590">
        <v>12.5</v>
      </c>
      <c r="I461" s="400">
        <v>3.1250000000000002E-3</v>
      </c>
      <c r="J461" s="523">
        <v>-645.62</v>
      </c>
      <c r="K461" s="523">
        <v>-619.79999999999995</v>
      </c>
    </row>
    <row r="462" spans="1:11" s="559" customFormat="1">
      <c r="A462" s="521" t="s">
        <v>346</v>
      </c>
      <c r="B462" s="522" t="s">
        <v>387</v>
      </c>
      <c r="C462" s="522"/>
      <c r="D462" s="522"/>
      <c r="E462" s="521" t="s">
        <v>388</v>
      </c>
      <c r="F462" s="522">
        <v>201604</v>
      </c>
      <c r="G462" s="523">
        <v>-723.74</v>
      </c>
      <c r="H462" s="590">
        <v>12.5</v>
      </c>
      <c r="I462" s="400">
        <v>3.1250000000000002E-3</v>
      </c>
      <c r="J462" s="523">
        <v>-28.27</v>
      </c>
      <c r="K462" s="523">
        <v>-27.14</v>
      </c>
    </row>
    <row r="463" spans="1:11" s="559" customFormat="1">
      <c r="A463" s="521" t="s">
        <v>346</v>
      </c>
      <c r="B463" s="522" t="s">
        <v>389</v>
      </c>
      <c r="C463" s="522"/>
      <c r="D463" s="522"/>
      <c r="E463" s="521" t="s">
        <v>390</v>
      </c>
      <c r="F463" s="522">
        <v>201604</v>
      </c>
      <c r="G463" s="523">
        <v>-565.52</v>
      </c>
      <c r="H463" s="590">
        <v>12.5</v>
      </c>
      <c r="I463" s="400">
        <v>3.1250000000000002E-3</v>
      </c>
      <c r="J463" s="523">
        <v>-22.09</v>
      </c>
      <c r="K463" s="523">
        <v>-21.21</v>
      </c>
    </row>
    <row r="464" spans="1:11" s="559" customFormat="1">
      <c r="A464" s="521" t="s">
        <v>346</v>
      </c>
      <c r="B464" s="522" t="s">
        <v>916</v>
      </c>
      <c r="C464" s="522"/>
      <c r="D464" s="522"/>
      <c r="E464" s="521" t="s">
        <v>908</v>
      </c>
      <c r="F464" s="522">
        <v>201604</v>
      </c>
      <c r="G464" s="523">
        <v>-158127.64000000001</v>
      </c>
      <c r="H464" s="590">
        <v>12.5</v>
      </c>
      <c r="I464" s="400">
        <v>3.1250000000000002E-3</v>
      </c>
      <c r="J464" s="523">
        <v>-6176.86</v>
      </c>
      <c r="K464" s="523">
        <v>-5929.79</v>
      </c>
    </row>
    <row r="465" spans="1:11" s="559" customFormat="1">
      <c r="A465" s="521" t="s">
        <v>346</v>
      </c>
      <c r="B465" s="522" t="s">
        <v>924</v>
      </c>
      <c r="C465" s="522"/>
      <c r="D465" s="522"/>
      <c r="E465" s="521" t="s">
        <v>925</v>
      </c>
      <c r="F465" s="522">
        <v>201604</v>
      </c>
      <c r="G465" s="523">
        <v>-102963.68</v>
      </c>
      <c r="H465" s="590">
        <v>12.5</v>
      </c>
      <c r="I465" s="400">
        <v>3.1250000000000002E-3</v>
      </c>
      <c r="J465" s="523">
        <v>-4022.02</v>
      </c>
      <c r="K465" s="523">
        <v>-3861.14</v>
      </c>
    </row>
    <row r="466" spans="1:11" s="559" customFormat="1">
      <c r="A466" s="521" t="s">
        <v>346</v>
      </c>
      <c r="B466" s="522" t="s">
        <v>801</v>
      </c>
      <c r="C466" s="522"/>
      <c r="D466" s="522"/>
      <c r="E466" s="521" t="s">
        <v>802</v>
      </c>
      <c r="F466" s="522">
        <v>201604</v>
      </c>
      <c r="G466" s="523">
        <v>-26376.080000000002</v>
      </c>
      <c r="H466" s="590">
        <v>12.5</v>
      </c>
      <c r="I466" s="400">
        <v>3.1250000000000002E-3</v>
      </c>
      <c r="J466" s="523">
        <v>-1030.32</v>
      </c>
      <c r="K466" s="523">
        <v>-989.1</v>
      </c>
    </row>
    <row r="467" spans="1:11" s="559" customFormat="1">
      <c r="A467" s="521" t="s">
        <v>346</v>
      </c>
      <c r="B467" s="522" t="s">
        <v>750</v>
      </c>
      <c r="C467" s="522"/>
      <c r="D467" s="522"/>
      <c r="E467" s="521" t="s">
        <v>751</v>
      </c>
      <c r="F467" s="522">
        <v>201605</v>
      </c>
      <c r="G467" s="523">
        <v>-42.31</v>
      </c>
      <c r="H467" s="590">
        <v>11.5</v>
      </c>
      <c r="I467" s="400">
        <v>3.1250000000000002E-3</v>
      </c>
      <c r="J467" s="523">
        <v>-1.52</v>
      </c>
      <c r="K467" s="523">
        <v>-1.59</v>
      </c>
    </row>
    <row r="468" spans="1:11" s="559" customFormat="1">
      <c r="A468" s="521" t="s">
        <v>346</v>
      </c>
      <c r="B468" s="522" t="s">
        <v>397</v>
      </c>
      <c r="C468" s="522"/>
      <c r="D468" s="522"/>
      <c r="E468" s="521" t="s">
        <v>398</v>
      </c>
      <c r="F468" s="522">
        <v>201605</v>
      </c>
      <c r="G468" s="523">
        <v>-476.77</v>
      </c>
      <c r="H468" s="590">
        <v>11.5</v>
      </c>
      <c r="I468" s="400">
        <v>3.1250000000000002E-3</v>
      </c>
      <c r="J468" s="523">
        <v>-17.13</v>
      </c>
      <c r="K468" s="523">
        <v>-17.88</v>
      </c>
    </row>
    <row r="469" spans="1:11" s="559" customFormat="1">
      <c r="A469" s="521" t="s">
        <v>346</v>
      </c>
      <c r="B469" s="522" t="s">
        <v>347</v>
      </c>
      <c r="C469" s="522"/>
      <c r="D469" s="522"/>
      <c r="E469" s="521" t="s">
        <v>348</v>
      </c>
      <c r="F469" s="522">
        <v>201605</v>
      </c>
      <c r="G469" s="523">
        <v>-61864.31</v>
      </c>
      <c r="H469" s="590">
        <v>11.5</v>
      </c>
      <c r="I469" s="400">
        <v>3.1250000000000002E-3</v>
      </c>
      <c r="J469" s="523">
        <v>-2223.25</v>
      </c>
      <c r="K469" s="523">
        <v>-2319.91</v>
      </c>
    </row>
    <row r="470" spans="1:11" s="559" customFormat="1">
      <c r="A470" s="521" t="s">
        <v>346</v>
      </c>
      <c r="B470" s="522" t="s">
        <v>349</v>
      </c>
      <c r="C470" s="522"/>
      <c r="D470" s="522"/>
      <c r="E470" s="521" t="s">
        <v>350</v>
      </c>
      <c r="F470" s="522">
        <v>201605</v>
      </c>
      <c r="G470" s="523">
        <v>-2087.2600000000002</v>
      </c>
      <c r="H470" s="590">
        <v>11.5</v>
      </c>
      <c r="I470" s="400">
        <v>3.1250000000000002E-3</v>
      </c>
      <c r="J470" s="523">
        <v>-75.010000000000005</v>
      </c>
      <c r="K470" s="523">
        <v>-78.27</v>
      </c>
    </row>
    <row r="471" spans="1:11" s="559" customFormat="1">
      <c r="A471" s="521" t="s">
        <v>346</v>
      </c>
      <c r="B471" s="522" t="s">
        <v>351</v>
      </c>
      <c r="C471" s="522"/>
      <c r="D471" s="522"/>
      <c r="E471" s="521" t="s">
        <v>352</v>
      </c>
      <c r="F471" s="522">
        <v>201605</v>
      </c>
      <c r="G471" s="523">
        <v>-40.729999999999997</v>
      </c>
      <c r="H471" s="590">
        <v>11.5</v>
      </c>
      <c r="I471" s="400">
        <v>3.1250000000000002E-3</v>
      </c>
      <c r="J471" s="523">
        <v>-1.46</v>
      </c>
      <c r="K471" s="523">
        <v>-1.53</v>
      </c>
    </row>
    <row r="472" spans="1:11" s="559" customFormat="1">
      <c r="A472" s="521" t="s">
        <v>346</v>
      </c>
      <c r="B472" s="522" t="s">
        <v>752</v>
      </c>
      <c r="C472" s="522"/>
      <c r="D472" s="522"/>
      <c r="E472" s="521" t="s">
        <v>753</v>
      </c>
      <c r="F472" s="522">
        <v>201605</v>
      </c>
      <c r="G472" s="523">
        <v>-75.790000000000006</v>
      </c>
      <c r="H472" s="590">
        <v>11.5</v>
      </c>
      <c r="I472" s="400">
        <v>3.1250000000000002E-3</v>
      </c>
      <c r="J472" s="523">
        <v>-2.72</v>
      </c>
      <c r="K472" s="523">
        <v>-2.84</v>
      </c>
    </row>
    <row r="473" spans="1:11" s="559" customFormat="1">
      <c r="A473" s="521" t="s">
        <v>346</v>
      </c>
      <c r="B473" s="522" t="s">
        <v>367</v>
      </c>
      <c r="C473" s="522"/>
      <c r="D473" s="522"/>
      <c r="E473" s="521" t="s">
        <v>368</v>
      </c>
      <c r="F473" s="522">
        <v>201605</v>
      </c>
      <c r="G473" s="523">
        <v>-607.29</v>
      </c>
      <c r="H473" s="590">
        <v>11.5</v>
      </c>
      <c r="I473" s="400">
        <v>3.1250000000000002E-3</v>
      </c>
      <c r="J473" s="523">
        <v>-21.82</v>
      </c>
      <c r="K473" s="523">
        <v>-22.77</v>
      </c>
    </row>
    <row r="474" spans="1:11" s="559" customFormat="1">
      <c r="A474" s="521" t="s">
        <v>346</v>
      </c>
      <c r="B474" s="522" t="s">
        <v>548</v>
      </c>
      <c r="C474" s="522"/>
      <c r="D474" s="522"/>
      <c r="E474" s="521" t="s">
        <v>549</v>
      </c>
      <c r="F474" s="522">
        <v>201605</v>
      </c>
      <c r="G474" s="523">
        <v>-229.38</v>
      </c>
      <c r="H474" s="590">
        <v>11.5</v>
      </c>
      <c r="I474" s="400">
        <v>3.1250000000000002E-3</v>
      </c>
      <c r="J474" s="523">
        <v>-8.24</v>
      </c>
      <c r="K474" s="523">
        <v>-8.6</v>
      </c>
    </row>
    <row r="475" spans="1:11" s="559" customFormat="1">
      <c r="A475" s="521" t="s">
        <v>346</v>
      </c>
      <c r="B475" s="522" t="s">
        <v>377</v>
      </c>
      <c r="C475" s="522"/>
      <c r="D475" s="522"/>
      <c r="E475" s="521" t="s">
        <v>378</v>
      </c>
      <c r="F475" s="522">
        <v>201605</v>
      </c>
      <c r="G475" s="523">
        <v>-3369.96</v>
      </c>
      <c r="H475" s="590">
        <v>11.5</v>
      </c>
      <c r="I475" s="400">
        <v>3.1250000000000002E-3</v>
      </c>
      <c r="J475" s="523">
        <v>-121.11</v>
      </c>
      <c r="K475" s="523">
        <v>-126.37</v>
      </c>
    </row>
    <row r="476" spans="1:11" s="559" customFormat="1">
      <c r="A476" s="521" t="s">
        <v>346</v>
      </c>
      <c r="B476" s="522" t="s">
        <v>379</v>
      </c>
      <c r="C476" s="522"/>
      <c r="D476" s="522"/>
      <c r="E476" s="521" t="s">
        <v>380</v>
      </c>
      <c r="F476" s="522">
        <v>201605</v>
      </c>
      <c r="G476" s="523">
        <v>-458.17</v>
      </c>
      <c r="H476" s="590">
        <v>11.5</v>
      </c>
      <c r="I476" s="400">
        <v>3.1250000000000002E-3</v>
      </c>
      <c r="J476" s="523">
        <v>-16.47</v>
      </c>
      <c r="K476" s="523">
        <v>-17.18</v>
      </c>
    </row>
    <row r="477" spans="1:11" s="559" customFormat="1">
      <c r="A477" s="521" t="s">
        <v>346</v>
      </c>
      <c r="B477" s="522" t="s">
        <v>383</v>
      </c>
      <c r="C477" s="522"/>
      <c r="D477" s="522"/>
      <c r="E477" s="521" t="s">
        <v>384</v>
      </c>
      <c r="F477" s="522">
        <v>201605</v>
      </c>
      <c r="G477" s="523">
        <v>-3184.79</v>
      </c>
      <c r="H477" s="590">
        <v>11.5</v>
      </c>
      <c r="I477" s="400">
        <v>3.1250000000000002E-3</v>
      </c>
      <c r="J477" s="523">
        <v>-114.45</v>
      </c>
      <c r="K477" s="523">
        <v>-119.43</v>
      </c>
    </row>
    <row r="478" spans="1:11" s="559" customFormat="1">
      <c r="A478" s="521" t="s">
        <v>346</v>
      </c>
      <c r="B478" s="522" t="s">
        <v>403</v>
      </c>
      <c r="C478" s="522"/>
      <c r="D478" s="522"/>
      <c r="E478" s="521" t="s">
        <v>404</v>
      </c>
      <c r="F478" s="522">
        <v>201605</v>
      </c>
      <c r="G478" s="523">
        <v>-770.63</v>
      </c>
      <c r="H478" s="590">
        <v>11.5</v>
      </c>
      <c r="I478" s="400">
        <v>3.1250000000000002E-3</v>
      </c>
      <c r="J478" s="523">
        <v>-27.69</v>
      </c>
      <c r="K478" s="523">
        <v>-28.9</v>
      </c>
    </row>
    <row r="479" spans="1:11" s="559" customFormat="1">
      <c r="A479" s="521" t="s">
        <v>346</v>
      </c>
      <c r="B479" s="522" t="s">
        <v>385</v>
      </c>
      <c r="C479" s="522"/>
      <c r="D479" s="522"/>
      <c r="E479" s="521" t="s">
        <v>386</v>
      </c>
      <c r="F479" s="522">
        <v>201605</v>
      </c>
      <c r="G479" s="523">
        <v>-30645.15</v>
      </c>
      <c r="H479" s="590">
        <v>11.5</v>
      </c>
      <c r="I479" s="400">
        <v>3.1250000000000002E-3</v>
      </c>
      <c r="J479" s="523">
        <v>-1101.31</v>
      </c>
      <c r="K479" s="523">
        <v>-1149.19</v>
      </c>
    </row>
    <row r="480" spans="1:11" s="559" customFormat="1">
      <c r="A480" s="521" t="s">
        <v>346</v>
      </c>
      <c r="B480" s="522" t="s">
        <v>387</v>
      </c>
      <c r="C480" s="522"/>
      <c r="D480" s="522"/>
      <c r="E480" s="521" t="s">
        <v>388</v>
      </c>
      <c r="F480" s="522">
        <v>201605</v>
      </c>
      <c r="G480" s="523">
        <v>-61664.04</v>
      </c>
      <c r="H480" s="590">
        <v>11.5</v>
      </c>
      <c r="I480" s="400">
        <v>3.1250000000000002E-3</v>
      </c>
      <c r="J480" s="523">
        <v>-2216.0500000000002</v>
      </c>
      <c r="K480" s="523">
        <v>-2312.4</v>
      </c>
    </row>
    <row r="481" spans="1:11" s="559" customFormat="1">
      <c r="A481" s="521" t="s">
        <v>346</v>
      </c>
      <c r="B481" s="522" t="s">
        <v>389</v>
      </c>
      <c r="C481" s="522"/>
      <c r="D481" s="522"/>
      <c r="E481" s="521" t="s">
        <v>390</v>
      </c>
      <c r="F481" s="522">
        <v>201605</v>
      </c>
      <c r="G481" s="523">
        <v>-5305.22</v>
      </c>
      <c r="H481" s="590">
        <v>11.5</v>
      </c>
      <c r="I481" s="400">
        <v>3.1250000000000002E-3</v>
      </c>
      <c r="J481" s="523">
        <v>-190.66</v>
      </c>
      <c r="K481" s="523">
        <v>-198.95</v>
      </c>
    </row>
    <row r="482" spans="1:11" s="559" customFormat="1">
      <c r="A482" s="521" t="s">
        <v>346</v>
      </c>
      <c r="B482" s="522" t="s">
        <v>790</v>
      </c>
      <c r="C482" s="522"/>
      <c r="D482" s="522"/>
      <c r="E482" s="521" t="s">
        <v>791</v>
      </c>
      <c r="F482" s="522">
        <v>201605</v>
      </c>
      <c r="G482" s="523">
        <v>-41582.44</v>
      </c>
      <c r="H482" s="590">
        <v>11.5</v>
      </c>
      <c r="I482" s="400">
        <v>3.1250000000000002E-3</v>
      </c>
      <c r="J482" s="523">
        <v>-1494.37</v>
      </c>
      <c r="K482" s="523">
        <v>-1559.34</v>
      </c>
    </row>
    <row r="483" spans="1:11" s="559" customFormat="1">
      <c r="A483" s="521" t="s">
        <v>346</v>
      </c>
      <c r="B483" s="522" t="s">
        <v>397</v>
      </c>
      <c r="C483" s="522"/>
      <c r="D483" s="522"/>
      <c r="E483" s="521" t="s">
        <v>398</v>
      </c>
      <c r="F483" s="522">
        <v>201606</v>
      </c>
      <c r="G483" s="523">
        <v>-1255.0899999999999</v>
      </c>
      <c r="H483" s="590">
        <v>10.5</v>
      </c>
      <c r="I483" s="400">
        <v>3.1250000000000002E-3</v>
      </c>
      <c r="J483" s="523">
        <v>-41.18</v>
      </c>
      <c r="K483" s="523">
        <v>-47.07</v>
      </c>
    </row>
    <row r="484" spans="1:11" s="559" customFormat="1">
      <c r="A484" s="521" t="s">
        <v>346</v>
      </c>
      <c r="B484" s="522" t="s">
        <v>347</v>
      </c>
      <c r="C484" s="522"/>
      <c r="D484" s="522"/>
      <c r="E484" s="521" t="s">
        <v>348</v>
      </c>
      <c r="F484" s="522">
        <v>201606</v>
      </c>
      <c r="G484" s="523">
        <v>-58688.27</v>
      </c>
      <c r="H484" s="590">
        <v>10.5</v>
      </c>
      <c r="I484" s="400">
        <v>3.1250000000000002E-3</v>
      </c>
      <c r="J484" s="523">
        <v>-1925.71</v>
      </c>
      <c r="K484" s="523">
        <v>-2200.81</v>
      </c>
    </row>
    <row r="485" spans="1:11" s="559" customFormat="1">
      <c r="A485" s="521" t="s">
        <v>346</v>
      </c>
      <c r="B485" s="522" t="s">
        <v>355</v>
      </c>
      <c r="C485" s="522"/>
      <c r="D485" s="522"/>
      <c r="E485" s="521" t="s">
        <v>356</v>
      </c>
      <c r="F485" s="522">
        <v>201606</v>
      </c>
      <c r="G485" s="523">
        <v>-479.68</v>
      </c>
      <c r="H485" s="590">
        <v>10.5</v>
      </c>
      <c r="I485" s="400">
        <v>3.1250000000000002E-3</v>
      </c>
      <c r="J485" s="523">
        <v>-15.74</v>
      </c>
      <c r="K485" s="523">
        <v>-17.989999999999998</v>
      </c>
    </row>
    <row r="486" spans="1:11" s="559" customFormat="1">
      <c r="A486" s="521" t="s">
        <v>346</v>
      </c>
      <c r="B486" s="522" t="s">
        <v>361</v>
      </c>
      <c r="C486" s="522"/>
      <c r="D486" s="522"/>
      <c r="E486" s="521" t="s">
        <v>362</v>
      </c>
      <c r="F486" s="522">
        <v>201606</v>
      </c>
      <c r="G486" s="523">
        <v>-22236.05</v>
      </c>
      <c r="H486" s="590">
        <v>10.5</v>
      </c>
      <c r="I486" s="400">
        <v>3.1250000000000002E-3</v>
      </c>
      <c r="J486" s="523">
        <v>-729.62</v>
      </c>
      <c r="K486" s="523">
        <v>-833.85</v>
      </c>
    </row>
    <row r="487" spans="1:11" s="559" customFormat="1">
      <c r="A487" s="521" t="s">
        <v>346</v>
      </c>
      <c r="B487" s="522" t="s">
        <v>406</v>
      </c>
      <c r="C487" s="522"/>
      <c r="D487" s="522"/>
      <c r="E487" s="521" t="s">
        <v>407</v>
      </c>
      <c r="F487" s="522">
        <v>201606</v>
      </c>
      <c r="G487" s="523">
        <v>-41.65</v>
      </c>
      <c r="H487" s="590">
        <v>10.5</v>
      </c>
      <c r="I487" s="400">
        <v>3.1250000000000002E-3</v>
      </c>
      <c r="J487" s="523">
        <v>-1.37</v>
      </c>
      <c r="K487" s="523">
        <v>-1.56</v>
      </c>
    </row>
    <row r="488" spans="1:11" s="559" customFormat="1">
      <c r="A488" s="521" t="s">
        <v>346</v>
      </c>
      <c r="B488" s="522" t="s">
        <v>367</v>
      </c>
      <c r="C488" s="522"/>
      <c r="D488" s="522"/>
      <c r="E488" s="521" t="s">
        <v>368</v>
      </c>
      <c r="F488" s="522">
        <v>201606</v>
      </c>
      <c r="G488" s="523">
        <v>-544.01</v>
      </c>
      <c r="H488" s="590">
        <v>10.5</v>
      </c>
      <c r="I488" s="400">
        <v>3.1250000000000002E-3</v>
      </c>
      <c r="J488" s="523">
        <v>-17.850000000000001</v>
      </c>
      <c r="K488" s="523">
        <v>-20.399999999999999</v>
      </c>
    </row>
    <row r="489" spans="1:11" s="559" customFormat="1">
      <c r="A489" s="521" t="s">
        <v>346</v>
      </c>
      <c r="B489" s="522" t="s">
        <v>369</v>
      </c>
      <c r="C489" s="522"/>
      <c r="D489" s="522"/>
      <c r="E489" s="521" t="s">
        <v>370</v>
      </c>
      <c r="F489" s="522">
        <v>201606</v>
      </c>
      <c r="G489" s="523">
        <v>-176.28</v>
      </c>
      <c r="H489" s="590">
        <v>10.5</v>
      </c>
      <c r="I489" s="400">
        <v>3.1250000000000002E-3</v>
      </c>
      <c r="J489" s="523">
        <v>-5.78</v>
      </c>
      <c r="K489" s="523">
        <v>-6.61</v>
      </c>
    </row>
    <row r="490" spans="1:11" s="559" customFormat="1">
      <c r="A490" s="521" t="s">
        <v>346</v>
      </c>
      <c r="B490" s="522" t="s">
        <v>401</v>
      </c>
      <c r="C490" s="522"/>
      <c r="D490" s="522"/>
      <c r="E490" s="521" t="s">
        <v>402</v>
      </c>
      <c r="F490" s="522">
        <v>201606</v>
      </c>
      <c r="G490" s="523">
        <v>-27.6</v>
      </c>
      <c r="H490" s="590">
        <v>10.5</v>
      </c>
      <c r="I490" s="400">
        <v>3.1250000000000002E-3</v>
      </c>
      <c r="J490" s="523">
        <v>-0.91</v>
      </c>
      <c r="K490" s="523">
        <v>-1.04</v>
      </c>
    </row>
    <row r="491" spans="1:11" s="559" customFormat="1">
      <c r="A491" s="521" t="s">
        <v>346</v>
      </c>
      <c r="B491" s="522" t="s">
        <v>377</v>
      </c>
      <c r="C491" s="522"/>
      <c r="D491" s="522"/>
      <c r="E491" s="521" t="s">
        <v>378</v>
      </c>
      <c r="F491" s="522">
        <v>201606</v>
      </c>
      <c r="G491" s="523">
        <v>-5272.92</v>
      </c>
      <c r="H491" s="590">
        <v>10.5</v>
      </c>
      <c r="I491" s="400">
        <v>3.1250000000000002E-3</v>
      </c>
      <c r="J491" s="523">
        <v>-173.02</v>
      </c>
      <c r="K491" s="523">
        <v>-197.73</v>
      </c>
    </row>
    <row r="492" spans="1:11" s="559" customFormat="1">
      <c r="A492" s="521" t="s">
        <v>346</v>
      </c>
      <c r="B492" s="522" t="s">
        <v>379</v>
      </c>
      <c r="C492" s="522"/>
      <c r="D492" s="522"/>
      <c r="E492" s="521" t="s">
        <v>380</v>
      </c>
      <c r="F492" s="522">
        <v>201606</v>
      </c>
      <c r="G492" s="523">
        <v>-1113.52</v>
      </c>
      <c r="H492" s="590">
        <v>10.5</v>
      </c>
      <c r="I492" s="400">
        <v>3.1250000000000002E-3</v>
      </c>
      <c r="J492" s="523">
        <v>-36.54</v>
      </c>
      <c r="K492" s="523">
        <v>-41.76</v>
      </c>
    </row>
    <row r="493" spans="1:11" s="559" customFormat="1">
      <c r="A493" s="521" t="s">
        <v>346</v>
      </c>
      <c r="B493" s="522" t="s">
        <v>385</v>
      </c>
      <c r="C493" s="522"/>
      <c r="D493" s="522"/>
      <c r="E493" s="521" t="s">
        <v>386</v>
      </c>
      <c r="F493" s="522">
        <v>201606</v>
      </c>
      <c r="G493" s="523">
        <v>-28264.83</v>
      </c>
      <c r="H493" s="590">
        <v>10.5</v>
      </c>
      <c r="I493" s="400">
        <v>3.1250000000000002E-3</v>
      </c>
      <c r="J493" s="523">
        <v>-927.44</v>
      </c>
      <c r="K493" s="523">
        <v>-1059.93</v>
      </c>
    </row>
    <row r="494" spans="1:11" s="559" customFormat="1">
      <c r="A494" s="521" t="s">
        <v>346</v>
      </c>
      <c r="B494" s="522" t="s">
        <v>387</v>
      </c>
      <c r="C494" s="522"/>
      <c r="D494" s="522"/>
      <c r="E494" s="521" t="s">
        <v>388</v>
      </c>
      <c r="F494" s="522">
        <v>201606</v>
      </c>
      <c r="G494" s="523">
        <v>-3217.5</v>
      </c>
      <c r="H494" s="590">
        <v>10.5</v>
      </c>
      <c r="I494" s="400">
        <v>3.1250000000000002E-3</v>
      </c>
      <c r="J494" s="523">
        <v>-105.57</v>
      </c>
      <c r="K494" s="523">
        <v>-120.66</v>
      </c>
    </row>
    <row r="495" spans="1:11" s="559" customFormat="1">
      <c r="A495" s="521" t="s">
        <v>346</v>
      </c>
      <c r="B495" s="522" t="s">
        <v>784</v>
      </c>
      <c r="C495" s="522"/>
      <c r="D495" s="522"/>
      <c r="E495" s="521" t="s">
        <v>785</v>
      </c>
      <c r="F495" s="522">
        <v>201606</v>
      </c>
      <c r="G495" s="523">
        <v>-109055.76</v>
      </c>
      <c r="H495" s="590">
        <v>10.5</v>
      </c>
      <c r="I495" s="400">
        <v>3.1250000000000002E-3</v>
      </c>
      <c r="J495" s="523">
        <v>-3578.39</v>
      </c>
      <c r="K495" s="523">
        <v>-4089.59</v>
      </c>
    </row>
    <row r="496" spans="1:11" s="559" customFormat="1">
      <c r="A496" s="521" t="s">
        <v>346</v>
      </c>
      <c r="B496" s="522" t="s">
        <v>803</v>
      </c>
      <c r="C496" s="522"/>
      <c r="D496" s="522"/>
      <c r="E496" s="521" t="s">
        <v>804</v>
      </c>
      <c r="F496" s="522">
        <v>201606</v>
      </c>
      <c r="G496" s="523">
        <v>-44953.95</v>
      </c>
      <c r="H496" s="590">
        <v>10.5</v>
      </c>
      <c r="I496" s="400">
        <v>3.1250000000000002E-3</v>
      </c>
      <c r="J496" s="523">
        <v>-1475.05</v>
      </c>
      <c r="K496" s="523">
        <v>-1685.77</v>
      </c>
    </row>
    <row r="497" spans="1:11" s="559" customFormat="1">
      <c r="A497" s="521" t="s">
        <v>346</v>
      </c>
      <c r="B497" s="522" t="s">
        <v>805</v>
      </c>
      <c r="C497" s="522"/>
      <c r="D497" s="522"/>
      <c r="E497" s="521" t="s">
        <v>806</v>
      </c>
      <c r="F497" s="522">
        <v>201606</v>
      </c>
      <c r="G497" s="523">
        <v>-51612.56</v>
      </c>
      <c r="H497" s="590">
        <v>10.5</v>
      </c>
      <c r="I497" s="400">
        <v>3.1250000000000002E-3</v>
      </c>
      <c r="J497" s="523">
        <v>-1693.54</v>
      </c>
      <c r="K497" s="523">
        <v>-1935.47</v>
      </c>
    </row>
    <row r="498" spans="1:11" s="559" customFormat="1">
      <c r="A498" s="521" t="s">
        <v>346</v>
      </c>
      <c r="B498" s="522" t="s">
        <v>812</v>
      </c>
      <c r="C498" s="522"/>
      <c r="D498" s="522"/>
      <c r="E498" s="521" t="s">
        <v>813</v>
      </c>
      <c r="F498" s="522">
        <v>201606</v>
      </c>
      <c r="G498" s="523">
        <v>-195568.74</v>
      </c>
      <c r="H498" s="590">
        <v>10.5</v>
      </c>
      <c r="I498" s="400">
        <v>3.1250000000000002E-3</v>
      </c>
      <c r="J498" s="523">
        <v>-6417.1</v>
      </c>
      <c r="K498" s="523">
        <v>-7333.83</v>
      </c>
    </row>
    <row r="499" spans="1:11" s="559" customFormat="1">
      <c r="A499" s="521" t="s">
        <v>346</v>
      </c>
      <c r="B499" s="522" t="s">
        <v>829</v>
      </c>
      <c r="C499" s="522"/>
      <c r="D499" s="522"/>
      <c r="E499" s="521" t="s">
        <v>831</v>
      </c>
      <c r="F499" s="522">
        <v>201606</v>
      </c>
      <c r="G499" s="523">
        <v>-180856.89</v>
      </c>
      <c r="H499" s="590">
        <v>10.5</v>
      </c>
      <c r="I499" s="400">
        <v>3.1250000000000002E-3</v>
      </c>
      <c r="J499" s="523">
        <v>-5934.37</v>
      </c>
      <c r="K499" s="523">
        <v>-6782.13</v>
      </c>
    </row>
    <row r="500" spans="1:11" s="559" customFormat="1">
      <c r="A500" s="521" t="s">
        <v>346</v>
      </c>
      <c r="B500" s="522" t="s">
        <v>623</v>
      </c>
      <c r="C500" s="522"/>
      <c r="D500" s="522"/>
      <c r="E500" s="521" t="s">
        <v>624</v>
      </c>
      <c r="F500" s="522">
        <v>201606</v>
      </c>
      <c r="G500" s="523">
        <v>-21269.66</v>
      </c>
      <c r="H500" s="590">
        <v>10.5</v>
      </c>
      <c r="I500" s="400">
        <v>3.1250000000000002E-3</v>
      </c>
      <c r="J500" s="523">
        <v>-697.91</v>
      </c>
      <c r="K500" s="523">
        <v>-797.61</v>
      </c>
    </row>
    <row r="501" spans="1:11" s="559" customFormat="1">
      <c r="A501" s="521" t="s">
        <v>346</v>
      </c>
      <c r="B501" s="522" t="s">
        <v>930</v>
      </c>
      <c r="C501" s="522"/>
      <c r="D501" s="522"/>
      <c r="E501" s="521" t="s">
        <v>931</v>
      </c>
      <c r="F501" s="522">
        <v>201607</v>
      </c>
      <c r="G501" s="523">
        <v>-1078.73</v>
      </c>
      <c r="H501" s="590">
        <v>9.5</v>
      </c>
      <c r="I501" s="400">
        <v>3.1250000000000002E-3</v>
      </c>
      <c r="J501" s="523">
        <v>-32.020000000000003</v>
      </c>
      <c r="K501" s="523">
        <v>-40.450000000000003</v>
      </c>
    </row>
    <row r="502" spans="1:11" s="559" customFormat="1">
      <c r="A502" s="521" t="s">
        <v>346</v>
      </c>
      <c r="B502" s="522" t="s">
        <v>397</v>
      </c>
      <c r="C502" s="522"/>
      <c r="D502" s="522"/>
      <c r="E502" s="521" t="s">
        <v>398</v>
      </c>
      <c r="F502" s="522">
        <v>201607</v>
      </c>
      <c r="G502" s="523">
        <v>-376.57</v>
      </c>
      <c r="H502" s="590">
        <v>9.5</v>
      </c>
      <c r="I502" s="400">
        <v>3.1250000000000002E-3</v>
      </c>
      <c r="J502" s="523">
        <v>-11.18</v>
      </c>
      <c r="K502" s="523">
        <v>-14.12</v>
      </c>
    </row>
    <row r="503" spans="1:11" s="559" customFormat="1">
      <c r="A503" s="521" t="s">
        <v>346</v>
      </c>
      <c r="B503" s="522" t="s">
        <v>347</v>
      </c>
      <c r="C503" s="522"/>
      <c r="D503" s="522"/>
      <c r="E503" s="521" t="s">
        <v>348</v>
      </c>
      <c r="F503" s="522">
        <v>201607</v>
      </c>
      <c r="G503" s="523">
        <v>-51560.88</v>
      </c>
      <c r="H503" s="590">
        <v>9.5</v>
      </c>
      <c r="I503" s="400">
        <v>3.1250000000000002E-3</v>
      </c>
      <c r="J503" s="523">
        <v>-1530.71</v>
      </c>
      <c r="K503" s="523">
        <v>-1933.53</v>
      </c>
    </row>
    <row r="504" spans="1:11" s="559" customFormat="1">
      <c r="A504" s="521" t="s">
        <v>346</v>
      </c>
      <c r="B504" s="522" t="s">
        <v>349</v>
      </c>
      <c r="C504" s="522"/>
      <c r="D504" s="522"/>
      <c r="E504" s="521" t="s">
        <v>350</v>
      </c>
      <c r="F504" s="522">
        <v>201607</v>
      </c>
      <c r="G504" s="523">
        <v>-81.92</v>
      </c>
      <c r="H504" s="590">
        <v>9.5</v>
      </c>
      <c r="I504" s="400">
        <v>3.1250000000000002E-3</v>
      </c>
      <c r="J504" s="523">
        <v>-2.4300000000000002</v>
      </c>
      <c r="K504" s="523">
        <v>-3.07</v>
      </c>
    </row>
    <row r="505" spans="1:11" s="559" customFormat="1">
      <c r="A505" s="521" t="s">
        <v>346</v>
      </c>
      <c r="B505" s="522" t="s">
        <v>357</v>
      </c>
      <c r="C505" s="522"/>
      <c r="D505" s="522"/>
      <c r="E505" s="521" t="s">
        <v>358</v>
      </c>
      <c r="F505" s="522">
        <v>201607</v>
      </c>
      <c r="G505" s="523">
        <v>-1921.24</v>
      </c>
      <c r="H505" s="590">
        <v>9.5</v>
      </c>
      <c r="I505" s="400">
        <v>3.1250000000000002E-3</v>
      </c>
      <c r="J505" s="523">
        <v>-57.04</v>
      </c>
      <c r="K505" s="523">
        <v>-72.05</v>
      </c>
    </row>
    <row r="506" spans="1:11" s="559" customFormat="1">
      <c r="A506" s="521" t="s">
        <v>346</v>
      </c>
      <c r="B506" s="522" t="s">
        <v>361</v>
      </c>
      <c r="C506" s="522"/>
      <c r="D506" s="522"/>
      <c r="E506" s="521" t="s">
        <v>362</v>
      </c>
      <c r="F506" s="522">
        <v>201607</v>
      </c>
      <c r="G506" s="523">
        <v>-749.28</v>
      </c>
      <c r="H506" s="590">
        <v>9.5</v>
      </c>
      <c r="I506" s="400">
        <v>3.1250000000000002E-3</v>
      </c>
      <c r="J506" s="523">
        <v>-22.24</v>
      </c>
      <c r="K506" s="523">
        <v>-28.1</v>
      </c>
    </row>
    <row r="507" spans="1:11" s="559" customFormat="1">
      <c r="A507" s="521" t="s">
        <v>346</v>
      </c>
      <c r="B507" s="522" t="s">
        <v>367</v>
      </c>
      <c r="C507" s="522"/>
      <c r="D507" s="522"/>
      <c r="E507" s="521" t="s">
        <v>368</v>
      </c>
      <c r="F507" s="522">
        <v>201607</v>
      </c>
      <c r="G507" s="523">
        <v>-1075.49</v>
      </c>
      <c r="H507" s="590">
        <v>9.5</v>
      </c>
      <c r="I507" s="400">
        <v>3.1250000000000002E-3</v>
      </c>
      <c r="J507" s="523">
        <v>-31.93</v>
      </c>
      <c r="K507" s="523">
        <v>-40.33</v>
      </c>
    </row>
    <row r="508" spans="1:11" s="559" customFormat="1">
      <c r="A508" s="521" t="s">
        <v>346</v>
      </c>
      <c r="B508" s="522" t="s">
        <v>377</v>
      </c>
      <c r="C508" s="522"/>
      <c r="D508" s="522"/>
      <c r="E508" s="521" t="s">
        <v>378</v>
      </c>
      <c r="F508" s="522">
        <v>201607</v>
      </c>
      <c r="G508" s="523">
        <v>-5107.67</v>
      </c>
      <c r="H508" s="590">
        <v>9.5</v>
      </c>
      <c r="I508" s="400">
        <v>3.1250000000000002E-3</v>
      </c>
      <c r="J508" s="523">
        <v>-151.63</v>
      </c>
      <c r="K508" s="523">
        <v>-191.54</v>
      </c>
    </row>
    <row r="509" spans="1:11" s="559" customFormat="1">
      <c r="A509" s="521" t="s">
        <v>346</v>
      </c>
      <c r="B509" s="522" t="s">
        <v>403</v>
      </c>
      <c r="C509" s="522"/>
      <c r="D509" s="522"/>
      <c r="E509" s="521" t="s">
        <v>404</v>
      </c>
      <c r="F509" s="522">
        <v>201607</v>
      </c>
      <c r="G509" s="523">
        <v>-292.11</v>
      </c>
      <c r="H509" s="590">
        <v>9.5</v>
      </c>
      <c r="I509" s="400">
        <v>3.1250000000000002E-3</v>
      </c>
      <c r="J509" s="523">
        <v>-8.67</v>
      </c>
      <c r="K509" s="523">
        <v>-10.95</v>
      </c>
    </row>
    <row r="510" spans="1:11" s="559" customFormat="1">
      <c r="A510" s="521" t="s">
        <v>346</v>
      </c>
      <c r="B510" s="522" t="s">
        <v>385</v>
      </c>
      <c r="C510" s="522"/>
      <c r="D510" s="522"/>
      <c r="E510" s="521" t="s">
        <v>386</v>
      </c>
      <c r="F510" s="522">
        <v>201607</v>
      </c>
      <c r="G510" s="523">
        <v>-26849.99</v>
      </c>
      <c r="H510" s="590">
        <v>9.5</v>
      </c>
      <c r="I510" s="400">
        <v>3.1250000000000002E-3</v>
      </c>
      <c r="J510" s="523">
        <v>-797.11</v>
      </c>
      <c r="K510" s="523">
        <v>-1006.87</v>
      </c>
    </row>
    <row r="511" spans="1:11" s="559" customFormat="1">
      <c r="A511" s="521" t="s">
        <v>346</v>
      </c>
      <c r="B511" s="522" t="s">
        <v>387</v>
      </c>
      <c r="C511" s="522"/>
      <c r="D511" s="522"/>
      <c r="E511" s="521" t="s">
        <v>388</v>
      </c>
      <c r="F511" s="522">
        <v>201607</v>
      </c>
      <c r="G511" s="523">
        <v>-333.27</v>
      </c>
      <c r="H511" s="590">
        <v>9.5</v>
      </c>
      <c r="I511" s="400">
        <v>3.1250000000000002E-3</v>
      </c>
      <c r="J511" s="523">
        <v>-9.89</v>
      </c>
      <c r="K511" s="523">
        <v>-12.5</v>
      </c>
    </row>
    <row r="512" spans="1:11" s="559" customFormat="1">
      <c r="A512" s="521" t="s">
        <v>346</v>
      </c>
      <c r="B512" s="522" t="s">
        <v>631</v>
      </c>
      <c r="C512" s="522"/>
      <c r="D512" s="522"/>
      <c r="E512" s="521" t="s">
        <v>632</v>
      </c>
      <c r="F512" s="522">
        <v>201607</v>
      </c>
      <c r="G512" s="523">
        <v>-239192.79</v>
      </c>
      <c r="H512" s="590">
        <v>9.5</v>
      </c>
      <c r="I512" s="400">
        <v>3.1250000000000002E-3</v>
      </c>
      <c r="J512" s="523">
        <v>-7101.04</v>
      </c>
      <c r="K512" s="523">
        <v>-8969.73</v>
      </c>
    </row>
    <row r="513" spans="1:11" s="559" customFormat="1">
      <c r="A513" s="521" t="s">
        <v>346</v>
      </c>
      <c r="B513" s="522" t="s">
        <v>822</v>
      </c>
      <c r="C513" s="522"/>
      <c r="D513" s="522"/>
      <c r="E513" s="521" t="s">
        <v>823</v>
      </c>
      <c r="F513" s="522">
        <v>201607</v>
      </c>
      <c r="G513" s="523">
        <v>-56271.12</v>
      </c>
      <c r="H513" s="590">
        <v>9.5</v>
      </c>
      <c r="I513" s="400">
        <v>3.1250000000000002E-3</v>
      </c>
      <c r="J513" s="523">
        <v>-1670.55</v>
      </c>
      <c r="K513" s="523">
        <v>-2110.17</v>
      </c>
    </row>
    <row r="514" spans="1:11" s="559" customFormat="1">
      <c r="A514" s="521" t="s">
        <v>346</v>
      </c>
      <c r="B514" s="522" t="s">
        <v>887</v>
      </c>
      <c r="C514" s="522"/>
      <c r="D514" s="522"/>
      <c r="E514" s="521" t="s">
        <v>888</v>
      </c>
      <c r="F514" s="522">
        <v>201607</v>
      </c>
      <c r="G514" s="523">
        <v>-5123.46</v>
      </c>
      <c r="H514" s="590">
        <v>9.5</v>
      </c>
      <c r="I514" s="400">
        <v>3.1250000000000002E-3</v>
      </c>
      <c r="J514" s="523">
        <v>-152.1</v>
      </c>
      <c r="K514" s="523">
        <v>-192.13</v>
      </c>
    </row>
    <row r="515" spans="1:11" s="559" customFormat="1">
      <c r="A515" s="521" t="s">
        <v>346</v>
      </c>
      <c r="B515" s="522" t="s">
        <v>1019</v>
      </c>
      <c r="C515" s="522"/>
      <c r="D515" s="522"/>
      <c r="E515" s="521" t="s">
        <v>1020</v>
      </c>
      <c r="F515" s="522">
        <v>201608</v>
      </c>
      <c r="G515" s="523">
        <v>-402.17</v>
      </c>
      <c r="H515" s="590">
        <v>8.5</v>
      </c>
      <c r="I515" s="400">
        <v>3.1250000000000002E-3</v>
      </c>
      <c r="J515" s="523">
        <v>-10.68</v>
      </c>
      <c r="K515" s="523">
        <v>-15.08</v>
      </c>
    </row>
    <row r="516" spans="1:11" s="559" customFormat="1">
      <c r="A516" s="521" t="s">
        <v>346</v>
      </c>
      <c r="B516" s="522" t="s">
        <v>397</v>
      </c>
      <c r="C516" s="522"/>
      <c r="D516" s="522"/>
      <c r="E516" s="521" t="s">
        <v>398</v>
      </c>
      <c r="F516" s="522">
        <v>201608</v>
      </c>
      <c r="G516" s="523">
        <v>-106.8</v>
      </c>
      <c r="H516" s="590">
        <v>8.5</v>
      </c>
      <c r="I516" s="400">
        <v>3.1250000000000002E-3</v>
      </c>
      <c r="J516" s="523">
        <v>-2.84</v>
      </c>
      <c r="K516" s="523">
        <v>-4.01</v>
      </c>
    </row>
    <row r="517" spans="1:11" s="559" customFormat="1">
      <c r="A517" s="521" t="s">
        <v>346</v>
      </c>
      <c r="B517" s="522" t="s">
        <v>347</v>
      </c>
      <c r="C517" s="522"/>
      <c r="D517" s="522"/>
      <c r="E517" s="521" t="s">
        <v>348</v>
      </c>
      <c r="F517" s="522">
        <v>201608</v>
      </c>
      <c r="G517" s="523">
        <v>-45022.26</v>
      </c>
      <c r="H517" s="590">
        <v>8.5</v>
      </c>
      <c r="I517" s="400">
        <v>3.1250000000000002E-3</v>
      </c>
      <c r="J517" s="523">
        <v>-1195.9000000000001</v>
      </c>
      <c r="K517" s="523">
        <v>-1688.33</v>
      </c>
    </row>
    <row r="518" spans="1:11" s="559" customFormat="1">
      <c r="A518" s="521" t="s">
        <v>346</v>
      </c>
      <c r="B518" s="522" t="s">
        <v>351</v>
      </c>
      <c r="C518" s="522"/>
      <c r="D518" s="522"/>
      <c r="E518" s="521" t="s">
        <v>352</v>
      </c>
      <c r="F518" s="522">
        <v>201608</v>
      </c>
      <c r="G518" s="523">
        <v>-211.2</v>
      </c>
      <c r="H518" s="590">
        <v>8.5</v>
      </c>
      <c r="I518" s="400">
        <v>3.1250000000000002E-3</v>
      </c>
      <c r="J518" s="523">
        <v>-5.61</v>
      </c>
      <c r="K518" s="523">
        <v>-7.92</v>
      </c>
    </row>
    <row r="519" spans="1:11" s="559" customFormat="1">
      <c r="A519" s="521" t="s">
        <v>346</v>
      </c>
      <c r="B519" s="522" t="s">
        <v>355</v>
      </c>
      <c r="C519" s="522"/>
      <c r="D519" s="522"/>
      <c r="E519" s="521" t="s">
        <v>356</v>
      </c>
      <c r="F519" s="522">
        <v>201608</v>
      </c>
      <c r="G519" s="523">
        <v>-243.3</v>
      </c>
      <c r="H519" s="590">
        <v>8.5</v>
      </c>
      <c r="I519" s="400">
        <v>3.1250000000000002E-3</v>
      </c>
      <c r="J519" s="523">
        <v>-6.46</v>
      </c>
      <c r="K519" s="523">
        <v>-9.1199999999999992</v>
      </c>
    </row>
    <row r="520" spans="1:11" s="559" customFormat="1">
      <c r="A520" s="521" t="s">
        <v>346</v>
      </c>
      <c r="B520" s="522" t="s">
        <v>377</v>
      </c>
      <c r="C520" s="522"/>
      <c r="D520" s="522"/>
      <c r="E520" s="521" t="s">
        <v>378</v>
      </c>
      <c r="F520" s="522">
        <v>201608</v>
      </c>
      <c r="G520" s="523">
        <v>-2906.35</v>
      </c>
      <c r="H520" s="590">
        <v>8.5</v>
      </c>
      <c r="I520" s="400">
        <v>3.1250000000000002E-3</v>
      </c>
      <c r="J520" s="523">
        <v>-77.2</v>
      </c>
      <c r="K520" s="523">
        <v>-108.99</v>
      </c>
    </row>
    <row r="521" spans="1:11" s="559" customFormat="1">
      <c r="A521" s="521" t="s">
        <v>346</v>
      </c>
      <c r="B521" s="522" t="s">
        <v>379</v>
      </c>
      <c r="C521" s="522"/>
      <c r="D521" s="522"/>
      <c r="E521" s="521" t="s">
        <v>380</v>
      </c>
      <c r="F521" s="522">
        <v>201608</v>
      </c>
      <c r="G521" s="523">
        <v>-187.52</v>
      </c>
      <c r="H521" s="590">
        <v>8.5</v>
      </c>
      <c r="I521" s="400">
        <v>3.1250000000000002E-3</v>
      </c>
      <c r="J521" s="523">
        <v>-4.9800000000000004</v>
      </c>
      <c r="K521" s="523">
        <v>-7.03</v>
      </c>
    </row>
    <row r="522" spans="1:11" s="559" customFormat="1">
      <c r="A522" s="521" t="s">
        <v>346</v>
      </c>
      <c r="B522" s="522" t="s">
        <v>403</v>
      </c>
      <c r="C522" s="522"/>
      <c r="D522" s="522"/>
      <c r="E522" s="521" t="s">
        <v>404</v>
      </c>
      <c r="F522" s="522">
        <v>201608</v>
      </c>
      <c r="G522" s="523">
        <v>-342.89</v>
      </c>
      <c r="H522" s="590">
        <v>8.5</v>
      </c>
      <c r="I522" s="400">
        <v>3.1250000000000002E-3</v>
      </c>
      <c r="J522" s="523">
        <v>-9.11</v>
      </c>
      <c r="K522" s="523">
        <v>-12.86</v>
      </c>
    </row>
    <row r="523" spans="1:11" s="559" customFormat="1">
      <c r="A523" s="521" t="s">
        <v>346</v>
      </c>
      <c r="B523" s="522" t="s">
        <v>385</v>
      </c>
      <c r="C523" s="522"/>
      <c r="D523" s="522"/>
      <c r="E523" s="521" t="s">
        <v>386</v>
      </c>
      <c r="F523" s="522">
        <v>201608</v>
      </c>
      <c r="G523" s="523">
        <v>-16159.39</v>
      </c>
      <c r="H523" s="590">
        <v>8.5</v>
      </c>
      <c r="I523" s="400">
        <v>3.1250000000000002E-3</v>
      </c>
      <c r="J523" s="523">
        <v>-429.23</v>
      </c>
      <c r="K523" s="523">
        <v>-605.98</v>
      </c>
    </row>
    <row r="524" spans="1:11" s="559" customFormat="1">
      <c r="A524" s="521" t="s">
        <v>346</v>
      </c>
      <c r="B524" s="522" t="s">
        <v>387</v>
      </c>
      <c r="C524" s="522"/>
      <c r="D524" s="522"/>
      <c r="E524" s="521" t="s">
        <v>388</v>
      </c>
      <c r="F524" s="522">
        <v>201608</v>
      </c>
      <c r="G524" s="523">
        <v>-1705.75</v>
      </c>
      <c r="H524" s="590">
        <v>8.5</v>
      </c>
      <c r="I524" s="400">
        <v>3.1250000000000002E-3</v>
      </c>
      <c r="J524" s="523">
        <v>-45.31</v>
      </c>
      <c r="K524" s="523">
        <v>-63.97</v>
      </c>
    </row>
    <row r="525" spans="1:11" s="559" customFormat="1">
      <c r="A525" s="521" t="s">
        <v>346</v>
      </c>
      <c r="B525" s="522" t="s">
        <v>391</v>
      </c>
      <c r="C525" s="522"/>
      <c r="D525" s="522"/>
      <c r="E525" s="521" t="s">
        <v>392</v>
      </c>
      <c r="F525" s="522">
        <v>201608</v>
      </c>
      <c r="G525" s="523">
        <v>-1863.56</v>
      </c>
      <c r="H525" s="590">
        <v>8.5</v>
      </c>
      <c r="I525" s="400">
        <v>3.1250000000000002E-3</v>
      </c>
      <c r="J525" s="523">
        <v>-49.5</v>
      </c>
      <c r="K525" s="523">
        <v>-69.88</v>
      </c>
    </row>
    <row r="526" spans="1:11" s="559" customFormat="1">
      <c r="A526" s="521" t="s">
        <v>346</v>
      </c>
      <c r="B526" s="522" t="s">
        <v>643</v>
      </c>
      <c r="C526" s="522"/>
      <c r="D526" s="522"/>
      <c r="E526" s="521" t="s">
        <v>644</v>
      </c>
      <c r="F526" s="522">
        <v>201608</v>
      </c>
      <c r="G526" s="523">
        <v>-74998.28</v>
      </c>
      <c r="H526" s="590">
        <v>8.5</v>
      </c>
      <c r="I526" s="400">
        <v>3.1250000000000002E-3</v>
      </c>
      <c r="J526" s="523">
        <v>-1992.14</v>
      </c>
      <c r="K526" s="523">
        <v>-2812.44</v>
      </c>
    </row>
    <row r="527" spans="1:11" s="559" customFormat="1">
      <c r="A527" s="521" t="s">
        <v>346</v>
      </c>
      <c r="B527" s="522" t="s">
        <v>856</v>
      </c>
      <c r="C527" s="522"/>
      <c r="D527" s="522"/>
      <c r="E527" s="521" t="s">
        <v>857</v>
      </c>
      <c r="F527" s="522">
        <v>201608</v>
      </c>
      <c r="G527" s="523">
        <v>-18017.84</v>
      </c>
      <c r="H527" s="590">
        <v>8.5</v>
      </c>
      <c r="I527" s="400">
        <v>3.1250000000000002E-3</v>
      </c>
      <c r="J527" s="523">
        <v>-478.6</v>
      </c>
      <c r="K527" s="523">
        <v>-675.67</v>
      </c>
    </row>
    <row r="528" spans="1:11" s="559" customFormat="1">
      <c r="A528" s="521" t="s">
        <v>346</v>
      </c>
      <c r="B528" s="522" t="s">
        <v>800</v>
      </c>
      <c r="C528" s="522"/>
      <c r="D528" s="522"/>
      <c r="E528" s="521" t="s">
        <v>830</v>
      </c>
      <c r="F528" s="522">
        <v>201608</v>
      </c>
      <c r="G528" s="523">
        <v>-4907.1499999999996</v>
      </c>
      <c r="H528" s="590">
        <v>8.5</v>
      </c>
      <c r="I528" s="400">
        <v>3.1250000000000002E-3</v>
      </c>
      <c r="J528" s="523">
        <v>-130.35</v>
      </c>
      <c r="K528" s="523">
        <v>-184.02</v>
      </c>
    </row>
    <row r="529" spans="1:11" s="559" customFormat="1">
      <c r="A529" s="521" t="s">
        <v>346</v>
      </c>
      <c r="B529" s="522" t="s">
        <v>838</v>
      </c>
      <c r="C529" s="522"/>
      <c r="D529" s="522"/>
      <c r="E529" s="521" t="s">
        <v>1018</v>
      </c>
      <c r="F529" s="522">
        <v>201608</v>
      </c>
      <c r="G529" s="523">
        <v>-31656.57</v>
      </c>
      <c r="H529" s="590">
        <v>8.5</v>
      </c>
      <c r="I529" s="400">
        <v>3.1250000000000002E-3</v>
      </c>
      <c r="J529" s="523">
        <v>-840.88</v>
      </c>
      <c r="K529" s="523">
        <v>-1187.1199999999999</v>
      </c>
    </row>
    <row r="530" spans="1:11" s="559" customFormat="1">
      <c r="A530" s="521" t="s">
        <v>346</v>
      </c>
      <c r="B530" s="522" t="s">
        <v>893</v>
      </c>
      <c r="C530" s="522"/>
      <c r="D530" s="522"/>
      <c r="E530" s="521" t="s">
        <v>894</v>
      </c>
      <c r="F530" s="522">
        <v>201608</v>
      </c>
      <c r="G530" s="523">
        <v>-13713.24</v>
      </c>
      <c r="H530" s="590">
        <v>8.5</v>
      </c>
      <c r="I530" s="400">
        <v>3.1250000000000002E-3</v>
      </c>
      <c r="J530" s="523">
        <v>-364.26</v>
      </c>
      <c r="K530" s="523">
        <v>-514.25</v>
      </c>
    </row>
    <row r="531" spans="1:11" s="559" customFormat="1">
      <c r="A531" s="521" t="s">
        <v>346</v>
      </c>
      <c r="B531" s="522" t="s">
        <v>814</v>
      </c>
      <c r="C531" s="522"/>
      <c r="D531" s="522"/>
      <c r="E531" s="521" t="s">
        <v>815</v>
      </c>
      <c r="F531" s="522">
        <v>201608</v>
      </c>
      <c r="G531" s="523">
        <v>-40460.11</v>
      </c>
      <c r="H531" s="590">
        <v>8.5</v>
      </c>
      <c r="I531" s="400">
        <v>3.1250000000000002E-3</v>
      </c>
      <c r="J531" s="523">
        <v>-1074.72</v>
      </c>
      <c r="K531" s="523">
        <v>-1517.25</v>
      </c>
    </row>
    <row r="532" spans="1:11" s="559" customFormat="1">
      <c r="A532" s="521" t="s">
        <v>346</v>
      </c>
      <c r="B532" s="522" t="s">
        <v>862</v>
      </c>
      <c r="C532" s="522"/>
      <c r="D532" s="522"/>
      <c r="E532" s="521" t="s">
        <v>863</v>
      </c>
      <c r="F532" s="522">
        <v>201608</v>
      </c>
      <c r="G532" s="523">
        <v>-51848.27</v>
      </c>
      <c r="H532" s="590">
        <v>8.5</v>
      </c>
      <c r="I532" s="400">
        <v>3.1250000000000002E-3</v>
      </c>
      <c r="J532" s="523">
        <v>-1377.22</v>
      </c>
      <c r="K532" s="523">
        <v>-1944.31</v>
      </c>
    </row>
    <row r="533" spans="1:11" s="559" customFormat="1">
      <c r="A533" s="521" t="s">
        <v>346</v>
      </c>
      <c r="B533" s="522" t="s">
        <v>680</v>
      </c>
      <c r="C533" s="522"/>
      <c r="D533" s="522"/>
      <c r="E533" s="521" t="s">
        <v>681</v>
      </c>
      <c r="F533" s="522">
        <v>201608</v>
      </c>
      <c r="G533" s="523">
        <v>-81929.03</v>
      </c>
      <c r="H533" s="590">
        <v>8.5</v>
      </c>
      <c r="I533" s="400">
        <v>3.1250000000000002E-3</v>
      </c>
      <c r="J533" s="523">
        <v>-2176.2399999999998</v>
      </c>
      <c r="K533" s="523">
        <v>-3072.34</v>
      </c>
    </row>
    <row r="534" spans="1:11" s="559" customFormat="1">
      <c r="A534" s="521" t="s">
        <v>346</v>
      </c>
      <c r="B534" s="522" t="s">
        <v>846</v>
      </c>
      <c r="C534" s="522"/>
      <c r="D534" s="522"/>
      <c r="E534" s="521" t="s">
        <v>847</v>
      </c>
      <c r="F534" s="522">
        <v>201608</v>
      </c>
      <c r="G534" s="523">
        <v>-38224.61</v>
      </c>
      <c r="H534" s="590">
        <v>8.5</v>
      </c>
      <c r="I534" s="400">
        <v>3.1250000000000002E-3</v>
      </c>
      <c r="J534" s="523">
        <v>-1015.34</v>
      </c>
      <c r="K534" s="523">
        <v>-1433.42</v>
      </c>
    </row>
    <row r="535" spans="1:11" s="559" customFormat="1">
      <c r="A535" s="521" t="s">
        <v>346</v>
      </c>
      <c r="B535" s="522" t="s">
        <v>899</v>
      </c>
      <c r="C535" s="522"/>
      <c r="D535" s="522"/>
      <c r="E535" s="521" t="s">
        <v>900</v>
      </c>
      <c r="F535" s="522">
        <v>201608</v>
      </c>
      <c r="G535" s="523">
        <v>-5272.6</v>
      </c>
      <c r="H535" s="590">
        <v>8.5</v>
      </c>
      <c r="I535" s="400">
        <v>3.1250000000000002E-3</v>
      </c>
      <c r="J535" s="523">
        <v>-140.05000000000001</v>
      </c>
      <c r="K535" s="523">
        <v>-197.72</v>
      </c>
    </row>
    <row r="536" spans="1:11" s="559" customFormat="1">
      <c r="A536" s="521" t="s">
        <v>346</v>
      </c>
      <c r="B536" s="522" t="s">
        <v>868</v>
      </c>
      <c r="C536" s="522"/>
      <c r="D536" s="522"/>
      <c r="E536" s="521" t="s">
        <v>869</v>
      </c>
      <c r="F536" s="522">
        <v>201608</v>
      </c>
      <c r="G536" s="523">
        <v>-88482.7</v>
      </c>
      <c r="H536" s="590">
        <v>8.5</v>
      </c>
      <c r="I536" s="400">
        <v>3.1250000000000002E-3</v>
      </c>
      <c r="J536" s="523">
        <v>-2350.3200000000002</v>
      </c>
      <c r="K536" s="523">
        <v>-3318.1</v>
      </c>
    </row>
    <row r="537" spans="1:11" s="559" customFormat="1">
      <c r="A537" s="521" t="s">
        <v>346</v>
      </c>
      <c r="B537" s="522" t="s">
        <v>852</v>
      </c>
      <c r="C537" s="522"/>
      <c r="D537" s="522"/>
      <c r="E537" s="521" t="s">
        <v>853</v>
      </c>
      <c r="F537" s="522">
        <v>201608</v>
      </c>
      <c r="G537" s="523">
        <v>-71389.98</v>
      </c>
      <c r="H537" s="590">
        <v>8.5</v>
      </c>
      <c r="I537" s="400">
        <v>3.1250000000000002E-3</v>
      </c>
      <c r="J537" s="523">
        <v>-1896.3</v>
      </c>
      <c r="K537" s="523">
        <v>-2677.12</v>
      </c>
    </row>
    <row r="538" spans="1:11" s="559" customFormat="1">
      <c r="A538" s="521" t="s">
        <v>346</v>
      </c>
      <c r="B538" s="522" t="s">
        <v>870</v>
      </c>
      <c r="C538" s="522"/>
      <c r="D538" s="522"/>
      <c r="E538" s="521" t="s">
        <v>871</v>
      </c>
      <c r="F538" s="522">
        <v>201608</v>
      </c>
      <c r="G538" s="523">
        <v>-13792.98</v>
      </c>
      <c r="H538" s="590">
        <v>8.5</v>
      </c>
      <c r="I538" s="400">
        <v>3.1250000000000002E-3</v>
      </c>
      <c r="J538" s="523">
        <v>-366.38</v>
      </c>
      <c r="K538" s="523">
        <v>-517.24</v>
      </c>
    </row>
    <row r="539" spans="1:11" s="559" customFormat="1">
      <c r="A539" s="521" t="s">
        <v>346</v>
      </c>
      <c r="B539" s="522" t="s">
        <v>872</v>
      </c>
      <c r="C539" s="522"/>
      <c r="D539" s="522"/>
      <c r="E539" s="521" t="s">
        <v>873</v>
      </c>
      <c r="F539" s="522">
        <v>201608</v>
      </c>
      <c r="G539" s="523">
        <v>-84175.33</v>
      </c>
      <c r="H539" s="590">
        <v>8.5</v>
      </c>
      <c r="I539" s="400">
        <v>3.1250000000000002E-3</v>
      </c>
      <c r="J539" s="523">
        <v>-2235.91</v>
      </c>
      <c r="K539" s="523">
        <v>-3156.57</v>
      </c>
    </row>
    <row r="540" spans="1:11" s="559" customFormat="1">
      <c r="A540" s="521" t="s">
        <v>346</v>
      </c>
      <c r="B540" s="522" t="s">
        <v>826</v>
      </c>
      <c r="C540" s="522"/>
      <c r="D540" s="522"/>
      <c r="E540" s="521" t="s">
        <v>827</v>
      </c>
      <c r="F540" s="522">
        <v>201608</v>
      </c>
      <c r="G540" s="523">
        <v>-89161.29</v>
      </c>
      <c r="H540" s="590">
        <v>8.5</v>
      </c>
      <c r="I540" s="400">
        <v>3.1250000000000002E-3</v>
      </c>
      <c r="J540" s="523">
        <v>-2368.35</v>
      </c>
      <c r="K540" s="523">
        <v>-3343.55</v>
      </c>
    </row>
    <row r="541" spans="1:11" s="559" customFormat="1">
      <c r="A541" s="521" t="s">
        <v>346</v>
      </c>
      <c r="B541" s="522" t="s">
        <v>874</v>
      </c>
      <c r="C541" s="522"/>
      <c r="D541" s="522"/>
      <c r="E541" s="521" t="s">
        <v>875</v>
      </c>
      <c r="F541" s="522">
        <v>201608</v>
      </c>
      <c r="G541" s="523">
        <v>-23188.18</v>
      </c>
      <c r="H541" s="590">
        <v>8.5</v>
      </c>
      <c r="I541" s="400">
        <v>3.1250000000000002E-3</v>
      </c>
      <c r="J541" s="523">
        <v>-615.94000000000005</v>
      </c>
      <c r="K541" s="523">
        <v>-869.56</v>
      </c>
    </row>
    <row r="542" spans="1:11" s="559" customFormat="1">
      <c r="A542" s="521" t="s">
        <v>346</v>
      </c>
      <c r="B542" s="522" t="s">
        <v>991</v>
      </c>
      <c r="C542" s="522"/>
      <c r="D542" s="522"/>
      <c r="E542" s="521" t="s">
        <v>992</v>
      </c>
      <c r="F542" s="522">
        <v>201608</v>
      </c>
      <c r="G542" s="523">
        <v>-404.82</v>
      </c>
      <c r="H542" s="590">
        <v>8.5</v>
      </c>
      <c r="I542" s="400">
        <v>3.1250000000000002E-3</v>
      </c>
      <c r="J542" s="523">
        <v>-10.75</v>
      </c>
      <c r="K542" s="523">
        <v>-15.18</v>
      </c>
    </row>
    <row r="543" spans="1:11" s="559" customFormat="1">
      <c r="A543" s="521" t="s">
        <v>346</v>
      </c>
      <c r="B543" s="522" t="s">
        <v>880</v>
      </c>
      <c r="C543" s="522"/>
      <c r="D543" s="522"/>
      <c r="E543" s="521" t="s">
        <v>881</v>
      </c>
      <c r="F543" s="522">
        <v>201608</v>
      </c>
      <c r="G543" s="523">
        <v>-42141.55</v>
      </c>
      <c r="H543" s="590">
        <v>8.5</v>
      </c>
      <c r="I543" s="400">
        <v>3.1250000000000002E-3</v>
      </c>
      <c r="J543" s="523">
        <v>-1119.3800000000001</v>
      </c>
      <c r="K543" s="523">
        <v>-1580.31</v>
      </c>
    </row>
    <row r="544" spans="1:11" s="559" customFormat="1">
      <c r="A544" s="521" t="s">
        <v>346</v>
      </c>
      <c r="B544" s="522" t="s">
        <v>891</v>
      </c>
      <c r="C544" s="522"/>
      <c r="D544" s="522"/>
      <c r="E544" s="521" t="s">
        <v>892</v>
      </c>
      <c r="F544" s="522">
        <v>201608</v>
      </c>
      <c r="G544" s="523">
        <v>-1165.17</v>
      </c>
      <c r="H544" s="590">
        <v>8.5</v>
      </c>
      <c r="I544" s="400">
        <v>3.1250000000000002E-3</v>
      </c>
      <c r="J544" s="523">
        <v>-30.95</v>
      </c>
      <c r="K544" s="523">
        <v>-43.69</v>
      </c>
    </row>
    <row r="545" spans="1:11" s="559" customFormat="1">
      <c r="A545" s="521" t="s">
        <v>346</v>
      </c>
      <c r="B545" s="522" t="s">
        <v>854</v>
      </c>
      <c r="C545" s="522"/>
      <c r="D545" s="522"/>
      <c r="E545" s="521" t="s">
        <v>855</v>
      </c>
      <c r="F545" s="522">
        <v>201608</v>
      </c>
      <c r="G545" s="523">
        <v>-47710.53</v>
      </c>
      <c r="H545" s="590">
        <v>8.5</v>
      </c>
      <c r="I545" s="400">
        <v>3.1250000000000002E-3</v>
      </c>
      <c r="J545" s="523">
        <v>-1267.31</v>
      </c>
      <c r="K545" s="523">
        <v>-1789.14</v>
      </c>
    </row>
    <row r="546" spans="1:11" s="559" customFormat="1">
      <c r="A546" s="521" t="s">
        <v>346</v>
      </c>
      <c r="B546" s="522" t="s">
        <v>347</v>
      </c>
      <c r="C546" s="522"/>
      <c r="D546" s="522"/>
      <c r="E546" s="521" t="s">
        <v>348</v>
      </c>
      <c r="F546" s="522">
        <v>201609</v>
      </c>
      <c r="G546" s="523">
        <v>-35468.85</v>
      </c>
      <c r="H546" s="590">
        <v>7.5</v>
      </c>
      <c r="I546" s="400">
        <v>3.1250000000000002E-3</v>
      </c>
      <c r="J546" s="523">
        <v>-831.3</v>
      </c>
      <c r="K546" s="523">
        <v>-1330.08</v>
      </c>
    </row>
    <row r="547" spans="1:11" s="559" customFormat="1">
      <c r="A547" s="521" t="s">
        <v>346</v>
      </c>
      <c r="B547" s="522" t="s">
        <v>355</v>
      </c>
      <c r="C547" s="522"/>
      <c r="D547" s="522"/>
      <c r="E547" s="521" t="s">
        <v>356</v>
      </c>
      <c r="F547" s="522">
        <v>201609</v>
      </c>
      <c r="G547" s="523">
        <v>-1079.23</v>
      </c>
      <c r="H547" s="590">
        <v>7.5</v>
      </c>
      <c r="I547" s="400">
        <v>3.1250000000000002E-3</v>
      </c>
      <c r="J547" s="523">
        <v>-25.29</v>
      </c>
      <c r="K547" s="523">
        <v>-40.47</v>
      </c>
    </row>
    <row r="548" spans="1:11" s="559" customFormat="1">
      <c r="A548" s="521" t="s">
        <v>346</v>
      </c>
      <c r="B548" s="522" t="s">
        <v>357</v>
      </c>
      <c r="C548" s="522"/>
      <c r="D548" s="522"/>
      <c r="E548" s="521" t="s">
        <v>358</v>
      </c>
      <c r="F548" s="522">
        <v>201609</v>
      </c>
      <c r="G548" s="523">
        <v>-1701.28</v>
      </c>
      <c r="H548" s="590">
        <v>7.5</v>
      </c>
      <c r="I548" s="400">
        <v>3.1250000000000002E-3</v>
      </c>
      <c r="J548" s="523">
        <v>-39.869999999999997</v>
      </c>
      <c r="K548" s="523">
        <v>-63.8</v>
      </c>
    </row>
    <row r="549" spans="1:11" s="559" customFormat="1">
      <c r="A549" s="521" t="s">
        <v>346</v>
      </c>
      <c r="B549" s="522" t="s">
        <v>367</v>
      </c>
      <c r="C549" s="522"/>
      <c r="D549" s="522"/>
      <c r="E549" s="521" t="s">
        <v>368</v>
      </c>
      <c r="F549" s="522">
        <v>201609</v>
      </c>
      <c r="G549" s="523">
        <v>-894.6</v>
      </c>
      <c r="H549" s="590">
        <v>7.5</v>
      </c>
      <c r="I549" s="400">
        <v>3.1250000000000002E-3</v>
      </c>
      <c r="J549" s="523">
        <v>-20.97</v>
      </c>
      <c r="K549" s="523">
        <v>-33.549999999999997</v>
      </c>
    </row>
    <row r="550" spans="1:11" s="559" customFormat="1">
      <c r="A550" s="521" t="s">
        <v>346</v>
      </c>
      <c r="B550" s="522" t="s">
        <v>377</v>
      </c>
      <c r="C550" s="522"/>
      <c r="D550" s="522"/>
      <c r="E550" s="521" t="s">
        <v>378</v>
      </c>
      <c r="F550" s="522">
        <v>201609</v>
      </c>
      <c r="G550" s="523">
        <v>-3159.29</v>
      </c>
      <c r="H550" s="590">
        <v>7.5</v>
      </c>
      <c r="I550" s="400">
        <v>3.1250000000000002E-3</v>
      </c>
      <c r="J550" s="523">
        <v>-74.05</v>
      </c>
      <c r="K550" s="523">
        <v>-118.47</v>
      </c>
    </row>
    <row r="551" spans="1:11" s="559" customFormat="1">
      <c r="A551" s="521" t="s">
        <v>346</v>
      </c>
      <c r="B551" s="522" t="s">
        <v>403</v>
      </c>
      <c r="C551" s="522"/>
      <c r="D551" s="522"/>
      <c r="E551" s="521" t="s">
        <v>404</v>
      </c>
      <c r="F551" s="522">
        <v>201609</v>
      </c>
      <c r="G551" s="523">
        <v>-799.01</v>
      </c>
      <c r="H551" s="590">
        <v>7.5</v>
      </c>
      <c r="I551" s="400">
        <v>3.1250000000000002E-3</v>
      </c>
      <c r="J551" s="523">
        <v>-18.73</v>
      </c>
      <c r="K551" s="523">
        <v>-29.96</v>
      </c>
    </row>
    <row r="552" spans="1:11" s="559" customFormat="1">
      <c r="A552" s="521" t="s">
        <v>346</v>
      </c>
      <c r="B552" s="522" t="s">
        <v>385</v>
      </c>
      <c r="C552" s="522"/>
      <c r="D552" s="522"/>
      <c r="E552" s="521" t="s">
        <v>386</v>
      </c>
      <c r="F552" s="522">
        <v>201609</v>
      </c>
      <c r="G552" s="523">
        <v>-14108.86</v>
      </c>
      <c r="H552" s="590">
        <v>7.5</v>
      </c>
      <c r="I552" s="400">
        <v>3.1250000000000002E-3</v>
      </c>
      <c r="J552" s="523">
        <v>-330.68</v>
      </c>
      <c r="K552" s="523">
        <v>-529.08000000000004</v>
      </c>
    </row>
    <row r="553" spans="1:11" s="559" customFormat="1">
      <c r="A553" s="521" t="s">
        <v>346</v>
      </c>
      <c r="B553" s="522" t="s">
        <v>389</v>
      </c>
      <c r="C553" s="522"/>
      <c r="D553" s="522"/>
      <c r="E553" s="521" t="s">
        <v>390</v>
      </c>
      <c r="F553" s="522">
        <v>201609</v>
      </c>
      <c r="G553" s="523">
        <v>-1608.47</v>
      </c>
      <c r="H553" s="590">
        <v>7.5</v>
      </c>
      <c r="I553" s="400">
        <v>3.1250000000000002E-3</v>
      </c>
      <c r="J553" s="523">
        <v>-37.700000000000003</v>
      </c>
      <c r="K553" s="523">
        <v>-60.32</v>
      </c>
    </row>
    <row r="554" spans="1:11" s="559" customFormat="1">
      <c r="A554" s="521" t="s">
        <v>346</v>
      </c>
      <c r="B554" s="522" t="s">
        <v>834</v>
      </c>
      <c r="C554" s="522"/>
      <c r="D554" s="522"/>
      <c r="E554" s="521" t="s">
        <v>835</v>
      </c>
      <c r="F554" s="522">
        <v>201609</v>
      </c>
      <c r="G554" s="523">
        <v>-44623.16</v>
      </c>
      <c r="H554" s="590">
        <v>7.5</v>
      </c>
      <c r="I554" s="400">
        <v>3.1250000000000002E-3</v>
      </c>
      <c r="J554" s="523">
        <v>-1045.8599999999999</v>
      </c>
      <c r="K554" s="523">
        <v>-1673.37</v>
      </c>
    </row>
    <row r="555" spans="1:11" s="559" customFormat="1">
      <c r="A555" s="521" t="s">
        <v>346</v>
      </c>
      <c r="B555" s="522" t="s">
        <v>953</v>
      </c>
      <c r="C555" s="522"/>
      <c r="D555" s="522"/>
      <c r="E555" s="521" t="s">
        <v>954</v>
      </c>
      <c r="F555" s="522">
        <v>201609</v>
      </c>
      <c r="G555" s="523">
        <v>-114884.4</v>
      </c>
      <c r="H555" s="590">
        <v>7.5</v>
      </c>
      <c r="I555" s="400">
        <v>3.1250000000000002E-3</v>
      </c>
      <c r="J555" s="523">
        <v>-2692.6</v>
      </c>
      <c r="K555" s="523">
        <v>-4308.17</v>
      </c>
    </row>
    <row r="556" spans="1:11" s="559" customFormat="1">
      <c r="A556" s="521" t="s">
        <v>346</v>
      </c>
      <c r="B556" s="522" t="s">
        <v>987</v>
      </c>
      <c r="C556" s="522"/>
      <c r="D556" s="522"/>
      <c r="E556" s="521" t="s">
        <v>988</v>
      </c>
      <c r="F556" s="522">
        <v>201609</v>
      </c>
      <c r="G556" s="523">
        <v>-120382.15</v>
      </c>
      <c r="H556" s="590">
        <v>7.5</v>
      </c>
      <c r="I556" s="400">
        <v>3.1250000000000002E-3</v>
      </c>
      <c r="J556" s="523">
        <v>-2821.46</v>
      </c>
      <c r="K556" s="523">
        <v>-4514.33</v>
      </c>
    </row>
    <row r="557" spans="1:11" s="559" customFormat="1">
      <c r="A557" s="521" t="s">
        <v>346</v>
      </c>
      <c r="B557" s="522" t="s">
        <v>882</v>
      </c>
      <c r="C557" s="522"/>
      <c r="D557" s="522"/>
      <c r="E557" s="521" t="s">
        <v>995</v>
      </c>
      <c r="F557" s="522">
        <v>201609</v>
      </c>
      <c r="G557" s="523">
        <v>-6339.92</v>
      </c>
      <c r="H557" s="590">
        <v>7.5</v>
      </c>
      <c r="I557" s="400">
        <v>3.1250000000000002E-3</v>
      </c>
      <c r="J557" s="523">
        <v>-148.59</v>
      </c>
      <c r="K557" s="523">
        <v>-237.75</v>
      </c>
    </row>
    <row r="558" spans="1:11" s="559" customFormat="1">
      <c r="A558" s="521" t="s">
        <v>346</v>
      </c>
      <c r="B558" s="522" t="s">
        <v>397</v>
      </c>
      <c r="C558" s="522"/>
      <c r="D558" s="522"/>
      <c r="E558" s="521" t="s">
        <v>398</v>
      </c>
      <c r="F558" s="522">
        <v>201610</v>
      </c>
      <c r="G558" s="523">
        <v>-434.77</v>
      </c>
      <c r="H558" s="590">
        <v>6.5</v>
      </c>
      <c r="I558" s="400">
        <v>3.1250000000000002E-3</v>
      </c>
      <c r="J558" s="523">
        <v>-8.83</v>
      </c>
      <c r="K558" s="523">
        <v>-16.3</v>
      </c>
    </row>
    <row r="559" spans="1:11" s="559" customFormat="1">
      <c r="A559" s="521" t="s">
        <v>346</v>
      </c>
      <c r="B559" s="522" t="s">
        <v>347</v>
      </c>
      <c r="C559" s="522"/>
      <c r="D559" s="522"/>
      <c r="E559" s="521" t="s">
        <v>348</v>
      </c>
      <c r="F559" s="522">
        <v>201610</v>
      </c>
      <c r="G559" s="523">
        <v>-40417.050000000003</v>
      </c>
      <c r="H559" s="590">
        <v>6.5</v>
      </c>
      <c r="I559" s="400">
        <v>3.1250000000000002E-3</v>
      </c>
      <c r="J559" s="523">
        <v>-820.97</v>
      </c>
      <c r="K559" s="523">
        <v>-1515.64</v>
      </c>
    </row>
    <row r="560" spans="1:11" s="559" customFormat="1">
      <c r="A560" s="521" t="s">
        <v>346</v>
      </c>
      <c r="B560" s="522" t="s">
        <v>349</v>
      </c>
      <c r="C560" s="522"/>
      <c r="D560" s="522"/>
      <c r="E560" s="521" t="s">
        <v>350</v>
      </c>
      <c r="F560" s="522">
        <v>201610</v>
      </c>
      <c r="G560" s="523">
        <v>-2312.41</v>
      </c>
      <c r="H560" s="590">
        <v>6.5</v>
      </c>
      <c r="I560" s="400">
        <v>3.1250000000000002E-3</v>
      </c>
      <c r="J560" s="523">
        <v>-46.97</v>
      </c>
      <c r="K560" s="523">
        <v>-86.72</v>
      </c>
    </row>
    <row r="561" spans="1:11" s="559" customFormat="1">
      <c r="A561" s="521" t="s">
        <v>346</v>
      </c>
      <c r="B561" s="522" t="s">
        <v>357</v>
      </c>
      <c r="C561" s="522"/>
      <c r="D561" s="522"/>
      <c r="E561" s="521" t="s">
        <v>358</v>
      </c>
      <c r="F561" s="522">
        <v>201610</v>
      </c>
      <c r="G561" s="523">
        <v>-2780.44</v>
      </c>
      <c r="H561" s="590">
        <v>6.5</v>
      </c>
      <c r="I561" s="400">
        <v>3.1250000000000002E-3</v>
      </c>
      <c r="J561" s="523">
        <v>-56.48</v>
      </c>
      <c r="K561" s="523">
        <v>-104.27</v>
      </c>
    </row>
    <row r="562" spans="1:11" s="559" customFormat="1">
      <c r="A562" s="521" t="s">
        <v>346</v>
      </c>
      <c r="B562" s="522" t="s">
        <v>367</v>
      </c>
      <c r="C562" s="522"/>
      <c r="D562" s="522"/>
      <c r="E562" s="521" t="s">
        <v>368</v>
      </c>
      <c r="F562" s="522">
        <v>201610</v>
      </c>
      <c r="G562" s="523">
        <v>-27.19</v>
      </c>
      <c r="H562" s="590">
        <v>6.5</v>
      </c>
      <c r="I562" s="400">
        <v>3.1250000000000002E-3</v>
      </c>
      <c r="J562" s="523">
        <v>-0.55000000000000004</v>
      </c>
      <c r="K562" s="523">
        <v>-1.02</v>
      </c>
    </row>
    <row r="563" spans="1:11" s="559" customFormat="1">
      <c r="A563" s="521" t="s">
        <v>346</v>
      </c>
      <c r="B563" s="522" t="s">
        <v>377</v>
      </c>
      <c r="C563" s="522"/>
      <c r="D563" s="522"/>
      <c r="E563" s="521" t="s">
        <v>378</v>
      </c>
      <c r="F563" s="522">
        <v>201610</v>
      </c>
      <c r="G563" s="523">
        <v>-4691.29</v>
      </c>
      <c r="H563" s="590">
        <v>6.5</v>
      </c>
      <c r="I563" s="400">
        <v>3.1250000000000002E-3</v>
      </c>
      <c r="J563" s="523">
        <v>-95.29</v>
      </c>
      <c r="K563" s="523">
        <v>-175.92</v>
      </c>
    </row>
    <row r="564" spans="1:11" s="559" customFormat="1">
      <c r="A564" s="521" t="s">
        <v>346</v>
      </c>
      <c r="B564" s="522" t="s">
        <v>385</v>
      </c>
      <c r="C564" s="522"/>
      <c r="D564" s="522"/>
      <c r="E564" s="521" t="s">
        <v>386</v>
      </c>
      <c r="F564" s="522">
        <v>201610</v>
      </c>
      <c r="G564" s="523">
        <v>-35667.019999999997</v>
      </c>
      <c r="H564" s="590">
        <v>6.5</v>
      </c>
      <c r="I564" s="400">
        <v>3.1250000000000002E-3</v>
      </c>
      <c r="J564" s="523">
        <v>-724.49</v>
      </c>
      <c r="K564" s="523">
        <v>-1337.51</v>
      </c>
    </row>
    <row r="565" spans="1:11" s="559" customFormat="1">
      <c r="A565" s="521" t="s">
        <v>346</v>
      </c>
      <c r="B565" s="522" t="s">
        <v>387</v>
      </c>
      <c r="C565" s="522"/>
      <c r="D565" s="522"/>
      <c r="E565" s="521" t="s">
        <v>388</v>
      </c>
      <c r="F565" s="522">
        <v>201610</v>
      </c>
      <c r="G565" s="523">
        <v>-840.77</v>
      </c>
      <c r="H565" s="590">
        <v>6.5</v>
      </c>
      <c r="I565" s="400">
        <v>3.1250000000000002E-3</v>
      </c>
      <c r="J565" s="523">
        <v>-17.079999999999998</v>
      </c>
      <c r="K565" s="523">
        <v>-31.53</v>
      </c>
    </row>
    <row r="566" spans="1:11" s="559" customFormat="1">
      <c r="A566" s="521" t="s">
        <v>346</v>
      </c>
      <c r="B566" s="522" t="s">
        <v>832</v>
      </c>
      <c r="C566" s="522"/>
      <c r="D566" s="522"/>
      <c r="E566" s="521" t="s">
        <v>833</v>
      </c>
      <c r="F566" s="522">
        <v>201610</v>
      </c>
      <c r="G566" s="523">
        <v>-25930.14</v>
      </c>
      <c r="H566" s="590">
        <v>6.5</v>
      </c>
      <c r="I566" s="400">
        <v>3.1250000000000002E-3</v>
      </c>
      <c r="J566" s="523">
        <v>-526.71</v>
      </c>
      <c r="K566" s="523">
        <v>-972.38</v>
      </c>
    </row>
    <row r="567" spans="1:11" s="559" customFormat="1">
      <c r="A567" s="521" t="s">
        <v>346</v>
      </c>
      <c r="B567" s="522" t="s">
        <v>947</v>
      </c>
      <c r="C567" s="522"/>
      <c r="D567" s="522"/>
      <c r="E567" s="521" t="s">
        <v>948</v>
      </c>
      <c r="F567" s="522">
        <v>201610</v>
      </c>
      <c r="G567" s="523">
        <v>-89428.25</v>
      </c>
      <c r="H567" s="590">
        <v>6.5</v>
      </c>
      <c r="I567" s="400">
        <v>3.1250000000000002E-3</v>
      </c>
      <c r="J567" s="523">
        <v>-1816.51</v>
      </c>
      <c r="K567" s="523">
        <v>-3353.56</v>
      </c>
    </row>
    <row r="568" spans="1:11">
      <c r="A568" s="521" t="s">
        <v>346</v>
      </c>
      <c r="B568" s="522" t="s">
        <v>951</v>
      </c>
      <c r="C568" s="522"/>
      <c r="D568" s="522"/>
      <c r="E568" s="521" t="s">
        <v>952</v>
      </c>
      <c r="F568" s="522">
        <v>201610</v>
      </c>
      <c r="G568" s="523">
        <v>-119076.22</v>
      </c>
      <c r="H568" s="590">
        <v>6.5</v>
      </c>
      <c r="I568" s="400">
        <v>3.1250000000000002E-3</v>
      </c>
      <c r="J568" s="523">
        <v>-2418.7399999999998</v>
      </c>
      <c r="K568" s="523">
        <v>-4465.3599999999997</v>
      </c>
    </row>
    <row r="569" spans="1:11">
      <c r="A569" s="521" t="s">
        <v>346</v>
      </c>
      <c r="B569" s="522" t="s">
        <v>955</v>
      </c>
      <c r="C569" s="522"/>
      <c r="D569" s="522"/>
      <c r="E569" s="521" t="s">
        <v>956</v>
      </c>
      <c r="F569" s="522">
        <v>201610</v>
      </c>
      <c r="G569" s="523">
        <v>-300989.28999999998</v>
      </c>
      <c r="H569" s="590">
        <v>6.5</v>
      </c>
      <c r="I569" s="400">
        <v>3.1250000000000002E-3</v>
      </c>
      <c r="J569" s="523">
        <v>-6113.84</v>
      </c>
      <c r="K569" s="523">
        <v>-11287.1</v>
      </c>
    </row>
    <row r="570" spans="1:11">
      <c r="A570" s="521" t="s">
        <v>346</v>
      </c>
      <c r="B570" s="522" t="s">
        <v>878</v>
      </c>
      <c r="C570" s="522"/>
      <c r="D570" s="522"/>
      <c r="E570" s="521" t="s">
        <v>879</v>
      </c>
      <c r="F570" s="522">
        <v>201610</v>
      </c>
      <c r="G570" s="523">
        <v>-41701.19</v>
      </c>
      <c r="H570" s="590">
        <v>6.5</v>
      </c>
      <c r="I570" s="400">
        <v>3.1250000000000002E-3</v>
      </c>
      <c r="J570" s="523">
        <v>-847.06</v>
      </c>
      <c r="K570" s="523">
        <v>-1563.79</v>
      </c>
    </row>
    <row r="571" spans="1:11">
      <c r="A571" s="521" t="s">
        <v>346</v>
      </c>
      <c r="B571" s="522" t="s">
        <v>397</v>
      </c>
      <c r="C571" s="522"/>
      <c r="D571" s="522"/>
      <c r="E571" s="521" t="s">
        <v>398</v>
      </c>
      <c r="F571" s="522">
        <v>201611</v>
      </c>
      <c r="G571" s="523">
        <v>-1970.14</v>
      </c>
      <c r="H571" s="590">
        <v>5.5</v>
      </c>
      <c r="I571" s="400">
        <v>3.1250000000000002E-3</v>
      </c>
      <c r="J571" s="523">
        <v>-33.86</v>
      </c>
      <c r="K571" s="523">
        <v>-73.88</v>
      </c>
    </row>
    <row r="572" spans="1:11">
      <c r="A572" s="521" t="s">
        <v>346</v>
      </c>
      <c r="B572" s="522" t="s">
        <v>347</v>
      </c>
      <c r="C572" s="522"/>
      <c r="D572" s="522"/>
      <c r="E572" s="521" t="s">
        <v>348</v>
      </c>
      <c r="F572" s="522">
        <v>201611</v>
      </c>
      <c r="G572" s="523">
        <v>-76837.45</v>
      </c>
      <c r="H572" s="590">
        <v>5.5</v>
      </c>
      <c r="I572" s="400">
        <v>3.1250000000000002E-3</v>
      </c>
      <c r="J572" s="523">
        <v>-1320.64</v>
      </c>
      <c r="K572" s="523">
        <v>-2881.4</v>
      </c>
    </row>
    <row r="573" spans="1:11">
      <c r="A573" s="521" t="s">
        <v>346</v>
      </c>
      <c r="B573" s="522" t="s">
        <v>355</v>
      </c>
      <c r="C573" s="522"/>
      <c r="D573" s="522"/>
      <c r="E573" s="521" t="s">
        <v>356</v>
      </c>
      <c r="F573" s="522">
        <v>201611</v>
      </c>
      <c r="G573" s="523">
        <v>-45.14</v>
      </c>
      <c r="H573" s="590">
        <v>5.5</v>
      </c>
      <c r="I573" s="400">
        <v>3.1250000000000002E-3</v>
      </c>
      <c r="J573" s="523">
        <v>-0.78</v>
      </c>
      <c r="K573" s="523">
        <v>-1.69</v>
      </c>
    </row>
    <row r="574" spans="1:11">
      <c r="A574" s="521" t="s">
        <v>346</v>
      </c>
      <c r="B574" s="522" t="s">
        <v>357</v>
      </c>
      <c r="C574" s="522"/>
      <c r="D574" s="522"/>
      <c r="E574" s="521" t="s">
        <v>358</v>
      </c>
      <c r="F574" s="522">
        <v>201611</v>
      </c>
      <c r="G574" s="523">
        <v>-2615.0300000000002</v>
      </c>
      <c r="H574" s="590">
        <v>5.5</v>
      </c>
      <c r="I574" s="400">
        <v>3.1250000000000002E-3</v>
      </c>
      <c r="J574" s="523">
        <v>-44.95</v>
      </c>
      <c r="K574" s="523">
        <v>-98.06</v>
      </c>
    </row>
    <row r="575" spans="1:11">
      <c r="A575" s="521" t="s">
        <v>346</v>
      </c>
      <c r="B575" s="522" t="s">
        <v>367</v>
      </c>
      <c r="C575" s="522"/>
      <c r="D575" s="522"/>
      <c r="E575" s="521" t="s">
        <v>368</v>
      </c>
      <c r="F575" s="522">
        <v>201611</v>
      </c>
      <c r="G575" s="523">
        <v>-1107.8399999999999</v>
      </c>
      <c r="H575" s="590">
        <v>5.5</v>
      </c>
      <c r="I575" s="400">
        <v>3.1250000000000002E-3</v>
      </c>
      <c r="J575" s="523">
        <v>-19.04</v>
      </c>
      <c r="K575" s="523">
        <v>-41.54</v>
      </c>
    </row>
    <row r="576" spans="1:11">
      <c r="A576" s="521" t="s">
        <v>346</v>
      </c>
      <c r="B576" s="522" t="s">
        <v>401</v>
      </c>
      <c r="C576" s="522"/>
      <c r="D576" s="522"/>
      <c r="E576" s="521" t="s">
        <v>402</v>
      </c>
      <c r="F576" s="522">
        <v>201611</v>
      </c>
      <c r="G576" s="523">
        <v>-60.95</v>
      </c>
      <c r="H576" s="590">
        <v>5.5</v>
      </c>
      <c r="I576" s="400">
        <v>3.1250000000000002E-3</v>
      </c>
      <c r="J576" s="523">
        <v>-1.05</v>
      </c>
      <c r="K576" s="523">
        <v>-2.29</v>
      </c>
    </row>
    <row r="577" spans="1:11">
      <c r="A577" s="521" t="s">
        <v>346</v>
      </c>
      <c r="B577" s="522" t="s">
        <v>377</v>
      </c>
      <c r="C577" s="522"/>
      <c r="D577" s="522"/>
      <c r="E577" s="521" t="s">
        <v>378</v>
      </c>
      <c r="F577" s="522">
        <v>201611</v>
      </c>
      <c r="G577" s="523">
        <v>-4639.63</v>
      </c>
      <c r="H577" s="590">
        <v>5.5</v>
      </c>
      <c r="I577" s="400">
        <v>3.1250000000000002E-3</v>
      </c>
      <c r="J577" s="523">
        <v>-79.739999999999995</v>
      </c>
      <c r="K577" s="523">
        <v>-173.99</v>
      </c>
    </row>
    <row r="578" spans="1:11">
      <c r="A578" s="521" t="s">
        <v>346</v>
      </c>
      <c r="B578" s="522" t="s">
        <v>381</v>
      </c>
      <c r="C578" s="522"/>
      <c r="D578" s="522"/>
      <c r="E578" s="521" t="s">
        <v>382</v>
      </c>
      <c r="F578" s="522">
        <v>201611</v>
      </c>
      <c r="G578" s="523">
        <v>-862.35</v>
      </c>
      <c r="H578" s="590">
        <v>5.5</v>
      </c>
      <c r="I578" s="400">
        <v>3.1250000000000002E-3</v>
      </c>
      <c r="J578" s="523">
        <v>-14.82</v>
      </c>
      <c r="K578" s="523">
        <v>-32.340000000000003</v>
      </c>
    </row>
    <row r="579" spans="1:11">
      <c r="A579" s="521" t="s">
        <v>346</v>
      </c>
      <c r="B579" s="522" t="s">
        <v>385</v>
      </c>
      <c r="C579" s="522"/>
      <c r="D579" s="522"/>
      <c r="E579" s="521" t="s">
        <v>386</v>
      </c>
      <c r="F579" s="522">
        <v>201611</v>
      </c>
      <c r="G579" s="523">
        <v>-19535.07</v>
      </c>
      <c r="H579" s="590">
        <v>5.5</v>
      </c>
      <c r="I579" s="400">
        <v>3.1250000000000002E-3</v>
      </c>
      <c r="J579" s="523">
        <v>-335.76</v>
      </c>
      <c r="K579" s="523">
        <v>-732.57</v>
      </c>
    </row>
    <row r="580" spans="1:11">
      <c r="A580" s="521" t="s">
        <v>346</v>
      </c>
      <c r="B580" s="522" t="s">
        <v>389</v>
      </c>
      <c r="C580" s="522"/>
      <c r="D580" s="522"/>
      <c r="E580" s="521" t="s">
        <v>390</v>
      </c>
      <c r="F580" s="522">
        <v>201611</v>
      </c>
      <c r="G580" s="523">
        <v>-13.18</v>
      </c>
      <c r="H580" s="590">
        <v>5.5</v>
      </c>
      <c r="I580" s="400">
        <v>3.1250000000000002E-3</v>
      </c>
      <c r="J580" s="523">
        <v>-0.23</v>
      </c>
      <c r="K580" s="523">
        <v>-0.49</v>
      </c>
    </row>
    <row r="581" spans="1:11">
      <c r="A581" s="521" t="s">
        <v>346</v>
      </c>
      <c r="B581" s="522" t="s">
        <v>397</v>
      </c>
      <c r="C581" s="522"/>
      <c r="D581" s="522"/>
      <c r="E581" s="521" t="s">
        <v>398</v>
      </c>
      <c r="F581" s="522">
        <v>201612</v>
      </c>
      <c r="G581" s="523">
        <v>-388.22</v>
      </c>
      <c r="H581" s="590">
        <v>4.5</v>
      </c>
      <c r="I581" s="400">
        <v>3.1250000000000002E-3</v>
      </c>
      <c r="J581" s="523">
        <v>-5.46</v>
      </c>
      <c r="K581" s="523">
        <v>-14.56</v>
      </c>
    </row>
    <row r="582" spans="1:11">
      <c r="A582" s="521" t="s">
        <v>346</v>
      </c>
      <c r="B582" s="522" t="s">
        <v>347</v>
      </c>
      <c r="C582" s="522"/>
      <c r="D582" s="522"/>
      <c r="E582" s="521" t="s">
        <v>348</v>
      </c>
      <c r="F582" s="522">
        <v>201612</v>
      </c>
      <c r="G582" s="523">
        <v>-36335.360000000001</v>
      </c>
      <c r="H582" s="590">
        <v>4.5</v>
      </c>
      <c r="I582" s="400">
        <v>3.1250000000000002E-3</v>
      </c>
      <c r="J582" s="523">
        <v>-510.97</v>
      </c>
      <c r="K582" s="523">
        <v>-1362.58</v>
      </c>
    </row>
    <row r="583" spans="1:11">
      <c r="A583" s="608" t="s">
        <v>346</v>
      </c>
      <c r="B583" s="495" t="s">
        <v>349</v>
      </c>
      <c r="C583" s="460"/>
      <c r="D583" s="495"/>
      <c r="E583" s="479" t="s">
        <v>350</v>
      </c>
      <c r="F583" s="495">
        <v>201612</v>
      </c>
      <c r="G583" s="480">
        <v>-491.91</v>
      </c>
      <c r="H583" s="479">
        <v>4.5</v>
      </c>
      <c r="I583" s="492">
        <v>3.1250000000000002E-3</v>
      </c>
      <c r="J583" s="420">
        <v>-6.92</v>
      </c>
      <c r="K583" s="493">
        <v>-18.45</v>
      </c>
    </row>
    <row r="584" spans="1:11">
      <c r="A584" s="521" t="s">
        <v>346</v>
      </c>
      <c r="B584" s="522" t="s">
        <v>351</v>
      </c>
      <c r="C584"/>
      <c r="D584"/>
      <c r="E584" s="521" t="s">
        <v>352</v>
      </c>
      <c r="F584" s="522">
        <v>201612</v>
      </c>
      <c r="G584" s="523">
        <v>-2108.37</v>
      </c>
      <c r="H584" s="590">
        <v>4.5</v>
      </c>
      <c r="I584" s="400">
        <v>3.1250000000000002E-3</v>
      </c>
      <c r="J584" s="523">
        <v>-29.65</v>
      </c>
      <c r="K584" s="523">
        <v>-79.06</v>
      </c>
    </row>
    <row r="585" spans="1:11">
      <c r="A585" s="521" t="s">
        <v>346</v>
      </c>
      <c r="B585" s="522" t="s">
        <v>361</v>
      </c>
      <c r="C585"/>
      <c r="D585"/>
      <c r="E585" s="521" t="s">
        <v>362</v>
      </c>
      <c r="F585" s="522">
        <v>201612</v>
      </c>
      <c r="G585" s="523">
        <v>-5569.3</v>
      </c>
      <c r="H585" s="590">
        <v>4.5</v>
      </c>
      <c r="I585" s="400">
        <v>3.1250000000000002E-3</v>
      </c>
      <c r="J585" s="523">
        <v>-78.319999999999993</v>
      </c>
      <c r="K585" s="523">
        <v>-208.85</v>
      </c>
    </row>
    <row r="586" spans="1:11" s="559" customFormat="1">
      <c r="A586" s="521" t="s">
        <v>346</v>
      </c>
      <c r="B586" s="522" t="s">
        <v>367</v>
      </c>
      <c r="C586"/>
      <c r="D586"/>
      <c r="E586" s="521" t="s">
        <v>368</v>
      </c>
      <c r="F586" s="522">
        <v>201612</v>
      </c>
      <c r="G586" s="523">
        <v>-215.13</v>
      </c>
      <c r="H586" s="590">
        <v>4.5</v>
      </c>
      <c r="I586" s="400">
        <v>3.1250000000000002E-3</v>
      </c>
      <c r="J586" s="523">
        <v>-3.03</v>
      </c>
      <c r="K586" s="523">
        <v>-8.07</v>
      </c>
    </row>
    <row r="587" spans="1:11" s="559" customFormat="1">
      <c r="A587" s="521" t="s">
        <v>346</v>
      </c>
      <c r="B587" s="522" t="s">
        <v>401</v>
      </c>
      <c r="C587"/>
      <c r="D587"/>
      <c r="E587" s="521" t="s">
        <v>402</v>
      </c>
      <c r="F587" s="522">
        <v>201612</v>
      </c>
      <c r="G587" s="523">
        <v>-64.95</v>
      </c>
      <c r="H587" s="590">
        <v>4.5</v>
      </c>
      <c r="I587" s="400">
        <v>3.1250000000000002E-3</v>
      </c>
      <c r="J587" s="523">
        <v>-0.91</v>
      </c>
      <c r="K587" s="523">
        <v>-2.44</v>
      </c>
    </row>
    <row r="588" spans="1:11" s="559" customFormat="1">
      <c r="A588" s="521" t="s">
        <v>346</v>
      </c>
      <c r="B588" s="522" t="s">
        <v>377</v>
      </c>
      <c r="C588"/>
      <c r="D588"/>
      <c r="E588" s="521" t="s">
        <v>378</v>
      </c>
      <c r="F588" s="522">
        <v>201612</v>
      </c>
      <c r="G588" s="523">
        <v>-9798.7800000000007</v>
      </c>
      <c r="H588" s="590">
        <v>4.5</v>
      </c>
      <c r="I588" s="400">
        <v>3.1250000000000002E-3</v>
      </c>
      <c r="J588" s="523">
        <v>-137.80000000000001</v>
      </c>
      <c r="K588" s="523">
        <v>-367.45</v>
      </c>
    </row>
    <row r="589" spans="1:11" s="559" customFormat="1">
      <c r="A589" s="521" t="s">
        <v>346</v>
      </c>
      <c r="B589" s="522" t="s">
        <v>379</v>
      </c>
      <c r="C589"/>
      <c r="D589"/>
      <c r="E589" s="521" t="s">
        <v>380</v>
      </c>
      <c r="F589" s="522">
        <v>201612</v>
      </c>
      <c r="G589" s="523">
        <v>-825.35</v>
      </c>
      <c r="H589" s="590">
        <v>4.5</v>
      </c>
      <c r="I589" s="400">
        <v>3.1250000000000002E-3</v>
      </c>
      <c r="J589" s="523">
        <v>-11.61</v>
      </c>
      <c r="K589" s="523">
        <v>-30.95</v>
      </c>
    </row>
    <row r="590" spans="1:11" s="559" customFormat="1">
      <c r="A590" s="521" t="s">
        <v>346</v>
      </c>
      <c r="B590" s="522" t="s">
        <v>403</v>
      </c>
      <c r="C590"/>
      <c r="D590"/>
      <c r="E590" s="521" t="s">
        <v>404</v>
      </c>
      <c r="F590" s="522">
        <v>201612</v>
      </c>
      <c r="G590" s="523">
        <v>-933.72</v>
      </c>
      <c r="H590" s="590">
        <v>4.5</v>
      </c>
      <c r="I590" s="400">
        <v>3.1250000000000002E-3</v>
      </c>
      <c r="J590" s="523">
        <v>-13.13</v>
      </c>
      <c r="K590" s="523">
        <v>-35.01</v>
      </c>
    </row>
    <row r="591" spans="1:11" s="559" customFormat="1">
      <c r="A591" s="521" t="s">
        <v>346</v>
      </c>
      <c r="B591" s="522" t="s">
        <v>385</v>
      </c>
      <c r="C591"/>
      <c r="D591"/>
      <c r="E591" s="521" t="s">
        <v>386</v>
      </c>
      <c r="F591" s="522">
        <v>201612</v>
      </c>
      <c r="G591" s="523">
        <v>-9216.82</v>
      </c>
      <c r="H591" s="590">
        <v>4.5</v>
      </c>
      <c r="I591" s="400">
        <v>3.1250000000000002E-3</v>
      </c>
      <c r="J591" s="523">
        <v>-129.61000000000001</v>
      </c>
      <c r="K591" s="523">
        <v>-345.63</v>
      </c>
    </row>
    <row r="592" spans="1:11" s="559" customFormat="1">
      <c r="A592" s="521" t="s">
        <v>346</v>
      </c>
      <c r="B592" s="522" t="s">
        <v>391</v>
      </c>
      <c r="C592"/>
      <c r="D592"/>
      <c r="E592" s="521" t="s">
        <v>392</v>
      </c>
      <c r="F592" s="522">
        <v>201612</v>
      </c>
      <c r="G592" s="523">
        <v>-12249.91</v>
      </c>
      <c r="H592" s="590">
        <v>4.5</v>
      </c>
      <c r="I592" s="400">
        <v>3.1250000000000002E-3</v>
      </c>
      <c r="J592" s="523">
        <v>-172.26</v>
      </c>
      <c r="K592" s="523">
        <v>-459.37</v>
      </c>
    </row>
    <row r="593" spans="1:19" s="559" customFormat="1">
      <c r="A593" s="521" t="s">
        <v>346</v>
      </c>
      <c r="B593" s="522" t="s">
        <v>973</v>
      </c>
      <c r="C593"/>
      <c r="D593"/>
      <c r="E593" s="521" t="s">
        <v>974</v>
      </c>
      <c r="F593" s="522">
        <v>201612</v>
      </c>
      <c r="G593" s="523">
        <v>-70707.81</v>
      </c>
      <c r="H593" s="590">
        <v>4.5</v>
      </c>
      <c r="I593" s="400">
        <v>3.1250000000000002E-3</v>
      </c>
      <c r="J593" s="523">
        <v>-994.33</v>
      </c>
      <c r="K593" s="523">
        <v>-2651.54</v>
      </c>
    </row>
    <row r="594" spans="1:19" s="559" customFormat="1">
      <c r="A594" s="521" t="s">
        <v>346</v>
      </c>
      <c r="B594" s="522" t="s">
        <v>979</v>
      </c>
      <c r="C594"/>
      <c r="D594"/>
      <c r="E594" s="521" t="s">
        <v>980</v>
      </c>
      <c r="F594" s="522">
        <v>201612</v>
      </c>
      <c r="G594" s="523">
        <v>-88155.26</v>
      </c>
      <c r="H594" s="590">
        <v>4.5</v>
      </c>
      <c r="I594" s="400">
        <v>3.1250000000000002E-3</v>
      </c>
      <c r="J594" s="523">
        <v>-1239.68</v>
      </c>
      <c r="K594" s="523">
        <v>-3305.82</v>
      </c>
    </row>
    <row r="595" spans="1:19" s="559" customFormat="1">
      <c r="A595" s="521" t="s">
        <v>346</v>
      </c>
      <c r="B595" s="522" t="s">
        <v>985</v>
      </c>
      <c r="C595"/>
      <c r="D595"/>
      <c r="E595" s="521" t="s">
        <v>986</v>
      </c>
      <c r="F595" s="522">
        <v>201612</v>
      </c>
      <c r="G595" s="523">
        <v>-48249.82</v>
      </c>
      <c r="H595" s="590">
        <v>4.5</v>
      </c>
      <c r="I595" s="400">
        <v>3.1250000000000002E-3</v>
      </c>
      <c r="J595" s="523">
        <v>-678.51</v>
      </c>
      <c r="K595" s="523">
        <v>-1809.37</v>
      </c>
    </row>
    <row r="596" spans="1:19" s="559" customFormat="1">
      <c r="A596" s="521"/>
      <c r="B596" s="522"/>
      <c r="C596"/>
      <c r="D596"/>
      <c r="E596" s="521"/>
      <c r="F596" s="522"/>
      <c r="G596" s="523"/>
      <c r="H596" s="590"/>
      <c r="I596" s="400"/>
      <c r="J596" s="523"/>
      <c r="K596" s="523"/>
    </row>
    <row r="597" spans="1:19">
      <c r="A597" s="108"/>
      <c r="B597" s="108"/>
      <c r="C597" s="108"/>
      <c r="D597" s="108"/>
      <c r="E597" s="126"/>
      <c r="F597" s="159"/>
      <c r="G597" s="82"/>
      <c r="H597" s="180"/>
      <c r="I597" s="168"/>
      <c r="J597" s="82"/>
      <c r="K597" s="82"/>
    </row>
    <row r="598" spans="1:19">
      <c r="A598" s="108"/>
      <c r="B598" s="108"/>
      <c r="C598" s="108"/>
      <c r="D598" s="108"/>
      <c r="E598" s="126"/>
      <c r="F598" s="159"/>
      <c r="G598" s="82"/>
      <c r="H598" s="180"/>
      <c r="I598" s="168"/>
      <c r="J598" s="82"/>
      <c r="K598" s="82"/>
      <c r="S598" s="101">
        <f t="shared" ref="S598" si="6">IF(F598&lt;=$S$1,$U$5,$U$6)</f>
        <v>2014</v>
      </c>
    </row>
    <row r="599" spans="1:19">
      <c r="A599" s="114"/>
      <c r="B599" s="114"/>
      <c r="C599" s="114"/>
      <c r="D599" s="114"/>
      <c r="E599" s="114"/>
      <c r="F599" s="164"/>
      <c r="G599" s="129"/>
      <c r="H599" s="181"/>
      <c r="I599" s="132"/>
      <c r="J599" s="129"/>
      <c r="K599" s="129"/>
    </row>
    <row r="600" spans="1:19" ht="13.5" thickBot="1">
      <c r="A600" s="114"/>
      <c r="B600" s="114"/>
      <c r="C600" s="114"/>
      <c r="D600" s="114"/>
      <c r="E600" s="114"/>
      <c r="F600" s="185" t="s">
        <v>107</v>
      </c>
      <c r="G600" s="130">
        <f>SUM(G378:G599)</f>
        <v>-7879187.8999999985</v>
      </c>
      <c r="H600" s="181"/>
      <c r="I600" s="132"/>
      <c r="J600" s="130">
        <f>SUM(J378:J599)</f>
        <v>-196851.44</v>
      </c>
      <c r="K600" s="130">
        <f>SUM(K378:K599)</f>
        <v>-295469.56999999995</v>
      </c>
    </row>
    <row r="601" spans="1:19" ht="13.5" thickTop="1">
      <c r="A601" s="114"/>
      <c r="B601" s="114"/>
      <c r="C601" s="114"/>
      <c r="D601" s="114"/>
      <c r="E601" s="114"/>
      <c r="F601" s="164"/>
      <c r="G601" s="103"/>
      <c r="H601" s="181"/>
      <c r="I601" s="132"/>
      <c r="J601" s="103"/>
      <c r="K601" s="103"/>
    </row>
    <row r="602" spans="1:19">
      <c r="A602" s="69" t="s">
        <v>216</v>
      </c>
      <c r="B602" s="101"/>
      <c r="C602" s="101"/>
      <c r="D602" s="101"/>
      <c r="G602" s="176"/>
      <c r="H602" s="101"/>
      <c r="J602" s="101"/>
      <c r="K602" s="101"/>
    </row>
    <row r="603" spans="1:19">
      <c r="A603" s="101"/>
      <c r="B603" s="101"/>
      <c r="C603" s="101"/>
      <c r="D603" s="101"/>
      <c r="G603" s="176"/>
      <c r="H603" s="101"/>
      <c r="J603" s="101"/>
      <c r="K603" s="101"/>
    </row>
    <row r="604" spans="1:19">
      <c r="A604" s="81" t="s">
        <v>86</v>
      </c>
      <c r="B604" s="81" t="s">
        <v>87</v>
      </c>
      <c r="C604" s="81" t="s">
        <v>88</v>
      </c>
      <c r="D604" s="81"/>
      <c r="E604" s="81" t="s">
        <v>104</v>
      </c>
      <c r="F604" s="146" t="s">
        <v>89</v>
      </c>
      <c r="G604" s="81" t="s">
        <v>90</v>
      </c>
      <c r="H604" s="177"/>
      <c r="I604" s="81" t="s">
        <v>91</v>
      </c>
      <c r="J604" s="81" t="s">
        <v>92</v>
      </c>
      <c r="K604" s="81" t="s">
        <v>93</v>
      </c>
    </row>
    <row r="605" spans="1:19">
      <c r="A605" s="86" t="s">
        <v>94</v>
      </c>
      <c r="B605" s="86" t="s">
        <v>95</v>
      </c>
      <c r="C605" s="86" t="s">
        <v>96</v>
      </c>
      <c r="D605" s="87"/>
      <c r="E605" s="87" t="s">
        <v>105</v>
      </c>
      <c r="F605" s="148" t="s">
        <v>98</v>
      </c>
      <c r="G605" s="86" t="s">
        <v>99</v>
      </c>
      <c r="H605" s="182" t="s">
        <v>100</v>
      </c>
      <c r="I605" s="86" t="s">
        <v>101</v>
      </c>
      <c r="J605" s="86" t="s">
        <v>93</v>
      </c>
      <c r="K605" s="86" t="s">
        <v>102</v>
      </c>
    </row>
    <row r="606" spans="1:19">
      <c r="A606" s="107"/>
      <c r="B606" s="108"/>
      <c r="C606" s="108"/>
      <c r="D606" s="108"/>
      <c r="E606" s="108"/>
      <c r="F606" s="159"/>
      <c r="G606" s="110"/>
      <c r="H606" s="180"/>
      <c r="I606" s="168"/>
      <c r="J606" s="82"/>
      <c r="K606" s="82"/>
      <c r="S606" s="101">
        <f t="shared" ref="S606:S607" si="7">IF(F606&lt;=$S$1,$U$5,$U$6)</f>
        <v>2014</v>
      </c>
    </row>
    <row r="607" spans="1:19">
      <c r="A607" s="107"/>
      <c r="B607" s="108"/>
      <c r="C607" s="108"/>
      <c r="D607" s="108"/>
      <c r="E607" s="108"/>
      <c r="F607" s="159"/>
      <c r="G607" s="110"/>
      <c r="H607" s="180"/>
      <c r="I607" s="168"/>
      <c r="J607" s="82"/>
      <c r="K607" s="82"/>
      <c r="S607" s="101">
        <f t="shared" si="7"/>
        <v>2014</v>
      </c>
    </row>
    <row r="608" spans="1:19">
      <c r="A608" s="101"/>
      <c r="B608" s="101"/>
      <c r="C608" s="101"/>
      <c r="D608" s="101"/>
      <c r="G608" s="101"/>
      <c r="H608" s="101"/>
      <c r="J608" s="101"/>
      <c r="K608" s="101"/>
    </row>
    <row r="609" spans="1:19" ht="13.5" thickBot="1">
      <c r="A609" s="69" t="s">
        <v>110</v>
      </c>
      <c r="B609" s="101"/>
      <c r="C609" s="101"/>
      <c r="D609" s="101"/>
      <c r="G609" s="120">
        <f>SUM(G606:G608)</f>
        <v>0</v>
      </c>
      <c r="H609" s="101"/>
      <c r="J609" s="120">
        <f>SUM(J606:J607)</f>
        <v>0</v>
      </c>
      <c r="K609" s="120">
        <f>SUM(K606:K607)</f>
        <v>0</v>
      </c>
    </row>
    <row r="610" spans="1:19" ht="13.5" thickTop="1">
      <c r="A610" s="101"/>
      <c r="B610" s="101"/>
      <c r="C610" s="101"/>
      <c r="D610" s="101"/>
      <c r="G610" s="101"/>
      <c r="H610" s="101"/>
      <c r="J610" s="101"/>
      <c r="K610" s="101"/>
    </row>
    <row r="611" spans="1:19" ht="13.5" thickBot="1">
      <c r="A611" s="95" t="s">
        <v>130</v>
      </c>
      <c r="G611" s="130">
        <f>+G600+G372+G609</f>
        <v>-8574895.1099999975</v>
      </c>
      <c r="J611" s="130">
        <f>+J600+J372+J609</f>
        <v>-219268.72</v>
      </c>
      <c r="K611" s="130">
        <f>+K600+K372+K609</f>
        <v>-331854.80999999994</v>
      </c>
    </row>
    <row r="612" spans="1:19" ht="13.5" thickTop="1">
      <c r="A612" s="95"/>
      <c r="G612" s="103"/>
      <c r="J612" s="103"/>
      <c r="K612" s="103"/>
    </row>
    <row r="613" spans="1:19">
      <c r="A613" s="95" t="s">
        <v>166</v>
      </c>
      <c r="G613" s="103"/>
      <c r="J613" s="103"/>
      <c r="K613" s="103"/>
    </row>
    <row r="614" spans="1:19">
      <c r="A614" s="95"/>
      <c r="G614" s="103"/>
      <c r="J614" s="103"/>
      <c r="K614" s="103"/>
    </row>
    <row r="615" spans="1:19">
      <c r="A615" s="88" t="s">
        <v>304</v>
      </c>
    </row>
    <row r="617" spans="1:19">
      <c r="A617" s="81" t="s">
        <v>86</v>
      </c>
      <c r="B617" s="81" t="s">
        <v>87</v>
      </c>
      <c r="C617" s="81" t="s">
        <v>88</v>
      </c>
      <c r="D617" s="81"/>
      <c r="E617" s="81"/>
      <c r="F617" s="146" t="s">
        <v>121</v>
      </c>
      <c r="G617" s="89" t="s">
        <v>121</v>
      </c>
      <c r="H617" s="177"/>
      <c r="I617" s="81" t="s">
        <v>91</v>
      </c>
      <c r="J617" s="90" t="s">
        <v>92</v>
      </c>
      <c r="K617" s="90" t="s">
        <v>106</v>
      </c>
    </row>
    <row r="618" spans="1:19">
      <c r="A618" s="86" t="s">
        <v>94</v>
      </c>
      <c r="B618" s="86" t="s">
        <v>95</v>
      </c>
      <c r="C618" s="86" t="s">
        <v>96</v>
      </c>
      <c r="D618" s="86"/>
      <c r="E618" s="86" t="s">
        <v>97</v>
      </c>
      <c r="F618" s="148" t="s">
        <v>98</v>
      </c>
      <c r="G618" s="92" t="s">
        <v>99</v>
      </c>
      <c r="H618" s="182" t="s">
        <v>100</v>
      </c>
      <c r="I618" s="86" t="s">
        <v>101</v>
      </c>
      <c r="J618" s="92" t="s">
        <v>93</v>
      </c>
      <c r="K618" s="92" t="s">
        <v>102</v>
      </c>
    </row>
    <row r="619" spans="1:19">
      <c r="A619" s="496" t="s">
        <v>410</v>
      </c>
      <c r="B619" s="522" t="s">
        <v>932</v>
      </c>
      <c r="C619" s="522"/>
      <c r="D619" s="522"/>
      <c r="E619" s="521" t="s">
        <v>933</v>
      </c>
      <c r="F619" s="522">
        <v>201606</v>
      </c>
      <c r="G619" s="523">
        <v>-128971.48</v>
      </c>
      <c r="H619" s="590">
        <v>10.5</v>
      </c>
      <c r="I619" s="486">
        <v>3.0917000000000002E-3</v>
      </c>
      <c r="J619" s="523">
        <v>-4186.78</v>
      </c>
      <c r="K619" s="523">
        <v>-4784.8900000000003</v>
      </c>
      <c r="S619" s="101">
        <f t="shared" ref="S619:S663" si="8">IF(F619&lt;=$S$1,$U$5,$U$6)</f>
        <v>2015</v>
      </c>
    </row>
    <row r="620" spans="1:19">
      <c r="A620" s="496" t="s">
        <v>410</v>
      </c>
      <c r="B620" s="522" t="s">
        <v>934</v>
      </c>
      <c r="C620" s="522"/>
      <c r="D620" s="522"/>
      <c r="E620" s="521" t="s">
        <v>935</v>
      </c>
      <c r="F620" s="522">
        <v>201606</v>
      </c>
      <c r="G620" s="523">
        <v>-13707.78</v>
      </c>
      <c r="H620" s="590">
        <v>10.5</v>
      </c>
      <c r="I620" s="486">
        <v>3.0917000000000002E-3</v>
      </c>
      <c r="J620" s="523">
        <v>-444.99</v>
      </c>
      <c r="K620" s="523">
        <v>-508.56</v>
      </c>
    </row>
    <row r="621" spans="1:19">
      <c r="A621" s="496" t="s">
        <v>410</v>
      </c>
      <c r="B621" s="485" t="s">
        <v>936</v>
      </c>
      <c r="C621" s="485"/>
      <c r="D621" s="485"/>
      <c r="E621" s="481" t="s">
        <v>937</v>
      </c>
      <c r="F621" s="522">
        <v>201606</v>
      </c>
      <c r="G621" s="482">
        <v>-12757.76</v>
      </c>
      <c r="H621" s="590">
        <v>10.5</v>
      </c>
      <c r="I621" s="486">
        <v>3.0917000000000002E-3</v>
      </c>
      <c r="J621" s="523">
        <v>-414.15</v>
      </c>
      <c r="K621" s="523">
        <v>-473.32</v>
      </c>
      <c r="S621" s="101">
        <f t="shared" si="8"/>
        <v>2015</v>
      </c>
    </row>
    <row r="622" spans="1:19" s="559" customFormat="1">
      <c r="A622" s="496" t="s">
        <v>410</v>
      </c>
      <c r="B622" s="485" t="s">
        <v>938</v>
      </c>
      <c r="C622" s="485"/>
      <c r="D622" s="485"/>
      <c r="E622" s="481" t="s">
        <v>939</v>
      </c>
      <c r="F622" s="522">
        <v>201603</v>
      </c>
      <c r="G622" s="482">
        <v>-12103.22</v>
      </c>
      <c r="H622" s="590">
        <v>13.5</v>
      </c>
      <c r="I622" s="486">
        <v>3.0917000000000002E-3</v>
      </c>
      <c r="J622" s="523">
        <v>-505.16</v>
      </c>
      <c r="K622" s="523">
        <v>-449.03</v>
      </c>
    </row>
    <row r="623" spans="1:19" s="559" customFormat="1">
      <c r="A623" s="496" t="s">
        <v>410</v>
      </c>
      <c r="B623" s="485" t="s">
        <v>1016</v>
      </c>
      <c r="C623" s="485"/>
      <c r="D623" s="485"/>
      <c r="E623" s="481" t="s">
        <v>1017</v>
      </c>
      <c r="F623" s="522">
        <v>201608</v>
      </c>
      <c r="G623" s="482">
        <v>-12538.78</v>
      </c>
      <c r="H623" s="590">
        <v>8.5</v>
      </c>
      <c r="I623" s="486">
        <v>3.0917000000000002E-3</v>
      </c>
      <c r="J623" s="523">
        <v>-329.51</v>
      </c>
      <c r="K623" s="523">
        <v>-465.19</v>
      </c>
    </row>
    <row r="624" spans="1:19" s="559" customFormat="1">
      <c r="A624" s="496" t="s">
        <v>410</v>
      </c>
      <c r="B624" s="485" t="s">
        <v>735</v>
      </c>
      <c r="C624" s="485"/>
      <c r="D624" s="485"/>
      <c r="E624" s="481" t="s">
        <v>737</v>
      </c>
      <c r="F624" s="522">
        <v>201609</v>
      </c>
      <c r="G624" s="482">
        <v>-23629.31</v>
      </c>
      <c r="H624" s="590">
        <v>7.5</v>
      </c>
      <c r="I624" s="486">
        <v>3.0917000000000002E-3</v>
      </c>
      <c r="J624" s="523">
        <v>-547.91</v>
      </c>
      <c r="K624" s="523">
        <v>-876.66</v>
      </c>
    </row>
    <row r="625" spans="1:11" s="559" customFormat="1">
      <c r="A625" s="496" t="s">
        <v>410</v>
      </c>
      <c r="B625" s="485" t="s">
        <v>1059</v>
      </c>
      <c r="C625" s="485"/>
      <c r="D625" s="485"/>
      <c r="E625" s="481" t="s">
        <v>1060</v>
      </c>
      <c r="F625" s="522">
        <v>201609</v>
      </c>
      <c r="G625" s="482">
        <v>-21996.85</v>
      </c>
      <c r="H625" s="590">
        <v>7.5</v>
      </c>
      <c r="I625" s="486">
        <v>3.0917000000000002E-3</v>
      </c>
      <c r="J625" s="523">
        <v>-510.06</v>
      </c>
      <c r="K625" s="523">
        <v>-816.09</v>
      </c>
    </row>
    <row r="626" spans="1:11" s="559" customFormat="1">
      <c r="A626" s="496" t="s">
        <v>410</v>
      </c>
      <c r="B626" s="485" t="s">
        <v>1063</v>
      </c>
      <c r="C626" s="485"/>
      <c r="D626" s="485"/>
      <c r="E626" s="481" t="s">
        <v>1064</v>
      </c>
      <c r="F626" s="522">
        <v>201609</v>
      </c>
      <c r="G626" s="482">
        <v>-12638.81</v>
      </c>
      <c r="H626" s="590">
        <v>7.5</v>
      </c>
      <c r="I626" s="486">
        <v>3.0917000000000002E-3</v>
      </c>
      <c r="J626" s="523">
        <v>-293.07</v>
      </c>
      <c r="K626" s="523">
        <v>-468.9</v>
      </c>
    </row>
    <row r="627" spans="1:11" s="559" customFormat="1">
      <c r="A627" s="496" t="s">
        <v>410</v>
      </c>
      <c r="B627" s="485" t="s">
        <v>1065</v>
      </c>
      <c r="C627" s="485"/>
      <c r="D627" s="485"/>
      <c r="E627" s="481" t="s">
        <v>1066</v>
      </c>
      <c r="F627" s="522">
        <v>201609</v>
      </c>
      <c r="G627" s="482">
        <v>-12194.69</v>
      </c>
      <c r="H627" s="590">
        <v>7.5</v>
      </c>
      <c r="I627" s="486">
        <v>3.0917000000000002E-3</v>
      </c>
      <c r="J627" s="523">
        <v>-282.77</v>
      </c>
      <c r="K627" s="523">
        <v>-452.43</v>
      </c>
    </row>
    <row r="628" spans="1:11" s="559" customFormat="1">
      <c r="A628" s="496" t="s">
        <v>410</v>
      </c>
      <c r="B628" s="485" t="s">
        <v>1061</v>
      </c>
      <c r="C628" s="485"/>
      <c r="D628" s="485"/>
      <c r="E628" s="481" t="s">
        <v>1062</v>
      </c>
      <c r="F628" s="522">
        <v>201609</v>
      </c>
      <c r="G628" s="482">
        <v>-9506.07</v>
      </c>
      <c r="H628" s="590">
        <v>7.5</v>
      </c>
      <c r="I628" s="486">
        <v>3.0917000000000002E-3</v>
      </c>
      <c r="J628" s="523">
        <v>-220.42</v>
      </c>
      <c r="K628" s="523">
        <v>-352.68</v>
      </c>
    </row>
    <row r="629" spans="1:11" s="559" customFormat="1">
      <c r="A629" s="496"/>
      <c r="B629" s="485"/>
      <c r="C629" s="485"/>
      <c r="D629" s="485"/>
      <c r="E629" s="481"/>
      <c r="F629" s="522"/>
      <c r="G629" s="482"/>
      <c r="H629" s="590"/>
      <c r="I629" s="486"/>
      <c r="J629" s="523"/>
      <c r="K629" s="523"/>
    </row>
    <row r="630" spans="1:11" s="559" customFormat="1">
      <c r="A630" s="496"/>
      <c r="B630" s="485"/>
      <c r="C630" s="485"/>
      <c r="D630" s="485"/>
      <c r="E630" s="481"/>
      <c r="F630" s="522"/>
      <c r="G630" s="482"/>
      <c r="H630" s="590"/>
      <c r="I630" s="486"/>
      <c r="J630" s="523"/>
      <c r="K630" s="523"/>
    </row>
    <row r="631" spans="1:11" s="559" customFormat="1">
      <c r="A631" s="496"/>
      <c r="B631" s="485"/>
      <c r="C631" s="485"/>
      <c r="D631" s="485"/>
      <c r="E631" s="481"/>
      <c r="F631" s="522"/>
      <c r="G631" s="482"/>
      <c r="H631" s="590"/>
      <c r="I631" s="486"/>
      <c r="J631" s="523"/>
      <c r="K631" s="523"/>
    </row>
    <row r="632" spans="1:11" s="559" customFormat="1">
      <c r="A632" s="496"/>
      <c r="B632" s="485"/>
      <c r="C632" s="485"/>
      <c r="D632" s="485"/>
      <c r="E632" s="481"/>
      <c r="F632" s="522"/>
      <c r="G632" s="482"/>
      <c r="H632" s="590"/>
      <c r="I632" s="486"/>
      <c r="J632" s="523"/>
      <c r="K632" s="523"/>
    </row>
    <row r="633" spans="1:11" s="559" customFormat="1">
      <c r="A633" s="496"/>
      <c r="B633" s="485"/>
      <c r="C633" s="485"/>
      <c r="D633" s="485"/>
      <c r="E633" s="481"/>
      <c r="F633" s="522"/>
      <c r="G633" s="482"/>
      <c r="H633" s="590"/>
      <c r="I633" s="486"/>
      <c r="J633" s="523"/>
      <c r="K633" s="523"/>
    </row>
    <row r="634" spans="1:11" s="559" customFormat="1">
      <c r="A634" s="496"/>
      <c r="B634" s="485"/>
      <c r="C634" s="485"/>
      <c r="D634" s="485"/>
      <c r="E634" s="481"/>
      <c r="F634" s="522"/>
      <c r="G634" s="482"/>
      <c r="H634" s="590"/>
      <c r="I634" s="486"/>
      <c r="J634" s="523"/>
      <c r="K634" s="523"/>
    </row>
    <row r="635" spans="1:11" s="559" customFormat="1">
      <c r="A635" s="496"/>
      <c r="B635" s="485"/>
      <c r="C635" s="485"/>
      <c r="D635" s="485"/>
      <c r="E635" s="481"/>
      <c r="F635" s="522"/>
      <c r="G635" s="482"/>
      <c r="H635" s="590"/>
      <c r="I635" s="486"/>
      <c r="J635" s="523"/>
      <c r="K635" s="523"/>
    </row>
    <row r="636" spans="1:11" s="559" customFormat="1">
      <c r="A636" s="496"/>
      <c r="B636" s="485"/>
      <c r="C636" s="485"/>
      <c r="D636" s="485"/>
      <c r="E636" s="481"/>
      <c r="F636" s="522"/>
      <c r="G636" s="482"/>
      <c r="H636" s="590"/>
      <c r="I636" s="486"/>
      <c r="J636" s="523"/>
      <c r="K636" s="523"/>
    </row>
    <row r="637" spans="1:11" s="559" customFormat="1">
      <c r="A637" s="496"/>
      <c r="B637" s="485"/>
      <c r="C637" s="485"/>
      <c r="D637" s="485"/>
      <c r="E637" s="481"/>
      <c r="F637" s="522"/>
      <c r="G637" s="482"/>
      <c r="H637" s="590"/>
      <c r="I637" s="486"/>
      <c r="J637" s="523"/>
      <c r="K637" s="523"/>
    </row>
    <row r="638" spans="1:11" s="559" customFormat="1">
      <c r="A638" s="496"/>
      <c r="B638" s="485"/>
      <c r="C638" s="485"/>
      <c r="D638" s="485"/>
      <c r="E638" s="481"/>
      <c r="F638" s="522"/>
      <c r="G638" s="482"/>
      <c r="H638" s="590"/>
      <c r="I638" s="486"/>
      <c r="J638" s="523"/>
      <c r="K638" s="523"/>
    </row>
    <row r="639" spans="1:11" s="559" customFormat="1">
      <c r="A639" s="496"/>
      <c r="B639" s="485"/>
      <c r="C639" s="485"/>
      <c r="D639" s="485"/>
      <c r="E639" s="481"/>
      <c r="F639" s="522"/>
      <c r="G639" s="482"/>
      <c r="H639" s="590"/>
      <c r="I639" s="486"/>
      <c r="J639" s="523"/>
      <c r="K639" s="523"/>
    </row>
    <row r="640" spans="1:11" s="559" customFormat="1">
      <c r="A640" s="496"/>
      <c r="B640" s="485"/>
      <c r="C640" s="485"/>
      <c r="D640" s="485"/>
      <c r="E640" s="481"/>
      <c r="F640" s="522"/>
      <c r="G640" s="482"/>
      <c r="H640" s="590"/>
      <c r="I640" s="486"/>
      <c r="J640" s="523"/>
      <c r="K640" s="523"/>
    </row>
    <row r="641" spans="1:32" s="559" customFormat="1">
      <c r="A641" s="496"/>
      <c r="B641" s="485"/>
      <c r="C641" s="485"/>
      <c r="D641" s="485"/>
      <c r="E641" s="481"/>
      <c r="F641" s="522"/>
      <c r="G641" s="482"/>
      <c r="H641" s="590"/>
      <c r="I641" s="486"/>
      <c r="J641" s="523"/>
      <c r="K641" s="523"/>
    </row>
    <row r="642" spans="1:32">
      <c r="A642" s="496"/>
      <c r="B642" s="522"/>
      <c r="C642" s="522"/>
      <c r="D642" s="522"/>
      <c r="E642" s="521"/>
      <c r="F642" s="522"/>
      <c r="G642" s="523"/>
      <c r="H642" s="590"/>
      <c r="I642" s="486"/>
      <c r="J642" s="523"/>
      <c r="K642" s="523"/>
      <c r="S642" s="101">
        <f t="shared" si="8"/>
        <v>2014</v>
      </c>
    </row>
    <row r="643" spans="1:32">
      <c r="A643" s="496"/>
      <c r="B643" s="522"/>
      <c r="C643" s="522"/>
      <c r="D643" s="522"/>
      <c r="E643" s="521"/>
      <c r="F643" s="522"/>
      <c r="G643" s="523"/>
      <c r="H643" s="590"/>
      <c r="I643" s="486"/>
      <c r="J643" s="523"/>
      <c r="K643" s="523"/>
      <c r="S643" s="101">
        <f t="shared" si="8"/>
        <v>2014</v>
      </c>
    </row>
    <row r="644" spans="1:32" s="559" customFormat="1">
      <c r="A644" s="496"/>
      <c r="B644" s="522"/>
      <c r="C644" s="522"/>
      <c r="D644" s="522"/>
      <c r="E644" s="521"/>
      <c r="F644" s="522"/>
      <c r="G644" s="523"/>
      <c r="H644" s="590"/>
      <c r="I644" s="486"/>
      <c r="J644" s="523"/>
      <c r="K644" s="523"/>
    </row>
    <row r="645" spans="1:32" s="559" customFormat="1">
      <c r="A645" s="496"/>
      <c r="B645" s="485"/>
      <c r="C645" s="485"/>
      <c r="D645" s="485"/>
      <c r="E645" s="481"/>
      <c r="F645" s="522"/>
      <c r="G645" s="482"/>
      <c r="H645" s="590"/>
      <c r="I645" s="486"/>
      <c r="J645" s="523"/>
      <c r="K645" s="523"/>
    </row>
    <row r="646" spans="1:32" s="559" customFormat="1">
      <c r="A646" s="608"/>
      <c r="B646" s="495"/>
      <c r="C646" s="460"/>
      <c r="D646" s="495"/>
      <c r="E646" s="479"/>
      <c r="F646" s="495"/>
      <c r="G646" s="480"/>
      <c r="H646" s="479"/>
      <c r="I646" s="492"/>
      <c r="J646" s="420"/>
      <c r="K646" s="493"/>
      <c r="V646" s="440"/>
      <c r="W646" s="440"/>
      <c r="X646" s="440"/>
      <c r="Y646" s="440"/>
      <c r="Z646" s="440"/>
      <c r="AA646" s="440"/>
      <c r="AB646" s="440"/>
      <c r="AC646" s="440"/>
      <c r="AD646" s="440"/>
      <c r="AE646" s="440"/>
      <c r="AF646" s="440"/>
    </row>
    <row r="647" spans="1:32" s="559" customFormat="1">
      <c r="A647" s="5"/>
      <c r="B647" s="485"/>
      <c r="C647" s="485"/>
      <c r="D647" s="485"/>
      <c r="E647" s="521"/>
      <c r="F647" s="522"/>
      <c r="G647" s="523"/>
      <c r="H647" s="590"/>
      <c r="I647" s="486"/>
      <c r="J647" s="523"/>
      <c r="K647" s="523"/>
      <c r="V647" s="5"/>
      <c r="W647" s="713"/>
      <c r="X647" s="713"/>
      <c r="Y647" s="713"/>
      <c r="Z647" s="5"/>
      <c r="AA647" s="403"/>
      <c r="AB647" s="23"/>
      <c r="AC647" s="440"/>
      <c r="AD647" s="419"/>
      <c r="AE647" s="23"/>
      <c r="AF647" s="23"/>
    </row>
    <row r="648" spans="1:32" s="559" customFormat="1">
      <c r="A648" s="5"/>
      <c r="B648" s="485"/>
      <c r="C648" s="485"/>
      <c r="D648" s="485"/>
      <c r="E648" s="521"/>
      <c r="F648" s="522"/>
      <c r="G648" s="523"/>
      <c r="H648" s="590"/>
      <c r="I648" s="486"/>
      <c r="J648" s="523"/>
      <c r="K648" s="523"/>
      <c r="V648" s="5"/>
      <c r="W648" s="713"/>
      <c r="X648" s="713"/>
      <c r="Y648" s="713"/>
      <c r="Z648" s="5"/>
      <c r="AA648" s="403"/>
      <c r="AB648" s="23"/>
      <c r="AC648" s="440"/>
      <c r="AD648" s="419"/>
      <c r="AE648" s="23"/>
      <c r="AF648" s="23"/>
    </row>
    <row r="649" spans="1:32" s="559" customFormat="1">
      <c r="A649" s="5"/>
      <c r="B649" s="485"/>
      <c r="C649" s="485"/>
      <c r="D649" s="485"/>
      <c r="E649" s="521"/>
      <c r="F649" s="522"/>
      <c r="G649" s="523"/>
      <c r="H649" s="590"/>
      <c r="I649" s="486"/>
      <c r="J649" s="523"/>
      <c r="K649" s="523"/>
      <c r="V649" s="5"/>
      <c r="W649" s="713"/>
      <c r="X649" s="713"/>
      <c r="Y649" s="713"/>
      <c r="Z649" s="5"/>
      <c r="AA649" s="403"/>
      <c r="AB649" s="23"/>
      <c r="AC649" s="440"/>
      <c r="AD649" s="419"/>
      <c r="AE649" s="23"/>
      <c r="AF649" s="23"/>
    </row>
    <row r="650" spans="1:32" s="559" customFormat="1">
      <c r="A650" s="5"/>
      <c r="B650" s="485"/>
      <c r="C650" s="485"/>
      <c r="D650" s="485"/>
      <c r="E650" s="521"/>
      <c r="F650" s="522"/>
      <c r="G650" s="523"/>
      <c r="H650" s="590"/>
      <c r="I650" s="486"/>
      <c r="J650" s="523"/>
      <c r="K650" s="523"/>
      <c r="V650" s="5"/>
      <c r="W650" s="713"/>
      <c r="X650" s="713"/>
      <c r="Y650" s="713"/>
      <c r="Z650" s="5"/>
      <c r="AA650" s="403"/>
      <c r="AB650" s="23"/>
      <c r="AC650" s="440"/>
      <c r="AD650" s="419"/>
      <c r="AE650" s="23"/>
      <c r="AF650" s="23"/>
    </row>
    <row r="651" spans="1:32" s="559" customFormat="1">
      <c r="A651" s="5"/>
      <c r="B651" s="485"/>
      <c r="C651" s="485"/>
      <c r="D651" s="485"/>
      <c r="E651" s="521"/>
      <c r="F651" s="522"/>
      <c r="G651" s="523"/>
      <c r="H651" s="590"/>
      <c r="I651" s="486"/>
      <c r="J651" s="523"/>
      <c r="K651" s="523"/>
      <c r="V651" s="5"/>
      <c r="W651" s="713"/>
      <c r="X651" s="713"/>
      <c r="Y651" s="713"/>
      <c r="Z651" s="5"/>
      <c r="AA651" s="403"/>
      <c r="AB651" s="23"/>
      <c r="AC651" s="440"/>
      <c r="AD651" s="419"/>
      <c r="AE651" s="23"/>
      <c r="AF651" s="23"/>
    </row>
    <row r="652" spans="1:32" s="559" customFormat="1">
      <c r="A652" s="5"/>
      <c r="B652" s="485"/>
      <c r="C652" s="485"/>
      <c r="D652" s="485"/>
      <c r="E652" s="521"/>
      <c r="F652" s="522"/>
      <c r="G652" s="523"/>
      <c r="H652" s="590"/>
      <c r="I652" s="486"/>
      <c r="J652" s="523"/>
      <c r="K652" s="523"/>
      <c r="V652" s="5"/>
      <c r="W652" s="713"/>
      <c r="X652" s="713"/>
      <c r="Y652" s="713"/>
      <c r="Z652" s="5"/>
      <c r="AA652" s="403"/>
      <c r="AB652" s="23"/>
      <c r="AC652" s="440"/>
      <c r="AD652" s="419"/>
      <c r="AE652" s="23"/>
      <c r="AF652" s="23"/>
    </row>
    <row r="653" spans="1:32" s="559" customFormat="1">
      <c r="A653" s="521"/>
      <c r="B653" s="485"/>
      <c r="C653" s="485"/>
      <c r="D653" s="485"/>
      <c r="E653" s="521"/>
      <c r="F653" s="403"/>
      <c r="G653" s="523"/>
      <c r="H653" s="590"/>
      <c r="I653" s="486"/>
      <c r="J653" s="523"/>
      <c r="K653" s="523"/>
      <c r="V653" s="5"/>
      <c r="W653" s="713"/>
      <c r="X653" s="713"/>
      <c r="Y653" s="713"/>
      <c r="Z653" s="5"/>
      <c r="AA653" s="403"/>
      <c r="AB653" s="23"/>
      <c r="AC653" s="440"/>
      <c r="AD653" s="419"/>
      <c r="AE653" s="23"/>
      <c r="AF653" s="23"/>
    </row>
    <row r="654" spans="1:32" s="559" customFormat="1">
      <c r="A654" s="521"/>
      <c r="B654" s="485"/>
      <c r="C654" s="485"/>
      <c r="D654" s="485"/>
      <c r="E654" s="521"/>
      <c r="F654" s="522"/>
      <c r="G654" s="523"/>
      <c r="H654" s="590"/>
      <c r="I654" s="486"/>
      <c r="J654" s="523"/>
      <c r="K654" s="523"/>
      <c r="V654" s="5"/>
      <c r="W654" s="713"/>
      <c r="X654" s="713"/>
      <c r="Y654" s="713"/>
      <c r="Z654" s="5"/>
      <c r="AA654" s="403"/>
      <c r="AB654" s="23"/>
      <c r="AC654" s="440"/>
      <c r="AD654" s="419"/>
      <c r="AE654" s="23"/>
      <c r="AF654" s="23"/>
    </row>
    <row r="655" spans="1:32" s="559" customFormat="1">
      <c r="A655" s="521"/>
      <c r="B655" s="485"/>
      <c r="C655" s="485"/>
      <c r="D655" s="485"/>
      <c r="E655" s="521"/>
      <c r="F655" s="522"/>
      <c r="G655" s="523"/>
      <c r="H655" s="590"/>
      <c r="I655" s="486"/>
      <c r="J655" s="523"/>
      <c r="K655" s="523"/>
      <c r="V655" s="5"/>
      <c r="W655" s="713"/>
      <c r="X655" s="713"/>
      <c r="Y655" s="713"/>
      <c r="Z655" s="5"/>
      <c r="AA655" s="403"/>
      <c r="AB655" s="23"/>
      <c r="AC655" s="440"/>
      <c r="AD655" s="419"/>
      <c r="AE655" s="23"/>
      <c r="AF655" s="23"/>
    </row>
    <row r="656" spans="1:32" s="559" customFormat="1">
      <c r="A656" s="521"/>
      <c r="B656" s="485"/>
      <c r="C656" s="485"/>
      <c r="D656" s="485"/>
      <c r="E656" s="521"/>
      <c r="F656" s="522"/>
      <c r="G656" s="523"/>
      <c r="H656" s="590"/>
      <c r="I656" s="486"/>
      <c r="J656" s="523"/>
      <c r="K656" s="523"/>
      <c r="V656" s="5"/>
      <c r="W656" s="713"/>
      <c r="X656" s="713"/>
      <c r="Y656" s="713"/>
      <c r="Z656" s="5"/>
      <c r="AA656" s="403"/>
      <c r="AB656" s="23"/>
      <c r="AC656" s="440"/>
      <c r="AD656" s="419"/>
      <c r="AE656" s="23"/>
      <c r="AF656" s="23"/>
    </row>
    <row r="657" spans="1:32" s="559" customFormat="1">
      <c r="A657" s="521"/>
      <c r="B657" s="522"/>
      <c r="C657" s="522"/>
      <c r="D657" s="522"/>
      <c r="E657" s="521"/>
      <c r="F657" s="522"/>
      <c r="G657" s="523"/>
      <c r="H657" s="590"/>
      <c r="I657" s="486"/>
      <c r="J657" s="523"/>
      <c r="K657" s="523"/>
      <c r="V657" s="5"/>
      <c r="W657" s="403"/>
      <c r="X657" s="403"/>
      <c r="Y657" s="403"/>
      <c r="Z657" s="5"/>
      <c r="AA657" s="403"/>
      <c r="AB657" s="23"/>
      <c r="AC657" s="440"/>
      <c r="AD657" s="419"/>
      <c r="AE657" s="23"/>
      <c r="AF657" s="23"/>
    </row>
    <row r="658" spans="1:32" s="559" customFormat="1">
      <c r="A658" s="521"/>
      <c r="B658" s="485"/>
      <c r="C658" s="485"/>
      <c r="D658" s="485"/>
      <c r="E658" s="521"/>
      <c r="F658" s="522"/>
      <c r="G658" s="523"/>
      <c r="H658" s="590"/>
      <c r="I658" s="486"/>
      <c r="J658" s="523"/>
      <c r="K658" s="523"/>
      <c r="V658" s="5"/>
      <c r="W658" s="713"/>
      <c r="X658" s="713"/>
      <c r="Y658" s="713"/>
      <c r="Z658" s="5"/>
      <c r="AA658" s="403"/>
      <c r="AB658" s="23"/>
      <c r="AC658" s="440"/>
      <c r="AD658" s="419"/>
      <c r="AE658" s="23"/>
      <c r="AF658" s="23"/>
    </row>
    <row r="659" spans="1:32" s="559" customFormat="1">
      <c r="A659" s="521"/>
      <c r="B659" s="485"/>
      <c r="C659" s="485"/>
      <c r="D659" s="485"/>
      <c r="E659" s="521"/>
      <c r="F659" s="522"/>
      <c r="G659" s="523"/>
      <c r="H659" s="590"/>
      <c r="I659" s="486"/>
      <c r="J659" s="523"/>
      <c r="K659" s="523"/>
      <c r="V659" s="5"/>
      <c r="W659" s="713"/>
      <c r="X659" s="713"/>
      <c r="Y659" s="713"/>
      <c r="Z659" s="5"/>
      <c r="AA659" s="403"/>
      <c r="AB659" s="23"/>
      <c r="AC659" s="440"/>
      <c r="AD659" s="419"/>
      <c r="AE659" s="23"/>
      <c r="AF659" s="23"/>
    </row>
    <row r="660" spans="1:32" s="559" customFormat="1">
      <c r="A660" s="521"/>
      <c r="B660" s="522"/>
      <c r="C660" s="522"/>
      <c r="D660" s="522"/>
      <c r="E660" s="521"/>
      <c r="F660" s="522"/>
      <c r="G660" s="523"/>
      <c r="H660" s="590"/>
      <c r="I660" s="486"/>
      <c r="J660" s="523"/>
      <c r="K660" s="523"/>
      <c r="V660" s="440"/>
      <c r="W660" s="440"/>
      <c r="X660" s="440"/>
      <c r="Y660" s="440"/>
      <c r="Z660" s="440"/>
      <c r="AA660" s="440"/>
      <c r="AB660" s="440"/>
      <c r="AC660" s="440"/>
      <c r="AD660" s="440"/>
      <c r="AE660" s="440"/>
      <c r="AF660" s="440"/>
    </row>
    <row r="661" spans="1:32" s="559" customFormat="1">
      <c r="A661" s="521"/>
      <c r="B661" s="522"/>
      <c r="C661" s="522"/>
      <c r="D661" s="522"/>
      <c r="E661" s="521"/>
      <c r="F661" s="522"/>
      <c r="G661" s="523"/>
      <c r="H661" s="590"/>
      <c r="I661" s="486"/>
      <c r="J661" s="523"/>
      <c r="K661" s="523"/>
      <c r="V661" s="440"/>
      <c r="W661" s="440"/>
      <c r="X661" s="440"/>
      <c r="Y661" s="440"/>
      <c r="Z661" s="440"/>
      <c r="AA661" s="440"/>
      <c r="AB661" s="440"/>
      <c r="AC661" s="440"/>
      <c r="AD661" s="440"/>
      <c r="AE661" s="440"/>
      <c r="AF661" s="440"/>
    </row>
    <row r="662" spans="1:32" s="559" customFormat="1">
      <c r="A662" s="521"/>
      <c r="B662" s="522"/>
      <c r="C662" s="522"/>
      <c r="D662" s="522"/>
      <c r="E662" s="521"/>
      <c r="F662" s="522"/>
      <c r="G662" s="523"/>
      <c r="H662" s="590"/>
      <c r="I662" s="486"/>
      <c r="J662" s="523"/>
      <c r="K662" s="523"/>
      <c r="V662" s="440"/>
      <c r="W662" s="440"/>
      <c r="X662" s="440"/>
      <c r="Y662" s="440"/>
      <c r="Z662" s="440"/>
      <c r="AA662" s="440"/>
      <c r="AB662" s="440"/>
      <c r="AC662" s="440"/>
      <c r="AD662" s="440"/>
      <c r="AE662" s="440"/>
      <c r="AF662" s="440"/>
    </row>
    <row r="663" spans="1:32">
      <c r="A663" s="108"/>
      <c r="B663" s="108"/>
      <c r="C663" s="108"/>
      <c r="D663" s="108"/>
      <c r="E663" s="126"/>
      <c r="F663" s="159"/>
      <c r="G663" s="82"/>
      <c r="H663" s="180"/>
      <c r="I663" s="168"/>
      <c r="J663" s="82"/>
      <c r="K663" s="82"/>
      <c r="S663" s="101">
        <f t="shared" si="8"/>
        <v>2014</v>
      </c>
    </row>
    <row r="664" spans="1:32">
      <c r="A664" s="114"/>
      <c r="B664" s="114"/>
      <c r="C664" s="114"/>
      <c r="D664" s="114"/>
      <c r="E664" s="114"/>
      <c r="F664" s="164"/>
      <c r="G664" s="103"/>
      <c r="H664" s="181"/>
      <c r="I664" s="132"/>
      <c r="J664" s="129"/>
      <c r="K664" s="129"/>
    </row>
    <row r="665" spans="1:32" ht="13.5" thickBot="1">
      <c r="F665" s="73" t="s">
        <v>107</v>
      </c>
      <c r="G665" s="130">
        <f>SUM(G619:G664)</f>
        <v>-260044.75000000003</v>
      </c>
      <c r="J665" s="130">
        <f>SUM(J619:J664)</f>
        <v>-7734.82</v>
      </c>
      <c r="K665" s="130">
        <f>SUM(K619:K664)</f>
        <v>-9647.75</v>
      </c>
    </row>
    <row r="666" spans="1:32" ht="13.5" thickTop="1">
      <c r="A666" s="95"/>
      <c r="G666" s="103"/>
      <c r="J666" s="103"/>
      <c r="K666" s="103"/>
    </row>
    <row r="667" spans="1:32">
      <c r="A667" s="95"/>
      <c r="G667" s="103"/>
      <c r="J667" s="103"/>
      <c r="K667" s="103"/>
    </row>
    <row r="668" spans="1:32">
      <c r="A668" s="88" t="s">
        <v>415</v>
      </c>
    </row>
    <row r="670" spans="1:32">
      <c r="A670" s="81" t="s">
        <v>86</v>
      </c>
      <c r="B670" s="81" t="s">
        <v>87</v>
      </c>
      <c r="C670" s="81" t="s">
        <v>88</v>
      </c>
      <c r="D670" s="81"/>
      <c r="E670" s="81"/>
      <c r="F670" s="146" t="s">
        <v>121</v>
      </c>
      <c r="G670" s="89" t="s">
        <v>121</v>
      </c>
      <c r="H670" s="177"/>
      <c r="I670" s="81" t="s">
        <v>91</v>
      </c>
      <c r="J670" s="90" t="s">
        <v>92</v>
      </c>
      <c r="K670" s="90" t="s">
        <v>106</v>
      </c>
    </row>
    <row r="671" spans="1:32">
      <c r="A671" s="86" t="s">
        <v>94</v>
      </c>
      <c r="B671" s="86" t="s">
        <v>95</v>
      </c>
      <c r="C671" s="86" t="s">
        <v>96</v>
      </c>
      <c r="D671" s="86"/>
      <c r="E671" s="86" t="s">
        <v>97</v>
      </c>
      <c r="F671" s="148" t="s">
        <v>98</v>
      </c>
      <c r="G671" s="92" t="s">
        <v>99</v>
      </c>
      <c r="H671" s="182" t="s">
        <v>100</v>
      </c>
      <c r="I671" s="86" t="s">
        <v>101</v>
      </c>
      <c r="J671" s="92" t="s">
        <v>93</v>
      </c>
      <c r="K671" s="92" t="s">
        <v>102</v>
      </c>
    </row>
    <row r="672" spans="1:32">
      <c r="A672" s="560"/>
      <c r="B672" s="560"/>
      <c r="C672" s="560"/>
      <c r="D672" s="560"/>
      <c r="E672" s="590"/>
      <c r="F672" s="555"/>
      <c r="G672" s="338"/>
      <c r="H672" s="590"/>
      <c r="I672" s="567"/>
      <c r="J672" s="589"/>
      <c r="K672" s="589"/>
      <c r="S672" s="101">
        <f t="shared" ref="S672:S678" si="9">IF(F672&lt;=$S$1,$U$5,$U$6)</f>
        <v>2014</v>
      </c>
    </row>
    <row r="673" spans="1:19">
      <c r="A673" s="560"/>
      <c r="B673" s="560"/>
      <c r="C673" s="560"/>
      <c r="D673" s="560"/>
      <c r="E673" s="590"/>
      <c r="F673" s="555"/>
      <c r="G673" s="338"/>
      <c r="H673" s="590"/>
      <c r="I673" s="567"/>
      <c r="J673" s="589"/>
      <c r="K673" s="589"/>
    </row>
    <row r="674" spans="1:19">
      <c r="A674" s="608"/>
      <c r="B674" s="495"/>
      <c r="C674" s="460"/>
      <c r="D674" s="495"/>
      <c r="E674" s="479"/>
      <c r="F674" s="495"/>
      <c r="G674" s="480"/>
      <c r="H674" s="479"/>
      <c r="I674" s="492"/>
      <c r="J674" s="420"/>
      <c r="K674" s="493"/>
    </row>
    <row r="675" spans="1:19">
      <c r="A675" s="269"/>
      <c r="B675" s="269"/>
      <c r="C675" s="269"/>
      <c r="D675" s="269"/>
      <c r="E675" s="335"/>
      <c r="F675" s="337"/>
      <c r="G675" s="338"/>
      <c r="H675" s="339"/>
      <c r="I675" s="340"/>
      <c r="J675" s="338"/>
      <c r="K675" s="338"/>
    </row>
    <row r="676" spans="1:19">
      <c r="A676" s="269"/>
      <c r="B676" s="269"/>
      <c r="C676" s="269"/>
      <c r="D676" s="269"/>
      <c r="E676" s="335"/>
      <c r="F676" s="337"/>
      <c r="G676" s="338"/>
      <c r="H676" s="339"/>
      <c r="I676" s="340"/>
      <c r="J676" s="338"/>
      <c r="K676" s="338"/>
    </row>
    <row r="677" spans="1:19">
      <c r="A677" s="269"/>
      <c r="B677" s="269"/>
      <c r="C677" s="269"/>
      <c r="D677" s="269"/>
      <c r="E677" s="335"/>
      <c r="F677" s="337"/>
      <c r="G677" s="338"/>
      <c r="H677" s="339"/>
      <c r="I677" s="340"/>
      <c r="J677" s="338"/>
      <c r="K677" s="338"/>
      <c r="S677" s="101">
        <f t="shared" si="9"/>
        <v>2014</v>
      </c>
    </row>
    <row r="678" spans="1:19">
      <c r="A678" s="108"/>
      <c r="B678" s="108"/>
      <c r="C678" s="108"/>
      <c r="D678" s="108"/>
      <c r="E678" s="126"/>
      <c r="F678" s="159"/>
      <c r="G678" s="82"/>
      <c r="H678" s="180"/>
      <c r="I678" s="168"/>
      <c r="J678" s="82"/>
      <c r="K678" s="82"/>
      <c r="S678" s="101">
        <f t="shared" si="9"/>
        <v>2014</v>
      </c>
    </row>
    <row r="679" spans="1:19">
      <c r="A679" s="114"/>
      <c r="B679" s="114"/>
      <c r="C679" s="114"/>
      <c r="D679" s="114"/>
      <c r="E679" s="114"/>
      <c r="F679" s="164"/>
      <c r="G679" s="103"/>
      <c r="H679" s="181"/>
      <c r="I679" s="132"/>
      <c r="J679" s="129"/>
      <c r="K679" s="129"/>
      <c r="P679" s="121"/>
      <c r="Q679" s="121"/>
      <c r="R679" s="121"/>
    </row>
    <row r="680" spans="1:19" ht="13.5" thickBot="1">
      <c r="F680" s="73" t="s">
        <v>107</v>
      </c>
      <c r="G680" s="130">
        <f>SUM(G672:G679)</f>
        <v>0</v>
      </c>
      <c r="J680" s="130">
        <f>SUM(J672:J679)</f>
        <v>0</v>
      </c>
      <c r="K680" s="130">
        <f>SUM(K672:K679)</f>
        <v>0</v>
      </c>
      <c r="P680" s="100"/>
      <c r="Q680" s="121"/>
      <c r="R680" s="121"/>
    </row>
    <row r="681" spans="1:19" ht="13.5" thickTop="1">
      <c r="F681" s="73"/>
      <c r="G681" s="103"/>
      <c r="J681" s="103"/>
      <c r="K681" s="103"/>
      <c r="P681" s="100"/>
      <c r="Q681" s="121"/>
      <c r="R681" s="121"/>
    </row>
    <row r="682" spans="1:19" ht="13.5" thickBot="1">
      <c r="A682" s="95" t="s">
        <v>167</v>
      </c>
      <c r="G682" s="130">
        <f>G665+G680</f>
        <v>-260044.75000000003</v>
      </c>
      <c r="J682" s="130">
        <f>J665+J680</f>
        <v>-7734.82</v>
      </c>
      <c r="K682" s="130">
        <f>K665+K680</f>
        <v>-9647.75</v>
      </c>
    </row>
    <row r="683" spans="1:19" ht="13.5" thickTop="1">
      <c r="A683" s="95"/>
      <c r="G683" s="103"/>
      <c r="J683" s="103"/>
      <c r="K683" s="103"/>
      <c r="P683" s="100"/>
      <c r="Q683" s="121"/>
      <c r="R683" s="121"/>
    </row>
    <row r="684" spans="1:19">
      <c r="A684" s="183" t="s">
        <v>131</v>
      </c>
      <c r="B684" s="114"/>
      <c r="C684" s="114"/>
      <c r="D684" s="114"/>
      <c r="E684" s="114"/>
      <c r="F684" s="164"/>
      <c r="G684" s="103"/>
      <c r="H684" s="181"/>
      <c r="I684" s="121"/>
      <c r="J684" s="103"/>
      <c r="K684" s="103"/>
      <c r="P684" s="121"/>
      <c r="Q684" s="121"/>
      <c r="R684" s="121"/>
    </row>
    <row r="685" spans="1:19">
      <c r="A685" s="113"/>
      <c r="B685" s="114"/>
      <c r="C685" s="114"/>
      <c r="D685" s="114"/>
      <c r="E685" s="114"/>
      <c r="F685" s="164"/>
      <c r="G685" s="103"/>
      <c r="H685" s="181"/>
      <c r="I685" s="121"/>
      <c r="J685" s="103"/>
      <c r="K685" s="103"/>
      <c r="P685" s="121"/>
      <c r="Q685" s="121"/>
      <c r="R685" s="121"/>
    </row>
    <row r="686" spans="1:19">
      <c r="A686" s="88" t="s">
        <v>152</v>
      </c>
      <c r="P686" s="121"/>
      <c r="Q686" s="121"/>
      <c r="R686" s="121"/>
    </row>
    <row r="687" spans="1:19">
      <c r="P687" s="121"/>
      <c r="Q687" s="121"/>
      <c r="R687" s="121"/>
    </row>
    <row r="688" spans="1:19">
      <c r="A688" s="81" t="s">
        <v>86</v>
      </c>
      <c r="B688" s="81" t="s">
        <v>87</v>
      </c>
      <c r="C688" s="81" t="s">
        <v>88</v>
      </c>
      <c r="D688" s="81" t="s">
        <v>104</v>
      </c>
      <c r="E688" s="81"/>
      <c r="F688" s="146" t="s">
        <v>121</v>
      </c>
      <c r="G688" s="90" t="s">
        <v>121</v>
      </c>
      <c r="H688" s="177"/>
      <c r="I688" s="81" t="s">
        <v>91</v>
      </c>
      <c r="J688" s="90" t="s">
        <v>92</v>
      </c>
      <c r="K688" s="90" t="s">
        <v>93</v>
      </c>
      <c r="P688" s="121"/>
      <c r="Q688" s="121"/>
      <c r="R688" s="121"/>
    </row>
    <row r="689" spans="1:32">
      <c r="A689" s="86" t="s">
        <v>94</v>
      </c>
      <c r="B689" s="96" t="s">
        <v>95</v>
      </c>
      <c r="C689" s="96" t="s">
        <v>96</v>
      </c>
      <c r="D689" s="96" t="s">
        <v>122</v>
      </c>
      <c r="E689" s="96" t="s">
        <v>97</v>
      </c>
      <c r="F689" s="150" t="s">
        <v>98</v>
      </c>
      <c r="G689" s="98" t="s">
        <v>99</v>
      </c>
      <c r="H689" s="179" t="s">
        <v>100</v>
      </c>
      <c r="I689" s="96" t="s">
        <v>101</v>
      </c>
      <c r="J689" s="98" t="s">
        <v>123</v>
      </c>
      <c r="K689" s="98" t="s">
        <v>102</v>
      </c>
      <c r="P689" s="121"/>
      <c r="Q689" s="121"/>
      <c r="R689" s="121"/>
    </row>
    <row r="690" spans="1:32" ht="10.5" customHeight="1">
      <c r="A690" s="107" t="s">
        <v>318</v>
      </c>
      <c r="B690" s="108" t="s">
        <v>706</v>
      </c>
      <c r="C690" s="108" t="s">
        <v>331</v>
      </c>
      <c r="D690" s="108" t="s">
        <v>706</v>
      </c>
      <c r="E690" s="126" t="s">
        <v>707</v>
      </c>
      <c r="F690" s="159">
        <v>201603</v>
      </c>
      <c r="G690" s="82">
        <v>-2623.14</v>
      </c>
      <c r="H690" s="180">
        <v>13.5</v>
      </c>
      <c r="I690" s="126">
        <v>1.3083000000000001E-3</v>
      </c>
      <c r="J690" s="82">
        <v>-46.33</v>
      </c>
      <c r="K690" s="82">
        <v>-41.18</v>
      </c>
      <c r="O690" s="121"/>
      <c r="P690" s="121"/>
      <c r="Q690" s="121"/>
      <c r="R690" s="121"/>
      <c r="S690" s="101">
        <f t="shared" ref="S690:S699" si="10">IF(F690&lt;=$S$1,$U$5,$U$6)</f>
        <v>2015</v>
      </c>
    </row>
    <row r="691" spans="1:32" ht="10.5" customHeight="1">
      <c r="A691" s="521" t="s">
        <v>318</v>
      </c>
      <c r="B691" s="522" t="s">
        <v>897</v>
      </c>
      <c r="C691" s="490" t="s">
        <v>331</v>
      </c>
      <c r="D691" s="522" t="s">
        <v>897</v>
      </c>
      <c r="E691" s="521" t="s">
        <v>898</v>
      </c>
      <c r="F691" s="522">
        <v>201605</v>
      </c>
      <c r="G691" s="523">
        <v>-907.69</v>
      </c>
      <c r="H691" s="590">
        <v>11.5</v>
      </c>
      <c r="I691" s="521">
        <v>1.3083000000000001E-3</v>
      </c>
      <c r="J691" s="491">
        <v>-13.66</v>
      </c>
      <c r="K691" s="523">
        <v>-14.25</v>
      </c>
      <c r="O691" s="121"/>
      <c r="P691" s="121"/>
      <c r="Q691" s="121"/>
      <c r="R691" s="121"/>
    </row>
    <row r="692" spans="1:32" ht="10.5" customHeight="1">
      <c r="A692" s="521" t="s">
        <v>318</v>
      </c>
      <c r="B692" s="522" t="s">
        <v>623</v>
      </c>
      <c r="C692" s="429" t="s">
        <v>331</v>
      </c>
      <c r="D692" s="522" t="s">
        <v>623</v>
      </c>
      <c r="E692" s="521" t="s">
        <v>624</v>
      </c>
      <c r="F692" s="522">
        <v>201606</v>
      </c>
      <c r="G692" s="523">
        <v>-1389.77</v>
      </c>
      <c r="H692" s="590">
        <v>10.5</v>
      </c>
      <c r="I692" s="521">
        <v>1.3083000000000001E-3</v>
      </c>
      <c r="J692" s="491">
        <v>-19.09</v>
      </c>
      <c r="K692" s="523">
        <v>-21.82</v>
      </c>
      <c r="O692" s="121"/>
      <c r="P692" s="121"/>
      <c r="Q692" s="121"/>
      <c r="R692" s="121"/>
    </row>
    <row r="693" spans="1:32" ht="12" customHeight="1">
      <c r="A693" s="521" t="s">
        <v>318</v>
      </c>
      <c r="B693" s="522" t="s">
        <v>893</v>
      </c>
      <c r="C693" s="429" t="s">
        <v>331</v>
      </c>
      <c r="D693" s="522" t="s">
        <v>893</v>
      </c>
      <c r="E693" s="521" t="s">
        <v>894</v>
      </c>
      <c r="F693" s="522">
        <v>201608</v>
      </c>
      <c r="G693" s="523">
        <v>-32902.519999999997</v>
      </c>
      <c r="H693" s="590">
        <v>8.5</v>
      </c>
      <c r="I693" s="521">
        <v>1.3083000000000001E-3</v>
      </c>
      <c r="J693" s="491">
        <v>-365.89</v>
      </c>
      <c r="K693" s="523">
        <v>-516.55999999999995</v>
      </c>
      <c r="O693" s="121"/>
      <c r="P693" s="121"/>
      <c r="Q693" s="121"/>
      <c r="R693" s="121"/>
    </row>
    <row r="694" spans="1:32" ht="10.5" customHeight="1">
      <c r="A694" s="521" t="s">
        <v>318</v>
      </c>
      <c r="B694" s="522" t="s">
        <v>969</v>
      </c>
      <c r="C694" s="490" t="s">
        <v>331</v>
      </c>
      <c r="D694" s="522" t="s">
        <v>969</v>
      </c>
      <c r="E694" s="521" t="s">
        <v>970</v>
      </c>
      <c r="F694" s="522">
        <v>201608</v>
      </c>
      <c r="G694" s="523">
        <v>-2194.2800000000002</v>
      </c>
      <c r="H694" s="590">
        <v>8.5</v>
      </c>
      <c r="I694" s="521">
        <v>1.3083000000000001E-3</v>
      </c>
      <c r="J694" s="491">
        <v>-24.4</v>
      </c>
      <c r="K694" s="523">
        <v>-34.450000000000003</v>
      </c>
      <c r="O694" s="121"/>
      <c r="P694" s="121"/>
      <c r="Q694" s="121"/>
      <c r="R694" s="121"/>
    </row>
    <row r="695" spans="1:32" s="559" customFormat="1" ht="10.5" customHeight="1">
      <c r="A695" s="521" t="s">
        <v>318</v>
      </c>
      <c r="B695" s="522" t="s">
        <v>891</v>
      </c>
      <c r="C695" s="490" t="s">
        <v>331</v>
      </c>
      <c r="D695" s="522" t="s">
        <v>891</v>
      </c>
      <c r="E695" s="521" t="s">
        <v>892</v>
      </c>
      <c r="F695" s="522">
        <v>201608</v>
      </c>
      <c r="G695" s="523">
        <v>-1937.55</v>
      </c>
      <c r="H695" s="590">
        <v>8.5</v>
      </c>
      <c r="I695" s="521">
        <v>1.3083000000000001E-3</v>
      </c>
      <c r="J695" s="491">
        <v>-21.55</v>
      </c>
      <c r="K695" s="523">
        <v>-30.42</v>
      </c>
      <c r="O695" s="440"/>
      <c r="P695" s="440"/>
      <c r="Q695" s="440"/>
      <c r="R695" s="440"/>
      <c r="V695" s="559" t="s">
        <v>318</v>
      </c>
      <c r="W695" s="559" t="s">
        <v>725</v>
      </c>
      <c r="X695" s="559" t="s">
        <v>331</v>
      </c>
      <c r="Y695" s="559" t="s">
        <v>725</v>
      </c>
      <c r="Z695" s="559" t="s">
        <v>726</v>
      </c>
      <c r="AA695" s="559">
        <v>201510</v>
      </c>
      <c r="AB695" s="559">
        <v>-3034.77</v>
      </c>
      <c r="AC695" s="559">
        <f>VLOOKUP(AA695,Additions!$N$5:$O$37,2,FALSE)</f>
        <v>18.5</v>
      </c>
      <c r="AD695" s="559">
        <v>1.3083000000000001E-3</v>
      </c>
      <c r="AE695" s="559">
        <f t="shared" ref="AE695" si="11">ROUND(AB695*AC695*AD695,2)</f>
        <v>-73.45</v>
      </c>
      <c r="AF695" s="559">
        <f t="shared" ref="AF695" si="12">ROUND(AB695*AD695*12,2)</f>
        <v>-47.64</v>
      </c>
    </row>
    <row r="696" spans="1:32" ht="10.5" customHeight="1">
      <c r="A696" s="608" t="s">
        <v>318</v>
      </c>
      <c r="B696" s="495" t="s">
        <v>1008</v>
      </c>
      <c r="C696" s="460" t="s">
        <v>331</v>
      </c>
      <c r="D696" s="495" t="s">
        <v>1008</v>
      </c>
      <c r="E696" s="479" t="s">
        <v>1009</v>
      </c>
      <c r="F696" s="495">
        <v>201611</v>
      </c>
      <c r="G696" s="480">
        <v>-1524.77</v>
      </c>
      <c r="H696" s="479">
        <v>5.5</v>
      </c>
      <c r="I696" s="492">
        <v>1.3083000000000001E-3</v>
      </c>
      <c r="J696" s="420">
        <v>-10.97</v>
      </c>
      <c r="K696" s="493">
        <v>-23.94</v>
      </c>
      <c r="O696" s="121"/>
      <c r="P696" s="121"/>
      <c r="Q696" s="121"/>
      <c r="R696" s="121"/>
    </row>
    <row r="697" spans="1:32" ht="10.5" customHeight="1">
      <c r="A697" s="610"/>
      <c r="B697" s="490"/>
      <c r="C697" s="485"/>
      <c r="D697" s="522"/>
      <c r="E697" s="521"/>
      <c r="F697" s="522"/>
      <c r="G697" s="523"/>
      <c r="H697" s="590"/>
      <c r="I697" s="521"/>
      <c r="J697" s="491"/>
      <c r="K697" s="523"/>
      <c r="O697" s="121"/>
      <c r="P697" s="121"/>
      <c r="Q697" s="121"/>
      <c r="R697" s="121"/>
    </row>
    <row r="698" spans="1:32" s="559" customFormat="1">
      <c r="A698" s="107"/>
      <c r="B698" s="560"/>
      <c r="C698" s="560"/>
      <c r="D698" s="560"/>
      <c r="E698" s="590"/>
      <c r="F698" s="555"/>
      <c r="G698" s="589"/>
      <c r="H698" s="180"/>
      <c r="I698" s="590"/>
      <c r="J698" s="589"/>
      <c r="K698" s="589"/>
      <c r="O698" s="440"/>
      <c r="P698" s="440"/>
      <c r="Q698" s="440"/>
      <c r="R698" s="440"/>
    </row>
    <row r="699" spans="1:32">
      <c r="A699" s="107"/>
      <c r="B699" s="108"/>
      <c r="C699" s="108"/>
      <c r="D699" s="108"/>
      <c r="E699" s="126"/>
      <c r="F699" s="159"/>
      <c r="G699" s="82"/>
      <c r="H699" s="180"/>
      <c r="I699" s="126"/>
      <c r="J699" s="82"/>
      <c r="K699" s="82"/>
      <c r="P699" s="121"/>
      <c r="Q699" s="121"/>
      <c r="R699" s="121"/>
      <c r="S699" s="101">
        <f t="shared" si="10"/>
        <v>2014</v>
      </c>
    </row>
    <row r="700" spans="1:32">
      <c r="A700" s="113"/>
      <c r="B700" s="114"/>
      <c r="C700" s="114"/>
      <c r="D700" s="114"/>
      <c r="E700" s="114"/>
      <c r="F700" s="164"/>
      <c r="G700" s="129"/>
      <c r="H700" s="181"/>
      <c r="I700" s="121"/>
      <c r="J700" s="129"/>
      <c r="K700" s="129"/>
      <c r="O700" s="121"/>
    </row>
    <row r="701" spans="1:32" ht="13.5" thickBot="1">
      <c r="A701" s="95" t="s">
        <v>132</v>
      </c>
      <c r="F701" s="73" t="s">
        <v>107</v>
      </c>
      <c r="G701" s="130">
        <f>SUM(G690:G700)</f>
        <v>-43479.719999999994</v>
      </c>
      <c r="J701" s="130">
        <f>SUM(J690:J700)</f>
        <v>-501.89</v>
      </c>
      <c r="K701" s="130">
        <f>SUM(K690:K700)</f>
        <v>-682.62</v>
      </c>
      <c r="O701" s="121"/>
      <c r="P701" s="100"/>
      <c r="Q701" s="121"/>
      <c r="R701" s="121"/>
    </row>
    <row r="702" spans="1:32" ht="13.5" thickTop="1">
      <c r="B702" s="186"/>
      <c r="O702" s="121"/>
      <c r="P702" s="100"/>
      <c r="Q702" s="121"/>
      <c r="R702" s="121"/>
    </row>
    <row r="703" spans="1:32">
      <c r="A703" s="88" t="s">
        <v>133</v>
      </c>
      <c r="O703" s="121"/>
      <c r="P703" s="100"/>
      <c r="Q703" s="121"/>
      <c r="R703" s="121"/>
    </row>
    <row r="704" spans="1:32">
      <c r="O704" s="121"/>
      <c r="P704" s="100"/>
      <c r="Q704" s="121"/>
      <c r="R704" s="121"/>
    </row>
    <row r="705" spans="1:32">
      <c r="A705" s="81" t="s">
        <v>86</v>
      </c>
      <c r="B705" s="81" t="s">
        <v>87</v>
      </c>
      <c r="C705" s="81" t="s">
        <v>88</v>
      </c>
      <c r="D705" s="81" t="s">
        <v>104</v>
      </c>
      <c r="E705" s="81"/>
      <c r="F705" s="146" t="s">
        <v>121</v>
      </c>
      <c r="G705" s="90" t="s">
        <v>121</v>
      </c>
      <c r="H705" s="177"/>
      <c r="I705" s="81" t="s">
        <v>91</v>
      </c>
      <c r="J705" s="90" t="s">
        <v>92</v>
      </c>
      <c r="K705" s="90" t="s">
        <v>93</v>
      </c>
      <c r="O705" s="121"/>
      <c r="P705" s="121"/>
      <c r="Q705" s="121"/>
      <c r="R705" s="121"/>
    </row>
    <row r="706" spans="1:32">
      <c r="A706" s="86" t="s">
        <v>94</v>
      </c>
      <c r="B706" s="96" t="s">
        <v>95</v>
      </c>
      <c r="C706" s="96" t="s">
        <v>96</v>
      </c>
      <c r="D706" s="96" t="s">
        <v>122</v>
      </c>
      <c r="E706" s="96" t="s">
        <v>97</v>
      </c>
      <c r="F706" s="150" t="s">
        <v>98</v>
      </c>
      <c r="G706" s="98" t="s">
        <v>99</v>
      </c>
      <c r="H706" s="179" t="s">
        <v>100</v>
      </c>
      <c r="I706" s="96" t="s">
        <v>101</v>
      </c>
      <c r="J706" s="98" t="s">
        <v>123</v>
      </c>
      <c r="K706" s="98" t="s">
        <v>134</v>
      </c>
      <c r="O706" s="121"/>
    </row>
    <row r="707" spans="1:32">
      <c r="A707" s="108"/>
      <c r="B707" s="108"/>
      <c r="C707" s="108"/>
      <c r="D707" s="108"/>
      <c r="E707" s="126"/>
      <c r="F707" s="108"/>
      <c r="G707" s="155"/>
      <c r="H707" s="180"/>
      <c r="I707" s="168"/>
      <c r="J707" s="82"/>
      <c r="K707" s="82"/>
      <c r="S707" s="101">
        <f t="shared" ref="S707:S725" si="13">IF(F707&lt;=$S$1,$U$5,$U$6)</f>
        <v>2014</v>
      </c>
    </row>
    <row r="708" spans="1:32">
      <c r="A708" s="521"/>
      <c r="B708" s="436"/>
      <c r="C708" s="490"/>
      <c r="D708" s="324"/>
      <c r="E708" s="472"/>
      <c r="F708" s="522"/>
      <c r="G708" s="523"/>
      <c r="H708" s="590"/>
      <c r="I708" s="486"/>
      <c r="J708" s="491"/>
      <c r="K708" s="523"/>
    </row>
    <row r="709" spans="1:32">
      <c r="A709" s="521"/>
      <c r="B709" s="522"/>
      <c r="C709" s="490"/>
      <c r="D709" s="522"/>
      <c r="E709" s="521"/>
      <c r="F709" s="522"/>
      <c r="G709" s="523"/>
      <c r="H709" s="590"/>
      <c r="I709" s="486"/>
      <c r="J709" s="491"/>
      <c r="K709" s="523"/>
    </row>
    <row r="710" spans="1:32">
      <c r="A710" s="608"/>
      <c r="B710" s="495"/>
      <c r="C710" s="460"/>
      <c r="D710" s="495"/>
      <c r="E710" s="479"/>
      <c r="F710" s="495"/>
      <c r="G710" s="480"/>
      <c r="H710" s="479"/>
      <c r="I710" s="492"/>
      <c r="J710" s="420"/>
      <c r="K710" s="493"/>
    </row>
    <row r="711" spans="1:32">
      <c r="A711" s="490"/>
      <c r="B711" s="324"/>
      <c r="C711" s="490"/>
      <c r="D711" s="324"/>
      <c r="E711" s="472"/>
      <c r="F711" s="490"/>
      <c r="G711" s="474"/>
      <c r="H711" s="590"/>
      <c r="I711" s="611"/>
      <c r="J711" s="491"/>
      <c r="K711" s="523"/>
    </row>
    <row r="712" spans="1:32">
      <c r="A712" s="490"/>
      <c r="B712" s="324"/>
      <c r="C712" s="490"/>
      <c r="D712" s="324"/>
      <c r="E712" s="472"/>
      <c r="F712" s="490"/>
      <c r="G712" s="474"/>
      <c r="H712" s="590"/>
      <c r="I712" s="611"/>
      <c r="J712" s="491"/>
      <c r="K712" s="523"/>
    </row>
    <row r="713" spans="1:32">
      <c r="A713" s="490"/>
      <c r="B713" s="324"/>
      <c r="C713" s="490"/>
      <c r="D713" s="324"/>
      <c r="E713" s="472"/>
      <c r="F713" s="490"/>
      <c r="G713" s="474"/>
      <c r="H713" s="590"/>
      <c r="I713" s="611"/>
      <c r="J713" s="491"/>
      <c r="K713" s="523"/>
    </row>
    <row r="714" spans="1:32">
      <c r="A714" s="490"/>
      <c r="B714" s="324"/>
      <c r="C714" s="490"/>
      <c r="D714" s="324"/>
      <c r="E714" s="472"/>
      <c r="F714" s="490"/>
      <c r="G714" s="474"/>
      <c r="H714" s="590"/>
      <c r="I714" s="611"/>
      <c r="J714" s="491"/>
      <c r="K714" s="523"/>
    </row>
    <row r="715" spans="1:32">
      <c r="A715" s="107"/>
      <c r="B715" s="560"/>
      <c r="C715" s="560"/>
      <c r="D715" s="560"/>
      <c r="E715" s="590"/>
      <c r="F715" s="555"/>
      <c r="G715" s="589"/>
      <c r="H715" s="590"/>
      <c r="I715" s="590"/>
      <c r="J715" s="491"/>
      <c r="K715" s="523"/>
    </row>
    <row r="716" spans="1:32">
      <c r="A716" s="608"/>
      <c r="B716" s="495"/>
      <c r="C716" s="460"/>
      <c r="D716" s="495"/>
      <c r="E716" s="479"/>
      <c r="F716" s="495"/>
      <c r="G716" s="480"/>
      <c r="H716" s="479"/>
      <c r="I716" s="492"/>
      <c r="J716" s="420"/>
      <c r="K716" s="493"/>
    </row>
    <row r="717" spans="1:32">
      <c r="A717" s="101"/>
      <c r="B717" s="101"/>
      <c r="C717" s="101"/>
      <c r="D717" s="101"/>
      <c r="E717" s="101"/>
      <c r="F717" s="101"/>
      <c r="G717" s="101"/>
      <c r="H717" s="101"/>
      <c r="J717" s="101"/>
      <c r="K717" s="101"/>
      <c r="V717" s="490" t="s">
        <v>332</v>
      </c>
      <c r="W717" s="324">
        <v>3403</v>
      </c>
      <c r="X717" s="490" t="s">
        <v>758</v>
      </c>
      <c r="Y717" s="324" t="s">
        <v>758</v>
      </c>
      <c r="Z717" s="472" t="s">
        <v>759</v>
      </c>
      <c r="AA717" s="490">
        <v>201409</v>
      </c>
      <c r="AB717" s="474">
        <v>-682.06</v>
      </c>
      <c r="AC717" s="590">
        <f>VLOOKUP(AA717,[1]Additions!$N$5:$O$37,2)</f>
        <v>8</v>
      </c>
      <c r="AD717" s="611">
        <v>2.7583E-3</v>
      </c>
      <c r="AE717" s="589">
        <f>ROUND(AB717*AC717*AD717,2)</f>
        <v>-15.05</v>
      </c>
      <c r="AF717" s="589">
        <f>ROUND(AB717*AD717*12,2)</f>
        <v>-22.58</v>
      </c>
    </row>
    <row r="718" spans="1:32">
      <c r="A718" s="101"/>
      <c r="B718" s="101"/>
      <c r="C718" s="101"/>
      <c r="D718" s="101"/>
      <c r="E718" s="101"/>
      <c r="F718" s="101"/>
      <c r="G718" s="101"/>
      <c r="H718" s="101"/>
      <c r="J718" s="101"/>
      <c r="K718" s="101"/>
      <c r="V718" s="490" t="s">
        <v>332</v>
      </c>
      <c r="W718" s="324">
        <v>3403</v>
      </c>
      <c r="X718" s="490" t="s">
        <v>754</v>
      </c>
      <c r="Y718" s="324" t="s">
        <v>754</v>
      </c>
      <c r="Z718" s="472" t="s">
        <v>755</v>
      </c>
      <c r="AA718" s="490">
        <v>201409</v>
      </c>
      <c r="AB718" s="474">
        <v>-3508.44</v>
      </c>
      <c r="AC718" s="590">
        <f>VLOOKUP(AA718,[1]Additions!$N$5:$O$37,2)</f>
        <v>8</v>
      </c>
      <c r="AD718" s="611">
        <v>2.7583E-3</v>
      </c>
      <c r="AE718" s="589">
        <f>ROUND(AB718*AC718*AD718,2)</f>
        <v>-77.42</v>
      </c>
      <c r="AF718" s="589">
        <f>ROUND(AB718*AD718*12,2)</f>
        <v>-116.13</v>
      </c>
    </row>
    <row r="719" spans="1:32">
      <c r="A719" s="490"/>
      <c r="B719" s="324"/>
      <c r="C719" s="490"/>
      <c r="D719" s="324"/>
      <c r="E719" s="472"/>
      <c r="F719" s="490"/>
      <c r="G719" s="474"/>
      <c r="H719" s="590"/>
      <c r="I719" s="611"/>
      <c r="J719" s="589"/>
      <c r="K719" s="589"/>
    </row>
    <row r="720" spans="1:32">
      <c r="A720" s="490"/>
      <c r="B720" s="324"/>
      <c r="C720" s="490"/>
      <c r="D720" s="324"/>
      <c r="E720" s="472"/>
      <c r="F720" s="490"/>
      <c r="G720" s="474"/>
      <c r="H720" s="590"/>
      <c r="I720" s="611"/>
      <c r="J720" s="589"/>
      <c r="K720" s="589"/>
    </row>
    <row r="721" spans="1:19">
      <c r="A721" s="490"/>
      <c r="B721" s="324"/>
      <c r="C721" s="490"/>
      <c r="D721" s="324"/>
      <c r="E721" s="472"/>
      <c r="F721" s="490"/>
      <c r="G721" s="474"/>
      <c r="H721" s="590"/>
      <c r="I721" s="611"/>
      <c r="J721" s="589"/>
      <c r="K721" s="589"/>
    </row>
    <row r="722" spans="1:19">
      <c r="A722" s="490"/>
      <c r="B722" s="324"/>
      <c r="C722" s="490"/>
      <c r="D722" s="324"/>
      <c r="E722" s="472"/>
      <c r="F722" s="490"/>
      <c r="G722" s="474"/>
      <c r="H722" s="590"/>
      <c r="I722" s="611"/>
      <c r="J722" s="589"/>
      <c r="K722" s="589"/>
    </row>
    <row r="723" spans="1:19">
      <c r="A723" s="490"/>
      <c r="B723" s="324"/>
      <c r="C723" s="490"/>
      <c r="D723" s="324"/>
      <c r="E723" s="472"/>
      <c r="F723" s="490"/>
      <c r="G723" s="474"/>
      <c r="H723" s="590"/>
      <c r="I723" s="611"/>
      <c r="J723" s="589"/>
      <c r="K723" s="589"/>
    </row>
    <row r="724" spans="1:19">
      <c r="A724" s="108"/>
      <c r="B724" s="108"/>
      <c r="C724" s="108"/>
      <c r="D724" s="108"/>
      <c r="E724" s="126"/>
      <c r="F724" s="108"/>
      <c r="G724" s="155"/>
      <c r="H724" s="180"/>
      <c r="I724" s="168"/>
      <c r="J724" s="82"/>
      <c r="K724" s="82"/>
      <c r="S724" s="101">
        <f t="shared" si="13"/>
        <v>2014</v>
      </c>
    </row>
    <row r="725" spans="1:19">
      <c r="A725" s="107"/>
      <c r="B725" s="108"/>
      <c r="C725" s="108"/>
      <c r="D725" s="108"/>
      <c r="E725" s="126"/>
      <c r="F725" s="159"/>
      <c r="G725" s="82"/>
      <c r="H725" s="180"/>
      <c r="I725" s="126"/>
      <c r="J725" s="82"/>
      <c r="K725" s="82"/>
      <c r="S725" s="101">
        <f t="shared" si="13"/>
        <v>2014</v>
      </c>
    </row>
    <row r="726" spans="1:19">
      <c r="A726" s="113"/>
      <c r="B726" s="114"/>
      <c r="C726" s="114"/>
      <c r="D726" s="114"/>
      <c r="E726" s="114"/>
      <c r="F726" s="164"/>
      <c r="G726" s="129"/>
      <c r="H726" s="181"/>
      <c r="I726" s="121"/>
      <c r="J726" s="129"/>
      <c r="K726" s="129"/>
    </row>
    <row r="727" spans="1:19" ht="13.5" thickBot="1">
      <c r="A727" s="95" t="s">
        <v>135</v>
      </c>
      <c r="F727" s="73" t="s">
        <v>107</v>
      </c>
      <c r="G727" s="130">
        <f>SUM(G707:G726)</f>
        <v>0</v>
      </c>
      <c r="J727" s="130">
        <f>SUM(J707:J726)</f>
        <v>0</v>
      </c>
      <c r="K727" s="130">
        <f>SUM(K707:K726)</f>
        <v>0</v>
      </c>
    </row>
    <row r="728" spans="1:19" ht="13.5" thickTop="1"/>
    <row r="729" spans="1:19">
      <c r="A729" s="88" t="s">
        <v>136</v>
      </c>
    </row>
    <row r="731" spans="1:19">
      <c r="A731" s="81" t="s">
        <v>86</v>
      </c>
      <c r="B731" s="81" t="s">
        <v>87</v>
      </c>
      <c r="C731" s="81" t="s">
        <v>88</v>
      </c>
      <c r="D731" s="81" t="s">
        <v>104</v>
      </c>
      <c r="E731" s="81"/>
      <c r="F731" s="146" t="s">
        <v>121</v>
      </c>
      <c r="G731" s="90" t="s">
        <v>121</v>
      </c>
      <c r="H731" s="177"/>
      <c r="I731" s="81" t="s">
        <v>91</v>
      </c>
      <c r="J731" s="90" t="s">
        <v>92</v>
      </c>
      <c r="K731" s="90" t="s">
        <v>93</v>
      </c>
    </row>
    <row r="732" spans="1:19">
      <c r="A732" s="86" t="s">
        <v>94</v>
      </c>
      <c r="B732" s="96" t="s">
        <v>95</v>
      </c>
      <c r="C732" s="96" t="s">
        <v>96</v>
      </c>
      <c r="D732" s="96" t="s">
        <v>122</v>
      </c>
      <c r="E732" s="96" t="s">
        <v>97</v>
      </c>
      <c r="F732" s="150" t="s">
        <v>98</v>
      </c>
      <c r="G732" s="98" t="s">
        <v>99</v>
      </c>
      <c r="H732" s="179" t="s">
        <v>100</v>
      </c>
      <c r="I732" s="96" t="s">
        <v>101</v>
      </c>
      <c r="J732" s="98" t="s">
        <v>123</v>
      </c>
      <c r="K732" s="98" t="s">
        <v>102</v>
      </c>
    </row>
    <row r="733" spans="1:19">
      <c r="A733" s="521" t="s">
        <v>322</v>
      </c>
      <c r="B733" s="522" t="s">
        <v>715</v>
      </c>
      <c r="C733" s="423" t="s">
        <v>331</v>
      </c>
      <c r="D733" s="522" t="s">
        <v>715</v>
      </c>
      <c r="E733" s="521" t="s">
        <v>716</v>
      </c>
      <c r="F733" s="522">
        <v>201603</v>
      </c>
      <c r="G733" s="523">
        <v>-4183.0600000000004</v>
      </c>
      <c r="H733" s="590">
        <v>13.5</v>
      </c>
      <c r="I733" s="486">
        <v>1.1999999999999999E-3</v>
      </c>
      <c r="J733" s="491">
        <v>-67.77</v>
      </c>
      <c r="K733" s="523">
        <v>-60.24</v>
      </c>
      <c r="S733" s="101">
        <f t="shared" ref="S733:S774" si="14">IF(F733&lt;=$S$1,$U$5,$U$6)</f>
        <v>2015</v>
      </c>
    </row>
    <row r="734" spans="1:19">
      <c r="A734" s="521" t="s">
        <v>322</v>
      </c>
      <c r="B734" s="522" t="s">
        <v>897</v>
      </c>
      <c r="C734" s="429" t="s">
        <v>331</v>
      </c>
      <c r="D734" s="522" t="s">
        <v>897</v>
      </c>
      <c r="E734" s="521" t="s">
        <v>898</v>
      </c>
      <c r="F734" s="522">
        <v>201605</v>
      </c>
      <c r="G734" s="523">
        <v>-1828.94</v>
      </c>
      <c r="H734" s="590">
        <v>11.5</v>
      </c>
      <c r="I734" s="486">
        <v>1.1999999999999999E-3</v>
      </c>
      <c r="J734" s="491">
        <v>-25.24</v>
      </c>
      <c r="K734" s="523">
        <v>-26.34</v>
      </c>
    </row>
    <row r="735" spans="1:19">
      <c r="A735" s="521" t="s">
        <v>322</v>
      </c>
      <c r="B735" s="522" t="s">
        <v>623</v>
      </c>
      <c r="C735" s="429" t="s">
        <v>331</v>
      </c>
      <c r="D735" s="522" t="s">
        <v>623</v>
      </c>
      <c r="E735" s="521" t="s">
        <v>624</v>
      </c>
      <c r="F735" s="522">
        <v>201606</v>
      </c>
      <c r="G735" s="523">
        <v>-10064.09</v>
      </c>
      <c r="H735" s="590">
        <v>10.5</v>
      </c>
      <c r="I735" s="486">
        <v>1.1999999999999999E-3</v>
      </c>
      <c r="J735" s="491">
        <v>-126.81</v>
      </c>
      <c r="K735" s="523">
        <v>-144.91999999999999</v>
      </c>
    </row>
    <row r="736" spans="1:19">
      <c r="A736" s="521" t="s">
        <v>322</v>
      </c>
      <c r="B736" s="522" t="s">
        <v>893</v>
      </c>
      <c r="C736" s="490" t="s">
        <v>331</v>
      </c>
      <c r="D736" s="522" t="s">
        <v>893</v>
      </c>
      <c r="E736" s="521" t="s">
        <v>894</v>
      </c>
      <c r="F736" s="522">
        <v>201608</v>
      </c>
      <c r="G736" s="523">
        <v>-8674.31</v>
      </c>
      <c r="H736" s="590">
        <v>8.5</v>
      </c>
      <c r="I736" s="486">
        <v>1.1999999999999999E-3</v>
      </c>
      <c r="J736" s="491">
        <v>-88.48</v>
      </c>
      <c r="K736" s="523">
        <v>-124.91</v>
      </c>
    </row>
    <row r="737" spans="1:32">
      <c r="A737" s="521" t="s">
        <v>322</v>
      </c>
      <c r="B737" s="522" t="s">
        <v>899</v>
      </c>
      <c r="C737" s="490" t="s">
        <v>331</v>
      </c>
      <c r="D737" s="522" t="s">
        <v>899</v>
      </c>
      <c r="E737" s="521" t="s">
        <v>900</v>
      </c>
      <c r="F737" s="522">
        <v>201608</v>
      </c>
      <c r="G737" s="523">
        <v>-2670.24</v>
      </c>
      <c r="H737" s="590">
        <v>8.5</v>
      </c>
      <c r="I737" s="486">
        <v>1.1999999999999999E-3</v>
      </c>
      <c r="J737" s="491">
        <v>-27.24</v>
      </c>
      <c r="K737" s="523">
        <v>-38.450000000000003</v>
      </c>
    </row>
    <row r="738" spans="1:32">
      <c r="A738" s="521"/>
      <c r="B738" s="522"/>
      <c r="C738" s="490"/>
      <c r="D738" s="522"/>
      <c r="E738" s="521"/>
      <c r="F738" s="522"/>
      <c r="G738" s="523"/>
      <c r="H738" s="590"/>
      <c r="I738" s="486"/>
      <c r="J738" s="491"/>
      <c r="K738" s="523"/>
    </row>
    <row r="739" spans="1:32">
      <c r="A739" s="521"/>
      <c r="B739" s="522"/>
      <c r="C739" s="490"/>
      <c r="D739" s="522"/>
      <c r="E739" s="521"/>
      <c r="F739" s="522"/>
      <c r="G739" s="523"/>
      <c r="H739" s="590"/>
      <c r="I739" s="486"/>
      <c r="J739" s="491"/>
      <c r="K739" s="523"/>
    </row>
    <row r="740" spans="1:32">
      <c r="A740" s="608"/>
      <c r="B740" s="495"/>
      <c r="C740" s="460"/>
      <c r="D740" s="495"/>
      <c r="E740" s="479"/>
      <c r="F740" s="495"/>
      <c r="G740" s="480"/>
      <c r="H740" s="479"/>
      <c r="I740" s="492"/>
      <c r="J740" s="420"/>
      <c r="K740" s="493"/>
    </row>
    <row r="741" spans="1:32">
      <c r="A741" s="326"/>
      <c r="B741" s="522"/>
      <c r="C741" s="522"/>
      <c r="D741" s="490"/>
      <c r="E741" s="326"/>
      <c r="F741" s="490"/>
      <c r="G741" s="612"/>
      <c r="H741" s="590"/>
      <c r="I741" s="486"/>
      <c r="J741" s="491"/>
      <c r="K741" s="523"/>
    </row>
    <row r="742" spans="1:32">
      <c r="A742" s="472"/>
      <c r="B742" s="609"/>
      <c r="C742" s="522"/>
      <c r="D742" s="490"/>
      <c r="E742" s="472"/>
      <c r="F742" s="490"/>
      <c r="G742" s="474"/>
      <c r="H742" s="590"/>
      <c r="I742" s="486"/>
      <c r="J742" s="491"/>
      <c r="K742" s="523"/>
    </row>
    <row r="743" spans="1:32">
      <c r="A743" s="472"/>
      <c r="B743" s="402"/>
      <c r="C743" s="522"/>
      <c r="D743" s="522"/>
      <c r="E743" s="521"/>
      <c r="F743" s="522"/>
      <c r="G743" s="523"/>
      <c r="H743" s="590"/>
      <c r="I743" s="486"/>
      <c r="J743" s="491"/>
      <c r="K743" s="523"/>
    </row>
    <row r="744" spans="1:32">
      <c r="A744" s="472"/>
      <c r="B744" s="402"/>
      <c r="C744" s="522"/>
      <c r="D744" s="522"/>
      <c r="E744" s="521"/>
      <c r="F744" s="522"/>
      <c r="G744" s="523"/>
      <c r="H744" s="590"/>
      <c r="I744" s="486"/>
      <c r="J744" s="491"/>
      <c r="K744" s="523"/>
    </row>
    <row r="745" spans="1:32">
      <c r="A745" s="472"/>
      <c r="B745" s="402"/>
      <c r="C745" s="522"/>
      <c r="D745" s="522"/>
      <c r="E745" s="521"/>
      <c r="F745" s="522"/>
      <c r="G745" s="523"/>
      <c r="H745" s="590"/>
      <c r="I745" s="486"/>
      <c r="J745" s="491"/>
      <c r="K745" s="523"/>
      <c r="S745" s="101">
        <f t="shared" si="14"/>
        <v>2014</v>
      </c>
    </row>
    <row r="746" spans="1:32">
      <c r="A746" s="472"/>
      <c r="B746" s="402"/>
      <c r="C746" s="522"/>
      <c r="D746" s="522"/>
      <c r="E746" s="521"/>
      <c r="F746" s="522"/>
      <c r="G746" s="523"/>
      <c r="H746" s="590"/>
      <c r="I746" s="486"/>
      <c r="J746" s="491"/>
      <c r="K746" s="523"/>
      <c r="S746" s="101">
        <f t="shared" si="14"/>
        <v>2014</v>
      </c>
    </row>
    <row r="747" spans="1:32">
      <c r="A747" s="472"/>
      <c r="B747" s="402"/>
      <c r="C747" s="522"/>
      <c r="D747" s="522"/>
      <c r="E747" s="521"/>
      <c r="F747" s="522"/>
      <c r="G747" s="523"/>
      <c r="H747" s="590"/>
      <c r="I747" s="486"/>
      <c r="J747" s="491"/>
      <c r="K747" s="523"/>
      <c r="S747" s="101">
        <f t="shared" si="14"/>
        <v>2014</v>
      </c>
    </row>
    <row r="748" spans="1:32">
      <c r="A748" s="472"/>
      <c r="B748" s="402"/>
      <c r="C748" s="522"/>
      <c r="D748" s="522"/>
      <c r="E748" s="521"/>
      <c r="F748" s="522"/>
      <c r="G748" s="523"/>
      <c r="H748" s="590"/>
      <c r="I748" s="486"/>
      <c r="J748" s="491"/>
      <c r="K748" s="523"/>
      <c r="S748" s="101">
        <f t="shared" si="14"/>
        <v>2014</v>
      </c>
    </row>
    <row r="749" spans="1:32">
      <c r="A749" s="472"/>
      <c r="B749" s="402"/>
      <c r="C749" s="522"/>
      <c r="D749" s="522"/>
      <c r="E749" s="521"/>
      <c r="F749" s="522"/>
      <c r="G749" s="523"/>
      <c r="H749" s="590"/>
      <c r="I749" s="486"/>
      <c r="J749" s="491"/>
      <c r="K749" s="523"/>
      <c r="S749" s="101">
        <f t="shared" si="14"/>
        <v>2014</v>
      </c>
    </row>
    <row r="750" spans="1:32">
      <c r="A750" s="472"/>
      <c r="B750" s="402"/>
      <c r="C750" s="522"/>
      <c r="D750" s="522"/>
      <c r="E750" s="521"/>
      <c r="F750" s="522"/>
      <c r="G750" s="523"/>
      <c r="H750" s="590"/>
      <c r="I750" s="486"/>
      <c r="J750" s="491"/>
      <c r="K750" s="523"/>
      <c r="S750" s="101">
        <f t="shared" si="14"/>
        <v>2014</v>
      </c>
    </row>
    <row r="751" spans="1:32">
      <c r="A751" s="608"/>
      <c r="B751" s="495"/>
      <c r="C751" s="460"/>
      <c r="D751" s="495"/>
      <c r="E751" s="479"/>
      <c r="F751" s="495"/>
      <c r="G751" s="480"/>
      <c r="H751" s="479"/>
      <c r="I751" s="492"/>
      <c r="J751" s="420"/>
      <c r="K751" s="493"/>
      <c r="S751" s="101">
        <f t="shared" si="14"/>
        <v>2014</v>
      </c>
    </row>
    <row r="752" spans="1:32">
      <c r="A752" s="101"/>
      <c r="B752" s="101"/>
      <c r="C752" s="101"/>
      <c r="D752" s="101"/>
      <c r="E752" s="101"/>
      <c r="F752" s="101"/>
      <c r="G752" s="101"/>
      <c r="H752" s="101"/>
      <c r="J752" s="101"/>
      <c r="K752" s="101"/>
      <c r="S752" s="101">
        <f>IF(AA752&lt;=$S$1,$U$5,$U$6)</f>
        <v>2014</v>
      </c>
      <c r="V752" s="472" t="s">
        <v>322</v>
      </c>
      <c r="W752" s="613" t="s">
        <v>766</v>
      </c>
      <c r="X752" s="490" t="s">
        <v>763</v>
      </c>
      <c r="Y752" s="324" t="s">
        <v>766</v>
      </c>
      <c r="Z752" s="326" t="s">
        <v>767</v>
      </c>
      <c r="AA752" s="490">
        <v>201409</v>
      </c>
      <c r="AB752" s="474">
        <v>-3198.82</v>
      </c>
      <c r="AC752" s="590">
        <f>VLOOKUP(AA752,[1]Additions!$N$5:$O$37,2)</f>
        <v>8</v>
      </c>
      <c r="AD752" s="611">
        <v>1.1999999999999999E-3</v>
      </c>
      <c r="AE752" s="589">
        <f t="shared" ref="AE752:AE764" si="15">ROUND(AB752*AC752*AD752,2)</f>
        <v>-30.71</v>
      </c>
      <c r="AF752" s="589">
        <f t="shared" ref="AF752:AF764" si="16">ROUND(AB752*AD752*12,2)</f>
        <v>-46.06</v>
      </c>
    </row>
    <row r="753" spans="1:32">
      <c r="A753" s="101"/>
      <c r="B753" s="101"/>
      <c r="C753" s="101"/>
      <c r="D753" s="101"/>
      <c r="E753" s="101"/>
      <c r="F753" s="101"/>
      <c r="G753" s="101"/>
      <c r="H753" s="101"/>
      <c r="J753" s="101"/>
      <c r="K753" s="101"/>
      <c r="S753" s="101">
        <f>IF(AA753&lt;=$S$1,$U$5,$U$6)</f>
        <v>2014</v>
      </c>
      <c r="V753" s="472" t="s">
        <v>322</v>
      </c>
      <c r="W753" s="490" t="s">
        <v>460</v>
      </c>
      <c r="X753" s="490">
        <v>3403</v>
      </c>
      <c r="Y753" s="490" t="s">
        <v>460</v>
      </c>
      <c r="Z753" s="326" t="s">
        <v>461</v>
      </c>
      <c r="AA753" s="490">
        <v>201409</v>
      </c>
      <c r="AB753" s="474">
        <v>-24940.58</v>
      </c>
      <c r="AC753" s="590">
        <f>VLOOKUP(AA753,[1]Additions!$N$5:$O$37,2)</f>
        <v>8</v>
      </c>
      <c r="AD753" s="611">
        <v>1.1999999999999999E-3</v>
      </c>
      <c r="AE753" s="589">
        <f t="shared" si="15"/>
        <v>-239.43</v>
      </c>
      <c r="AF753" s="589">
        <f t="shared" si="16"/>
        <v>-359.14</v>
      </c>
    </row>
    <row r="754" spans="1:32" s="559" customFormat="1">
      <c r="V754" s="472" t="s">
        <v>322</v>
      </c>
      <c r="W754" s="613" t="s">
        <v>459</v>
      </c>
      <c r="X754" s="490">
        <v>3403</v>
      </c>
      <c r="Y754" s="324" t="s">
        <v>459</v>
      </c>
      <c r="Z754" s="326" t="s">
        <v>469</v>
      </c>
      <c r="AA754" s="490">
        <v>201409</v>
      </c>
      <c r="AB754" s="474">
        <v>-12785.56</v>
      </c>
      <c r="AC754" s="590">
        <f>VLOOKUP(AA754,[1]Additions!$N$5:$O$37,2)</f>
        <v>8</v>
      </c>
      <c r="AD754" s="611">
        <v>1.1999999999999999E-3</v>
      </c>
      <c r="AE754" s="589">
        <f t="shared" si="15"/>
        <v>-122.74</v>
      </c>
      <c r="AF754" s="589">
        <f t="shared" si="16"/>
        <v>-184.11</v>
      </c>
    </row>
    <row r="755" spans="1:32" s="559" customFormat="1">
      <c r="V755" s="472" t="s">
        <v>322</v>
      </c>
      <c r="W755" s="613" t="s">
        <v>453</v>
      </c>
      <c r="X755" s="490">
        <v>3403</v>
      </c>
      <c r="Y755" s="324" t="s">
        <v>453</v>
      </c>
      <c r="Z755" s="326" t="s">
        <v>768</v>
      </c>
      <c r="AA755" s="490">
        <v>201409</v>
      </c>
      <c r="AB755" s="474">
        <v>-3877.24</v>
      </c>
      <c r="AC755" s="590">
        <f>VLOOKUP(AA755,[1]Additions!$N$5:$O$37,2)</f>
        <v>8</v>
      </c>
      <c r="AD755" s="611">
        <v>1.1999999999999999E-3</v>
      </c>
      <c r="AE755" s="589">
        <f t="shared" si="15"/>
        <v>-37.22</v>
      </c>
      <c r="AF755" s="589">
        <f t="shared" si="16"/>
        <v>-55.83</v>
      </c>
    </row>
    <row r="756" spans="1:32" s="559" customFormat="1">
      <c r="V756" s="472" t="s">
        <v>322</v>
      </c>
      <c r="W756" s="613" t="s">
        <v>756</v>
      </c>
      <c r="X756" s="490">
        <v>3403</v>
      </c>
      <c r="Y756" s="324" t="s">
        <v>756</v>
      </c>
      <c r="Z756" s="326" t="s">
        <v>757</v>
      </c>
      <c r="AA756" s="490">
        <v>201409</v>
      </c>
      <c r="AB756" s="474">
        <v>-957.72</v>
      </c>
      <c r="AC756" s="590">
        <f>VLOOKUP(AA756,[1]Additions!$N$5:$O$37,2)</f>
        <v>8</v>
      </c>
      <c r="AD756" s="611">
        <v>1.1999999999999999E-3</v>
      </c>
      <c r="AE756" s="589">
        <f t="shared" si="15"/>
        <v>-9.19</v>
      </c>
      <c r="AF756" s="589">
        <f t="shared" si="16"/>
        <v>-13.79</v>
      </c>
    </row>
    <row r="757" spans="1:32" s="559" customFormat="1">
      <c r="V757" s="472" t="s">
        <v>322</v>
      </c>
      <c r="W757" s="613" t="s">
        <v>454</v>
      </c>
      <c r="X757" s="490">
        <v>3403</v>
      </c>
      <c r="Y757" s="324" t="s">
        <v>454</v>
      </c>
      <c r="Z757" s="326" t="s">
        <v>470</v>
      </c>
      <c r="AA757" s="490">
        <v>201409</v>
      </c>
      <c r="AB757" s="474">
        <v>-7685.98</v>
      </c>
      <c r="AC757" s="590">
        <f>VLOOKUP(AA757,[1]Additions!$N$5:$O$37,2)</f>
        <v>8</v>
      </c>
      <c r="AD757" s="611">
        <v>1.1999999999999999E-3</v>
      </c>
      <c r="AE757" s="589">
        <f t="shared" si="15"/>
        <v>-73.790000000000006</v>
      </c>
      <c r="AF757" s="589">
        <f t="shared" si="16"/>
        <v>-110.68</v>
      </c>
    </row>
    <row r="758" spans="1:32" s="559" customFormat="1">
      <c r="V758" s="472" t="s">
        <v>322</v>
      </c>
      <c r="W758" s="613" t="s">
        <v>760</v>
      </c>
      <c r="X758" s="490">
        <v>3403</v>
      </c>
      <c r="Y758" s="324" t="s">
        <v>760</v>
      </c>
      <c r="Z758" s="326" t="s">
        <v>761</v>
      </c>
      <c r="AA758" s="490">
        <v>201409</v>
      </c>
      <c r="AB758" s="474">
        <v>-202.67</v>
      </c>
      <c r="AC758" s="590">
        <f>VLOOKUP(AA758,[1]Additions!$N$5:$O$37,2)</f>
        <v>8</v>
      </c>
      <c r="AD758" s="611">
        <v>1.1999999999999999E-3</v>
      </c>
      <c r="AE758" s="589">
        <f t="shared" si="15"/>
        <v>-1.95</v>
      </c>
      <c r="AF758" s="589">
        <f t="shared" si="16"/>
        <v>-2.92</v>
      </c>
    </row>
    <row r="759" spans="1:32" s="559" customFormat="1">
      <c r="V759" s="472" t="s">
        <v>322</v>
      </c>
      <c r="W759" s="613" t="s">
        <v>457</v>
      </c>
      <c r="X759" s="490">
        <v>3403</v>
      </c>
      <c r="Y759" s="324" t="s">
        <v>457</v>
      </c>
      <c r="Z759" s="326" t="s">
        <v>458</v>
      </c>
      <c r="AA759" s="490">
        <v>201409</v>
      </c>
      <c r="AB759" s="474">
        <v>-2636.57</v>
      </c>
      <c r="AC759" s="590">
        <f>VLOOKUP(AA759,[1]Additions!$N$5:$O$37,2)</f>
        <v>8</v>
      </c>
      <c r="AD759" s="611">
        <v>1.1999999999999999E-3</v>
      </c>
      <c r="AE759" s="589">
        <f t="shared" si="15"/>
        <v>-25.31</v>
      </c>
      <c r="AF759" s="589">
        <f t="shared" si="16"/>
        <v>-37.97</v>
      </c>
    </row>
    <row r="760" spans="1:32" s="559" customFormat="1">
      <c r="V760" s="472" t="s">
        <v>322</v>
      </c>
      <c r="W760" s="613">
        <v>900911</v>
      </c>
      <c r="X760" s="490">
        <v>3403</v>
      </c>
      <c r="Y760" s="324">
        <v>900911</v>
      </c>
      <c r="Z760" s="326" t="s">
        <v>762</v>
      </c>
      <c r="AA760" s="490">
        <v>201410</v>
      </c>
      <c r="AB760" s="474">
        <v>-132.19</v>
      </c>
      <c r="AC760" s="590">
        <f>VLOOKUP(AA760,[1]Additions!$N$5:$O$37,2)</f>
        <v>7</v>
      </c>
      <c r="AD760" s="611">
        <v>1.1999999999999999E-3</v>
      </c>
      <c r="AE760" s="589">
        <f t="shared" si="15"/>
        <v>-1.1100000000000001</v>
      </c>
      <c r="AF760" s="589">
        <f t="shared" si="16"/>
        <v>-1.9</v>
      </c>
    </row>
    <row r="761" spans="1:32" s="559" customFormat="1">
      <c r="V761" s="472" t="s">
        <v>322</v>
      </c>
      <c r="W761" s="613" t="s">
        <v>455</v>
      </c>
      <c r="X761" s="490">
        <v>3403</v>
      </c>
      <c r="Y761" s="324" t="s">
        <v>455</v>
      </c>
      <c r="Z761" s="326" t="s">
        <v>456</v>
      </c>
      <c r="AA761" s="490">
        <v>201411</v>
      </c>
      <c r="AB761" s="474">
        <v>-181.67</v>
      </c>
      <c r="AC761" s="590">
        <f>VLOOKUP(AA761,[1]Additions!$N$5:$O$37,2)</f>
        <v>6</v>
      </c>
      <c r="AD761" s="611">
        <v>1.1999999999999999E-3</v>
      </c>
      <c r="AE761" s="589">
        <f t="shared" si="15"/>
        <v>-1.31</v>
      </c>
      <c r="AF761" s="589">
        <f t="shared" si="16"/>
        <v>-2.62</v>
      </c>
    </row>
    <row r="762" spans="1:32" s="559" customFormat="1">
      <c r="V762" s="472" t="s">
        <v>322</v>
      </c>
      <c r="W762" s="613">
        <v>598040</v>
      </c>
      <c r="X762" s="490">
        <v>3403</v>
      </c>
      <c r="Y762" s="324" t="s">
        <v>764</v>
      </c>
      <c r="Z762" s="326" t="s">
        <v>765</v>
      </c>
      <c r="AA762" s="490">
        <v>201412</v>
      </c>
      <c r="AB762" s="474">
        <v>-1103.18</v>
      </c>
      <c r="AC762" s="590">
        <f>VLOOKUP(AA762,[1]Additions!$N$5:$O$37,2)</f>
        <v>5</v>
      </c>
      <c r="AD762" s="611">
        <v>1.1999999999999999E-3</v>
      </c>
      <c r="AE762" s="589">
        <f t="shared" si="15"/>
        <v>-6.62</v>
      </c>
      <c r="AF762" s="589">
        <f t="shared" si="16"/>
        <v>-15.89</v>
      </c>
    </row>
    <row r="763" spans="1:32" s="559" customFormat="1">
      <c r="V763" s="472" t="s">
        <v>322</v>
      </c>
      <c r="W763" s="613">
        <v>599540</v>
      </c>
      <c r="X763" s="490">
        <v>3403</v>
      </c>
      <c r="Y763" s="324" t="s">
        <v>764</v>
      </c>
      <c r="Z763" s="326" t="s">
        <v>747</v>
      </c>
      <c r="AA763" s="490">
        <v>201412</v>
      </c>
      <c r="AB763" s="474">
        <v>-1300.4100000000001</v>
      </c>
      <c r="AC763" s="590">
        <f>VLOOKUP(AA763,[1]Additions!$N$5:$O$37,2)</f>
        <v>5</v>
      </c>
      <c r="AD763" s="611">
        <v>1.1999999999999999E-3</v>
      </c>
      <c r="AE763" s="589">
        <f t="shared" si="15"/>
        <v>-7.8</v>
      </c>
      <c r="AF763" s="589">
        <f t="shared" si="16"/>
        <v>-18.73</v>
      </c>
    </row>
    <row r="764" spans="1:32" s="559" customFormat="1">
      <c r="V764" s="472" t="s">
        <v>322</v>
      </c>
      <c r="W764" s="613">
        <v>900602</v>
      </c>
      <c r="X764" s="490">
        <v>3403</v>
      </c>
      <c r="Y764" s="324" t="s">
        <v>462</v>
      </c>
      <c r="Z764" s="326" t="s">
        <v>463</v>
      </c>
      <c r="AA764" s="490">
        <v>201412</v>
      </c>
      <c r="AB764" s="474">
        <v>-1900.71</v>
      </c>
      <c r="AC764" s="590">
        <f>VLOOKUP(AA764,[1]Additions!$N$5:$O$37,2)</f>
        <v>5</v>
      </c>
      <c r="AD764" s="611">
        <v>1.1999999999999999E-3</v>
      </c>
      <c r="AE764" s="589">
        <f t="shared" si="15"/>
        <v>-11.4</v>
      </c>
      <c r="AF764" s="589">
        <f t="shared" si="16"/>
        <v>-27.37</v>
      </c>
    </row>
    <row r="765" spans="1:32" s="559" customFormat="1">
      <c r="A765" s="472"/>
      <c r="B765" s="613"/>
      <c r="C765" s="490"/>
      <c r="D765" s="324"/>
      <c r="E765" s="326"/>
      <c r="F765" s="490"/>
      <c r="G765" s="474"/>
      <c r="H765" s="590"/>
      <c r="I765" s="611"/>
      <c r="J765" s="589"/>
      <c r="K765" s="589"/>
    </row>
    <row r="766" spans="1:32" s="559" customFormat="1">
      <c r="A766" s="472"/>
      <c r="B766" s="613"/>
      <c r="C766" s="490"/>
      <c r="D766" s="324"/>
      <c r="E766" s="326"/>
      <c r="F766" s="490"/>
      <c r="G766" s="474"/>
      <c r="H766" s="590"/>
      <c r="I766" s="611"/>
      <c r="J766" s="589"/>
      <c r="K766" s="589"/>
    </row>
    <row r="767" spans="1:32" s="559" customFormat="1">
      <c r="A767" s="472"/>
      <c r="B767" s="613"/>
      <c r="C767" s="490"/>
      <c r="D767" s="324"/>
      <c r="E767" s="326"/>
      <c r="F767" s="490"/>
      <c r="G767" s="474"/>
      <c r="H767" s="590"/>
      <c r="I767" s="611"/>
      <c r="J767" s="589"/>
      <c r="K767" s="589"/>
    </row>
    <row r="768" spans="1:32" s="559" customFormat="1">
      <c r="A768" s="472"/>
      <c r="B768" s="613"/>
      <c r="C768" s="490"/>
      <c r="D768" s="324"/>
      <c r="E768" s="326"/>
      <c r="F768" s="490"/>
      <c r="G768" s="474"/>
      <c r="H768" s="590"/>
      <c r="I768" s="611"/>
      <c r="J768" s="589"/>
      <c r="K768" s="589"/>
    </row>
    <row r="769" spans="1:19" s="559" customFormat="1">
      <c r="A769" s="472"/>
      <c r="B769" s="613"/>
      <c r="C769" s="490"/>
      <c r="D769" s="324"/>
      <c r="E769" s="326"/>
      <c r="F769" s="490"/>
      <c r="G769" s="474"/>
      <c r="H769" s="590"/>
      <c r="I769" s="611"/>
      <c r="J769" s="589"/>
      <c r="K769" s="589"/>
    </row>
    <row r="770" spans="1:19" s="559" customFormat="1">
      <c r="A770" s="472"/>
      <c r="B770" s="613"/>
      <c r="C770" s="490"/>
      <c r="D770" s="324"/>
      <c r="E770" s="326"/>
      <c r="F770" s="490"/>
      <c r="G770" s="474"/>
      <c r="H770" s="590"/>
      <c r="I770" s="611"/>
      <c r="J770" s="589"/>
      <c r="K770" s="589"/>
    </row>
    <row r="771" spans="1:19" s="559" customFormat="1">
      <c r="A771" s="472"/>
      <c r="B771" s="613"/>
      <c r="C771" s="490"/>
      <c r="D771" s="324"/>
      <c r="E771" s="326"/>
      <c r="F771" s="490"/>
      <c r="G771" s="474"/>
      <c r="H771" s="590"/>
      <c r="I771" s="611"/>
      <c r="J771" s="589"/>
      <c r="K771" s="589"/>
    </row>
    <row r="772" spans="1:19" s="559" customFormat="1">
      <c r="A772" s="472"/>
      <c r="B772" s="613"/>
      <c r="C772" s="490"/>
      <c r="D772" s="324"/>
      <c r="E772" s="326"/>
      <c r="F772" s="490"/>
      <c r="G772" s="474"/>
      <c r="H772" s="590"/>
      <c r="I772" s="611"/>
      <c r="J772" s="589"/>
      <c r="K772" s="589"/>
    </row>
    <row r="773" spans="1:19" s="559" customFormat="1">
      <c r="A773" s="107"/>
      <c r="B773" s="560"/>
      <c r="C773" s="560"/>
      <c r="D773" s="560"/>
      <c r="E773" s="590"/>
      <c r="F773" s="555"/>
      <c r="G773" s="589"/>
      <c r="H773" s="180"/>
      <c r="I773" s="567"/>
      <c r="J773" s="589"/>
      <c r="K773" s="589"/>
    </row>
    <row r="774" spans="1:19">
      <c r="A774" s="107"/>
      <c r="B774" s="108"/>
      <c r="C774" s="108"/>
      <c r="D774" s="108"/>
      <c r="E774" s="126"/>
      <c r="F774" s="159"/>
      <c r="G774" s="82"/>
      <c r="H774" s="180"/>
      <c r="I774" s="168"/>
      <c r="J774" s="82"/>
      <c r="K774" s="82"/>
      <c r="M774" s="105"/>
      <c r="S774" s="101">
        <f t="shared" si="14"/>
        <v>2014</v>
      </c>
    </row>
    <row r="775" spans="1:19">
      <c r="A775" s="113"/>
      <c r="B775" s="114"/>
      <c r="C775" s="114"/>
      <c r="D775" s="114"/>
      <c r="E775" s="114"/>
      <c r="F775" s="164"/>
      <c r="G775" s="129"/>
      <c r="H775" s="181"/>
      <c r="I775" s="121"/>
      <c r="J775" s="129"/>
      <c r="K775" s="129"/>
    </row>
    <row r="776" spans="1:19" ht="13.5" thickBot="1">
      <c r="A776" s="95" t="s">
        <v>137</v>
      </c>
      <c r="F776" s="73" t="s">
        <v>107</v>
      </c>
      <c r="G776" s="130">
        <f>SUM(G733:G775)</f>
        <v>-27420.639999999999</v>
      </c>
      <c r="J776" s="130">
        <f>SUM(J733:J775)</f>
        <v>-335.54</v>
      </c>
      <c r="K776" s="130">
        <f>SUM(K733:K775)</f>
        <v>-394.85999999999996</v>
      </c>
    </row>
    <row r="777" spans="1:19" ht="13.5" thickTop="1">
      <c r="B777" s="186"/>
    </row>
    <row r="778" spans="1:19" ht="15.75" customHeight="1" thickBot="1">
      <c r="A778" s="95" t="s">
        <v>138</v>
      </c>
      <c r="G778" s="130">
        <f>+G701+G727+G776</f>
        <v>-70900.359999999986</v>
      </c>
      <c r="J778" s="130">
        <f>+J701+J727+J776</f>
        <v>-837.43000000000006</v>
      </c>
      <c r="K778" s="130">
        <f>+K701+K727+K776</f>
        <v>-1077.48</v>
      </c>
    </row>
    <row r="779" spans="1:19" ht="13.5" thickTop="1"/>
    <row r="780" spans="1:19" ht="13.5" thickBot="1">
      <c r="A780" s="95" t="s">
        <v>139</v>
      </c>
      <c r="G780" s="130">
        <f>+G778+G682+G611+G200</f>
        <v>-12405398.759999998</v>
      </c>
      <c r="J780" s="130">
        <f>+J778+J682+J611+J200</f>
        <v>-268653.92</v>
      </c>
      <c r="K780" s="130">
        <f>+K778+K682+K611+K200</f>
        <v>-411787.64999999991</v>
      </c>
    </row>
    <row r="781" spans="1:19" ht="13.5" thickTop="1"/>
    <row r="783" spans="1:19">
      <c r="G783" s="498">
        <f>+Retirements!G231</f>
        <v>-924541.74</v>
      </c>
      <c r="H783" s="438" t="s">
        <v>738</v>
      </c>
    </row>
    <row r="784" spans="1:19">
      <c r="G784" s="498">
        <f>+[2]Retirements!$G$490</f>
        <v>-3455632.11</v>
      </c>
      <c r="H784" s="438" t="s">
        <v>739</v>
      </c>
    </row>
    <row r="785" spans="7:8" ht="13.5" thickBot="1">
      <c r="G785" s="607">
        <f>+[1]Retirements!$G$488</f>
        <v>-3232707.17</v>
      </c>
      <c r="H785" s="438" t="s">
        <v>745</v>
      </c>
    </row>
    <row r="786" spans="7:8" ht="13.5" thickTop="1">
      <c r="G786" s="498">
        <f>+SUM(G783:G785)</f>
        <v>-7612881.0199999996</v>
      </c>
    </row>
  </sheetData>
  <printOptions horizontalCentered="1"/>
  <pageMargins left="0.35" right="0.35" top="0.5" bottom="1" header="0.5" footer="0.5"/>
  <pageSetup scale="77" fitToHeight="0" orientation="landscape" r:id="rId1"/>
  <headerFooter alignWithMargins="0">
    <oddFooter>&amp;R&amp;"Arial,Bold"APPENDIX A
SCHEDULE 2
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pageSetUpPr fitToPage="1"/>
  </sheetPr>
  <dimension ref="A1:S88"/>
  <sheetViews>
    <sheetView tabSelected="1" topLeftCell="A19" zoomScale="90" zoomScaleNormal="90" workbookViewId="0">
      <selection activeCell="L58" sqref="L58:M58"/>
    </sheetView>
  </sheetViews>
  <sheetFormatPr defaultColWidth="9.140625" defaultRowHeight="12.75"/>
  <cols>
    <col min="1" max="2" width="3.7109375" style="101" customWidth="1"/>
    <col min="3" max="6" width="9.140625" style="101"/>
    <col min="7" max="7" width="15" style="101" customWidth="1"/>
    <col min="8" max="9" width="9.140625" style="101"/>
    <col min="10" max="10" width="14.85546875" style="101" bestFit="1" customWidth="1"/>
    <col min="11" max="11" width="10.85546875" style="101" bestFit="1" customWidth="1"/>
    <col min="12" max="12" width="15" style="101" bestFit="1" customWidth="1"/>
    <col min="13" max="13" width="13.85546875" style="101" bestFit="1" customWidth="1"/>
    <col min="14" max="16384" width="9.140625" style="101"/>
  </cols>
  <sheetData>
    <row r="1" spans="1:19" ht="15.75">
      <c r="A1" s="187" t="s">
        <v>14</v>
      </c>
      <c r="B1" s="189"/>
      <c r="C1" s="189"/>
      <c r="D1" s="189"/>
      <c r="E1" s="189"/>
      <c r="F1" s="189"/>
      <c r="G1" s="189"/>
      <c r="H1" s="189"/>
      <c r="I1" s="189"/>
      <c r="J1" s="189"/>
      <c r="Q1" s="101" t="s">
        <v>1031</v>
      </c>
      <c r="S1" s="101">
        <v>15</v>
      </c>
    </row>
    <row r="2" spans="1:19" ht="15.75">
      <c r="A2" s="187" t="s">
        <v>15</v>
      </c>
      <c r="B2" s="189"/>
      <c r="C2" s="189"/>
      <c r="D2" s="189"/>
      <c r="E2" s="189"/>
      <c r="F2" s="189"/>
      <c r="G2" s="189"/>
      <c r="H2" s="189"/>
      <c r="I2" s="189"/>
      <c r="J2" s="189"/>
    </row>
    <row r="4" spans="1:19">
      <c r="A4" s="67" t="s">
        <v>16</v>
      </c>
    </row>
    <row r="6" spans="1:19">
      <c r="A6" s="67" t="s">
        <v>71</v>
      </c>
      <c r="J6" s="190"/>
    </row>
    <row r="7" spans="1:19">
      <c r="B7" s="188" t="s">
        <v>19</v>
      </c>
    </row>
    <row r="8" spans="1:19">
      <c r="C8" s="101" t="s">
        <v>1</v>
      </c>
      <c r="J8" s="191">
        <f>ROUND('Summary info'!J7+'Summary info'!J9+'Summary info'!J11,0)</f>
        <v>7441367</v>
      </c>
      <c r="L8" s="123">
        <f>+J8+J16+J24+J32</f>
        <v>15027426</v>
      </c>
    </row>
    <row r="9" spans="1:19">
      <c r="C9" s="101" t="s">
        <v>18</v>
      </c>
      <c r="J9" s="192">
        <f>ROUND(-'Def. Tax - Main Repl'!AA36,0)</f>
        <v>-589113</v>
      </c>
      <c r="K9" s="191"/>
      <c r="L9" s="191">
        <f>+J9+J17+J25+J33</f>
        <v>-1440938</v>
      </c>
    </row>
    <row r="10" spans="1:19">
      <c r="C10" s="101" t="s">
        <v>17</v>
      </c>
      <c r="J10" s="193">
        <f>ROUND(-'Summary info'!K7-'Summary info'!K9-'Summary info'!K11,0)</f>
        <v>-35386</v>
      </c>
      <c r="L10" s="191">
        <f>+J10+J18+J26+J34</f>
        <v>-119991</v>
      </c>
    </row>
    <row r="12" spans="1:19">
      <c r="A12" s="69" t="s">
        <v>21</v>
      </c>
      <c r="J12" s="193">
        <f>SUM(J8:J10)</f>
        <v>6816868</v>
      </c>
    </row>
    <row r="14" spans="1:19">
      <c r="A14" s="67" t="s">
        <v>20</v>
      </c>
    </row>
    <row r="15" spans="1:19">
      <c r="B15" s="188" t="s">
        <v>19</v>
      </c>
    </row>
    <row r="16" spans="1:19">
      <c r="C16" s="101" t="s">
        <v>1</v>
      </c>
      <c r="J16" s="191">
        <f>ROUND('Summary info'!J8,0)</f>
        <v>6401464</v>
      </c>
    </row>
    <row r="17" spans="1:12">
      <c r="C17" s="101" t="s">
        <v>18</v>
      </c>
      <c r="J17" s="191">
        <f>ROUND(-'Def. Tax - Services'!Y36,0)</f>
        <v>-715534</v>
      </c>
    </row>
    <row r="18" spans="1:12">
      <c r="C18" s="101" t="s">
        <v>17</v>
      </c>
      <c r="J18" s="193">
        <f>ROUND(-'Summary info'!K8,0)</f>
        <v>-79895</v>
      </c>
    </row>
    <row r="19" spans="1:12">
      <c r="J19" s="121"/>
    </row>
    <row r="20" spans="1:12">
      <c r="A20" s="69" t="s">
        <v>21</v>
      </c>
      <c r="J20" s="193">
        <f>SUM(J16:J18)</f>
        <v>5606035</v>
      </c>
    </row>
    <row r="22" spans="1:12">
      <c r="A22" s="67" t="s">
        <v>40</v>
      </c>
    </row>
    <row r="23" spans="1:12">
      <c r="B23" s="188" t="s">
        <v>19</v>
      </c>
    </row>
    <row r="24" spans="1:12">
      <c r="C24" s="101" t="s">
        <v>1</v>
      </c>
      <c r="J24" s="191">
        <f>ROUND('Summary info'!J10,0)</f>
        <v>0</v>
      </c>
    </row>
    <row r="25" spans="1:12">
      <c r="C25" s="101" t="s">
        <v>18</v>
      </c>
      <c r="J25" s="192">
        <f>ROUND(-'Def. Tax - Reg'!Y38,0)</f>
        <v>0</v>
      </c>
    </row>
    <row r="26" spans="1:12">
      <c r="C26" s="101" t="s">
        <v>17</v>
      </c>
      <c r="J26" s="193">
        <f>ROUND(-'Summary info'!K10,0)</f>
        <v>0</v>
      </c>
    </row>
    <row r="28" spans="1:12">
      <c r="A28" s="69" t="s">
        <v>21</v>
      </c>
      <c r="J28" s="193">
        <f>SUM(J24:J26)</f>
        <v>0</v>
      </c>
    </row>
    <row r="30" spans="1:12">
      <c r="A30" s="67" t="s">
        <v>212</v>
      </c>
    </row>
    <row r="31" spans="1:12">
      <c r="B31" s="188" t="s">
        <v>19</v>
      </c>
    </row>
    <row r="32" spans="1:12">
      <c r="C32" s="101" t="s">
        <v>1</v>
      </c>
      <c r="J32" s="194">
        <f>ROUND('Summary info'!J6,0)</f>
        <v>1184595</v>
      </c>
      <c r="L32" s="194"/>
    </row>
    <row r="33" spans="1:12">
      <c r="C33" s="101" t="s">
        <v>18</v>
      </c>
      <c r="J33" s="192">
        <f>ROUND(-'Def. Tax - Main Relo'!Y36,0)</f>
        <v>-136291</v>
      </c>
      <c r="L33" s="194"/>
    </row>
    <row r="34" spans="1:12">
      <c r="C34" s="101" t="s">
        <v>17</v>
      </c>
      <c r="J34" s="193">
        <f>ROUND(-'Summary info'!K6,0)</f>
        <v>-4710</v>
      </c>
      <c r="L34" s="194"/>
    </row>
    <row r="35" spans="1:12">
      <c r="L35" s="194"/>
    </row>
    <row r="36" spans="1:12">
      <c r="A36" s="69" t="s">
        <v>21</v>
      </c>
      <c r="J36" s="193">
        <f>SUM(J32:J34)</f>
        <v>1043594</v>
      </c>
    </row>
    <row r="38" spans="1:12" hidden="1">
      <c r="A38" s="67" t="s">
        <v>84</v>
      </c>
    </row>
    <row r="39" spans="1:12" hidden="1">
      <c r="B39" s="188" t="s">
        <v>19</v>
      </c>
    </row>
    <row r="40" spans="1:12" hidden="1">
      <c r="C40" s="101" t="s">
        <v>1</v>
      </c>
      <c r="J40" s="191">
        <f>ROUND('Summary info'!J12,0)</f>
        <v>0</v>
      </c>
    </row>
    <row r="41" spans="1:12" hidden="1">
      <c r="C41" s="101" t="s">
        <v>18</v>
      </c>
      <c r="J41" s="192">
        <f>ROUND(-'Def. Tax - Main Reinf'!Y35,0)</f>
        <v>0</v>
      </c>
    </row>
    <row r="42" spans="1:12" hidden="1">
      <c r="C42" s="101" t="s">
        <v>17</v>
      </c>
      <c r="J42" s="193">
        <f>ROUND(-'Summary info'!K12,0)</f>
        <v>0</v>
      </c>
    </row>
    <row r="43" spans="1:12" hidden="1"/>
    <row r="44" spans="1:12" hidden="1">
      <c r="A44" s="69" t="s">
        <v>21</v>
      </c>
      <c r="J44" s="193">
        <f>SUM(J40:J42)</f>
        <v>0</v>
      </c>
    </row>
    <row r="45" spans="1:12">
      <c r="A45" s="69"/>
      <c r="J45" s="192"/>
    </row>
    <row r="46" spans="1:12">
      <c r="A46" s="67" t="s">
        <v>178</v>
      </c>
      <c r="J46" s="192"/>
    </row>
    <row r="47" spans="1:12">
      <c r="A47" s="67" t="s">
        <v>179</v>
      </c>
      <c r="J47" s="192"/>
    </row>
    <row r="48" spans="1:12">
      <c r="A48" s="67" t="s">
        <v>180</v>
      </c>
      <c r="J48" s="192"/>
    </row>
    <row r="49" spans="1:13">
      <c r="B49" s="101" t="s">
        <v>181</v>
      </c>
      <c r="J49" s="192">
        <f>-'Incremental Depr and Taxes'!F42</f>
        <v>-2565010.2596016037</v>
      </c>
      <c r="K49" s="192"/>
    </row>
    <row r="50" spans="1:13">
      <c r="B50" s="101" t="s">
        <v>182</v>
      </c>
      <c r="J50" s="192">
        <f>-'Incremental Depr and Taxes'!H42</f>
        <v>-502283.88000000676</v>
      </c>
      <c r="K50" s="192"/>
    </row>
    <row r="51" spans="1:13">
      <c r="A51" s="69"/>
    </row>
    <row r="52" spans="1:13">
      <c r="A52" s="69" t="s">
        <v>22</v>
      </c>
      <c r="J52" s="191">
        <f>J36+J28+J20+J12+J44+J49+J50</f>
        <v>10399202.860398389</v>
      </c>
      <c r="L52" s="105"/>
    </row>
    <row r="53" spans="1:13">
      <c r="A53" s="69" t="s">
        <v>229</v>
      </c>
      <c r="J53" s="195">
        <f>ROR!D10</f>
        <v>7.1855000000000002E-2</v>
      </c>
    </row>
    <row r="54" spans="1:13">
      <c r="A54" s="69" t="s">
        <v>29</v>
      </c>
      <c r="J54" s="191">
        <f>ROUND(J52*J53,0)</f>
        <v>747235</v>
      </c>
      <c r="K54" s="191"/>
    </row>
    <row r="55" spans="1:13">
      <c r="A55" s="69" t="s">
        <v>30</v>
      </c>
      <c r="J55" s="196">
        <f>+ROR!D12</f>
        <v>1.6267370000000001</v>
      </c>
    </row>
    <row r="56" spans="1:13">
      <c r="A56" s="69" t="s">
        <v>31</v>
      </c>
      <c r="J56" s="197">
        <f>ROUND(J54*J55,0)</f>
        <v>1215555</v>
      </c>
    </row>
    <row r="57" spans="1:13">
      <c r="L57" s="105"/>
    </row>
    <row r="58" spans="1:13">
      <c r="A58" s="69" t="s">
        <v>22</v>
      </c>
      <c r="J58" s="191">
        <f>J52</f>
        <v>10399202.860398389</v>
      </c>
      <c r="L58" s="105"/>
      <c r="M58" s="498"/>
    </row>
    <row r="59" spans="1:13">
      <c r="A59" s="69" t="s">
        <v>230</v>
      </c>
      <c r="J59" s="195">
        <f>ROR!D14</f>
        <v>2.0445000000000001E-2</v>
      </c>
      <c r="L59" s="105"/>
    </row>
    <row r="60" spans="1:13">
      <c r="A60" s="69" t="s">
        <v>44</v>
      </c>
      <c r="J60" s="191">
        <f>ROUND(J58*J59,0)</f>
        <v>212612</v>
      </c>
      <c r="L60" s="105"/>
    </row>
    <row r="61" spans="1:13">
      <c r="A61" s="69" t="s">
        <v>32</v>
      </c>
      <c r="J61" s="198">
        <f>1-(1/J63)</f>
        <v>0.38527248104641376</v>
      </c>
    </row>
    <row r="62" spans="1:13">
      <c r="A62" s="69" t="s">
        <v>33</v>
      </c>
      <c r="J62" s="191">
        <f>J60*J61</f>
        <v>81913.55274024012</v>
      </c>
    </row>
    <row r="63" spans="1:13">
      <c r="A63" s="69" t="s">
        <v>30</v>
      </c>
      <c r="J63" s="199">
        <f>J55</f>
        <v>1.6267370000000001</v>
      </c>
    </row>
    <row r="64" spans="1:13">
      <c r="A64" s="69" t="s">
        <v>34</v>
      </c>
      <c r="J64" s="197">
        <f>ROUND(J62*J63,0)</f>
        <v>133252</v>
      </c>
    </row>
    <row r="66" spans="1:12">
      <c r="A66" s="69" t="s">
        <v>35</v>
      </c>
      <c r="J66" s="192">
        <f>J56-J64</f>
        <v>1082303</v>
      </c>
      <c r="K66" s="191"/>
    </row>
    <row r="67" spans="1:12">
      <c r="A67" s="69" t="s">
        <v>5</v>
      </c>
      <c r="J67" s="192">
        <f>ROUND('Depreciation Exp'!F14,0)</f>
        <v>349488</v>
      </c>
      <c r="K67" s="105"/>
      <c r="L67" s="105"/>
    </row>
    <row r="68" spans="1:12">
      <c r="A68" s="69" t="s">
        <v>483</v>
      </c>
      <c r="J68" s="387">
        <f>+'Prop Tax'!C43+'Incremental Depr and Taxes'!H50</f>
        <v>1550079.1100000003</v>
      </c>
      <c r="K68" s="105"/>
      <c r="L68" s="105"/>
    </row>
    <row r="69" spans="1:12">
      <c r="A69" s="69" t="s">
        <v>782</v>
      </c>
      <c r="J69" s="727">
        <v>411941.43000000715</v>
      </c>
      <c r="L69" s="191"/>
    </row>
    <row r="71" spans="1:12" ht="13.5" thickBot="1">
      <c r="A71" s="69" t="s">
        <v>162</v>
      </c>
      <c r="J71" s="200">
        <f>SUM(J66:J69)</f>
        <v>3393811.5400000075</v>
      </c>
    </row>
    <row r="72" spans="1:12" ht="13.5" thickTop="1"/>
    <row r="73" spans="1:12" ht="13.5" thickBot="1">
      <c r="A73" s="69" t="s">
        <v>163</v>
      </c>
      <c r="J73" s="200">
        <f>J54+J67+J68+J69</f>
        <v>3058743.5400000075</v>
      </c>
    </row>
    <row r="74" spans="1:12" ht="13.5" thickTop="1"/>
    <row r="75" spans="1:12" ht="13.5" thickBot="1">
      <c r="A75" s="69" t="s">
        <v>164</v>
      </c>
      <c r="J75" s="201">
        <f>AVERAGE(J71:J73)</f>
        <v>3226277.5400000075</v>
      </c>
    </row>
    <row r="76" spans="1:12" s="559" customFormat="1" ht="13.5" thickTop="1">
      <c r="A76" s="69"/>
      <c r="J76" s="192"/>
    </row>
    <row r="77" spans="1:12" s="559" customFormat="1">
      <c r="A77" s="69" t="s">
        <v>1128</v>
      </c>
      <c r="J77" s="192">
        <v>32417605.800000001</v>
      </c>
    </row>
    <row r="78" spans="1:12">
      <c r="A78" s="101" t="s">
        <v>1129</v>
      </c>
      <c r="J78" s="191">
        <v>-29526894</v>
      </c>
    </row>
    <row r="79" spans="1:12" s="559" customFormat="1">
      <c r="A79" s="559" t="s">
        <v>1130</v>
      </c>
      <c r="J79" s="197">
        <f>SUM(J77:J78)</f>
        <v>2890711.8000000007</v>
      </c>
    </row>
    <row r="80" spans="1:12" s="559" customFormat="1">
      <c r="A80" s="559" t="s">
        <v>782</v>
      </c>
      <c r="J80" s="192">
        <f>+J69</f>
        <v>411941.43000000715</v>
      </c>
    </row>
    <row r="81" spans="1:14" ht="13.5" thickBot="1">
      <c r="A81" s="69" t="s">
        <v>1131</v>
      </c>
      <c r="B81" s="69"/>
      <c r="C81" s="69"/>
      <c r="D81" s="69"/>
      <c r="E81" s="69"/>
      <c r="F81" s="69"/>
      <c r="G81" s="69"/>
      <c r="H81" s="69"/>
      <c r="I81" s="69"/>
      <c r="J81" s="792">
        <f>+J79+J80</f>
        <v>3302653.2300000079</v>
      </c>
    </row>
    <row r="82" spans="1:14" ht="13.5" thickTop="1"/>
    <row r="83" spans="1:14">
      <c r="I83" s="121"/>
      <c r="J83" s="202" t="s">
        <v>140</v>
      </c>
      <c r="K83" s="559"/>
      <c r="L83" s="559"/>
      <c r="M83" s="559"/>
      <c r="N83" s="559"/>
    </row>
    <row r="84" spans="1:14">
      <c r="I84" s="121"/>
      <c r="J84" s="202" t="str">
        <f>+"Page 2 of "&amp;FIXED(S1,0)</f>
        <v>Page 2 of 15</v>
      </c>
      <c r="K84" s="559"/>
      <c r="L84" s="559"/>
      <c r="M84" s="559"/>
      <c r="N84" s="559"/>
    </row>
    <row r="85" spans="1:14">
      <c r="I85" s="121"/>
      <c r="K85" s="559"/>
      <c r="L85" s="559"/>
      <c r="M85" s="559"/>
      <c r="N85" s="559"/>
    </row>
    <row r="87" spans="1:14">
      <c r="J87" s="192"/>
    </row>
    <row r="88" spans="1:14">
      <c r="K88" s="559"/>
    </row>
  </sheetData>
  <phoneticPr fontId="10" type="noConversion"/>
  <printOptions horizontalCentered="1"/>
  <pageMargins left="0.45" right="0.45" top="0.52" bottom="0.48" header="0.5" footer="0.5"/>
  <pageSetup scale="73"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7" tint="0.59999389629810485"/>
  </sheetPr>
  <dimension ref="A1:G52"/>
  <sheetViews>
    <sheetView workbookViewId="0">
      <selection activeCell="F14" sqref="F14"/>
    </sheetView>
  </sheetViews>
  <sheetFormatPr defaultColWidth="9.140625" defaultRowHeight="12.75"/>
  <cols>
    <col min="1" max="5" width="9.140625" style="66"/>
    <col min="6" max="7" width="17.5703125" style="66" bestFit="1" customWidth="1"/>
    <col min="8" max="16384" width="9.140625" style="66"/>
  </cols>
  <sheetData>
    <row r="1" spans="1:7">
      <c r="A1" s="6" t="s">
        <v>14</v>
      </c>
      <c r="B1" s="139"/>
      <c r="C1" s="139"/>
      <c r="D1" s="139"/>
      <c r="E1" s="139"/>
      <c r="F1" s="139"/>
      <c r="G1" s="139"/>
    </row>
    <row r="2" spans="1:7">
      <c r="A2" s="6" t="s">
        <v>36</v>
      </c>
      <c r="B2" s="139"/>
      <c r="C2" s="139"/>
      <c r="D2" s="139"/>
      <c r="E2" s="139"/>
      <c r="F2" s="139"/>
      <c r="G2" s="139"/>
    </row>
    <row r="3" spans="1:7">
      <c r="A3" s="6"/>
      <c r="B3" s="139"/>
      <c r="C3" s="139"/>
      <c r="D3" s="139"/>
      <c r="E3" s="139"/>
      <c r="F3" s="139"/>
      <c r="G3" s="139"/>
    </row>
    <row r="4" spans="1:7">
      <c r="F4" s="271" t="s">
        <v>9</v>
      </c>
      <c r="G4" s="271" t="s">
        <v>10</v>
      </c>
    </row>
    <row r="5" spans="1:7">
      <c r="F5" s="18" t="s">
        <v>41</v>
      </c>
      <c r="G5" s="18" t="s">
        <v>41</v>
      </c>
    </row>
    <row r="6" spans="1:7">
      <c r="A6" s="66" t="s">
        <v>38</v>
      </c>
      <c r="F6" s="25">
        <f>'Summary info'!L7+'Summary info'!L9+'Summary info'!L11</f>
        <v>124612.19000000003</v>
      </c>
      <c r="G6" s="25">
        <f>'Summary info'!K21</f>
        <v>-2949.92</v>
      </c>
    </row>
    <row r="7" spans="1:7">
      <c r="A7" s="66" t="s">
        <v>39</v>
      </c>
      <c r="F7" s="25">
        <f>'Summary info'!L8</f>
        <v>241040.76999999987</v>
      </c>
      <c r="G7" s="272">
        <f>'Summary info'!K22</f>
        <v>-31018.47</v>
      </c>
    </row>
    <row r="8" spans="1:7">
      <c r="A8" s="66" t="s">
        <v>37</v>
      </c>
      <c r="F8" s="25">
        <f>'Summary info'!L10</f>
        <v>0</v>
      </c>
      <c r="G8" s="25">
        <f>'Summary info'!K23</f>
        <v>0</v>
      </c>
    </row>
    <row r="9" spans="1:7">
      <c r="A9" s="66" t="s">
        <v>82</v>
      </c>
      <c r="F9" s="273">
        <f>'Summary info'!L6</f>
        <v>17827.36</v>
      </c>
      <c r="G9" s="273">
        <f>'Summary info'!K20</f>
        <v>-23.94</v>
      </c>
    </row>
    <row r="10" spans="1:7">
      <c r="A10" s="66" t="s">
        <v>81</v>
      </c>
      <c r="F10" s="274">
        <f>'Summary info'!L12</f>
        <v>0</v>
      </c>
      <c r="G10" s="274">
        <v>0</v>
      </c>
    </row>
    <row r="12" spans="1:7">
      <c r="A12" s="66" t="s">
        <v>42</v>
      </c>
      <c r="F12" s="274">
        <f>SUM(F6:F10)</f>
        <v>383480.31999999989</v>
      </c>
      <c r="G12" s="275">
        <f>SUM(G6:G10)</f>
        <v>-33992.33</v>
      </c>
    </row>
    <row r="14" spans="1:7" ht="13.5" thickBot="1">
      <c r="A14" s="66" t="s">
        <v>43</v>
      </c>
      <c r="F14" s="276">
        <f>F12+G12</f>
        <v>349487.98999999987</v>
      </c>
    </row>
    <row r="15" spans="1:7" ht="13.5" thickTop="1"/>
    <row r="16" spans="1:7">
      <c r="F16" s="25"/>
      <c r="G16" s="25"/>
    </row>
    <row r="51" spans="7:7">
      <c r="G51" s="270" t="s">
        <v>140</v>
      </c>
    </row>
    <row r="52" spans="7:7">
      <c r="G52" s="270" t="str">
        <f>+"Page 3 of "&amp;FIXED('Revenue Requirement'!$S$1,0)</f>
        <v>Page 3 of 15</v>
      </c>
    </row>
  </sheetData>
  <phoneticPr fontId="10" type="noConversion"/>
  <printOptions horizontalCentered="1"/>
  <pageMargins left="0.75" right="0.75" top="1" bottom="1" header="0.5" footer="0.5"/>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7" tint="0.59999389629810485"/>
    <pageSetUpPr fitToPage="1"/>
  </sheetPr>
  <dimension ref="A1:E51"/>
  <sheetViews>
    <sheetView workbookViewId="0">
      <selection activeCell="F26" sqref="F26"/>
    </sheetView>
  </sheetViews>
  <sheetFormatPr defaultColWidth="9.140625" defaultRowHeight="12.75"/>
  <cols>
    <col min="1" max="1" width="9.140625" style="101"/>
    <col min="2" max="2" width="15.42578125" style="101" customWidth="1"/>
    <col min="3" max="3" width="15.42578125" style="101" bestFit="1" customWidth="1"/>
    <col min="4" max="4" width="14.42578125" style="101" customWidth="1"/>
    <col min="5" max="16384" width="9.140625" style="101"/>
  </cols>
  <sheetData>
    <row r="1" spans="1:4" ht="12" customHeight="1">
      <c r="A1" s="203" t="s">
        <v>231</v>
      </c>
      <c r="B1" s="203"/>
      <c r="C1" s="203"/>
    </row>
    <row r="2" spans="1:4">
      <c r="A2" s="203" t="s">
        <v>232</v>
      </c>
      <c r="B2" s="203"/>
      <c r="C2" s="203"/>
    </row>
    <row r="4" spans="1:4">
      <c r="A4" s="69" t="s">
        <v>233</v>
      </c>
    </row>
    <row r="5" spans="1:4">
      <c r="A5" s="204" t="s">
        <v>234</v>
      </c>
      <c r="B5" s="206"/>
      <c r="C5" s="205" t="s">
        <v>780</v>
      </c>
    </row>
    <row r="6" spans="1:4">
      <c r="A6" s="101" t="s">
        <v>235</v>
      </c>
      <c r="C6" s="171">
        <f>+'Additions for prop tax'!F4334</f>
        <v>30153661.030000027</v>
      </c>
    </row>
    <row r="7" spans="1:4">
      <c r="C7" s="105"/>
    </row>
    <row r="8" spans="1:4">
      <c r="A8" s="101" t="s">
        <v>236</v>
      </c>
    </row>
    <row r="9" spans="1:4">
      <c r="B9" s="207" t="s">
        <v>237</v>
      </c>
      <c r="C9" s="105">
        <f>+'Additions for prop tax'!F3044</f>
        <v>11676.54</v>
      </c>
    </row>
    <row r="10" spans="1:4">
      <c r="B10" s="206" t="s">
        <v>238</v>
      </c>
      <c r="C10" s="104">
        <f>+'Additions for prop tax'!F2207+'Additions for prop tax'!F4824+'Additions for prop tax'!F4835</f>
        <v>30612889.639999997</v>
      </c>
      <c r="D10" s="103"/>
    </row>
    <row r="11" spans="1:4">
      <c r="A11" s="101" t="s">
        <v>239</v>
      </c>
      <c r="B11" s="202"/>
      <c r="C11" s="123">
        <f>SUM(C9:C10)</f>
        <v>30624566.179999996</v>
      </c>
      <c r="D11" s="105"/>
    </row>
    <row r="12" spans="1:4">
      <c r="B12" s="202"/>
      <c r="C12" s="123"/>
      <c r="D12" s="105"/>
    </row>
    <row r="13" spans="1:4">
      <c r="A13" s="101" t="s">
        <v>10</v>
      </c>
      <c r="B13" s="202"/>
      <c r="C13" s="123"/>
    </row>
    <row r="14" spans="1:4">
      <c r="B14" s="206" t="s">
        <v>0</v>
      </c>
      <c r="C14" s="123">
        <f>+'Retirements for prop tax'!G611</f>
        <v>-8574895.1099999975</v>
      </c>
    </row>
    <row r="15" spans="1:4">
      <c r="B15" s="206" t="s">
        <v>240</v>
      </c>
      <c r="C15" s="123">
        <f>+'Retirements for prop tax'!G141+'Retirements for prop tax'!G727</f>
        <v>-856558.91</v>
      </c>
    </row>
    <row r="16" spans="1:4">
      <c r="B16" s="206" t="s">
        <v>241</v>
      </c>
      <c r="C16" s="123">
        <f>+'Retirements for prop tax'!G776+'Retirements for prop tax'!G197</f>
        <v>-518486.26</v>
      </c>
    </row>
    <row r="17" spans="1:5">
      <c r="B17" s="206" t="s">
        <v>242</v>
      </c>
      <c r="C17" s="104">
        <f>+'Retirements for prop tax'!G66+'Retirements for prop tax'!G701</f>
        <v>-2195413.73</v>
      </c>
    </row>
    <row r="18" spans="1:5">
      <c r="B18" s="202"/>
      <c r="C18" s="123">
        <f>SUM(C14:C17)</f>
        <v>-12145354.009999998</v>
      </c>
      <c r="D18" s="105"/>
    </row>
    <row r="19" spans="1:5">
      <c r="B19" s="202"/>
      <c r="C19" s="123"/>
    </row>
    <row r="20" spans="1:5">
      <c r="A20" s="101" t="s">
        <v>243</v>
      </c>
      <c r="B20" s="202"/>
      <c r="C20" s="123">
        <f>+C6+C11+C18</f>
        <v>48632873.200000025</v>
      </c>
    </row>
    <row r="21" spans="1:5">
      <c r="A21" s="101" t="s">
        <v>244</v>
      </c>
      <c r="B21" s="202"/>
      <c r="C21" s="208">
        <v>0.32</v>
      </c>
    </row>
    <row r="22" spans="1:5">
      <c r="A22" s="101" t="s">
        <v>245</v>
      </c>
      <c r="B22" s="202"/>
      <c r="C22" s="209">
        <f>ROUND(C20*C21,2)</f>
        <v>15562519.42</v>
      </c>
    </row>
    <row r="23" spans="1:5">
      <c r="A23" s="101" t="s">
        <v>246</v>
      </c>
      <c r="B23" s="202"/>
      <c r="C23" s="732">
        <f>+'2016 Prop Pymts'!F134</f>
        <v>9.7402999999999995</v>
      </c>
    </row>
    <row r="24" spans="1:5">
      <c r="A24" s="101" t="s">
        <v>247</v>
      </c>
      <c r="B24" s="202"/>
      <c r="C24" s="43">
        <f>ROUND(C22*(C23/100),2)</f>
        <v>1515836.08</v>
      </c>
    </row>
    <row r="25" spans="1:5">
      <c r="B25" s="202"/>
      <c r="C25" s="44"/>
    </row>
    <row r="26" spans="1:5">
      <c r="A26" s="69" t="s">
        <v>248</v>
      </c>
      <c r="B26" s="202"/>
      <c r="C26" s="22"/>
    </row>
    <row r="27" spans="1:5">
      <c r="B27" s="202"/>
      <c r="C27" s="733" t="str">
        <f>+C5</f>
        <v>CY 2015</v>
      </c>
      <c r="E27" s="105"/>
    </row>
    <row r="28" spans="1:5">
      <c r="B28" s="207" t="s">
        <v>249</v>
      </c>
      <c r="C28" s="734">
        <f>+'Additions for prop tax'!F4349</f>
        <v>0</v>
      </c>
    </row>
    <row r="29" spans="1:5">
      <c r="B29" s="207" t="s">
        <v>250</v>
      </c>
      <c r="C29" s="275">
        <f>+'Additions for prop tax'!F4367</f>
        <v>-946.65000000000009</v>
      </c>
    </row>
    <row r="30" spans="1:5">
      <c r="A30" s="101" t="s">
        <v>251</v>
      </c>
      <c r="C30" s="272">
        <f>SUM(C28:C29)</f>
        <v>-946.65000000000009</v>
      </c>
    </row>
    <row r="31" spans="1:5">
      <c r="C31" s="34"/>
    </row>
    <row r="32" spans="1:5">
      <c r="A32" s="101" t="s">
        <v>252</v>
      </c>
      <c r="C32" s="34"/>
    </row>
    <row r="33" spans="1:4">
      <c r="B33" s="207" t="s">
        <v>249</v>
      </c>
      <c r="C33" s="735">
        <f>+'Retirements for prop tax'!G665</f>
        <v>-260044.75000000003</v>
      </c>
    </row>
    <row r="34" spans="1:4">
      <c r="B34" s="207" t="s">
        <v>250</v>
      </c>
      <c r="C34" s="736">
        <f>+'Retirements for prop tax'!G680</f>
        <v>0</v>
      </c>
    </row>
    <row r="35" spans="1:4">
      <c r="A35" s="101" t="s">
        <v>251</v>
      </c>
      <c r="C35" s="272">
        <f>SUM(C33:C34)</f>
        <v>-260044.75000000003</v>
      </c>
    </row>
    <row r="36" spans="1:4">
      <c r="C36" s="34"/>
    </row>
    <row r="37" spans="1:4">
      <c r="A37" s="101" t="s">
        <v>253</v>
      </c>
      <c r="C37" s="272">
        <f>+C30+C35</f>
        <v>-260991.40000000002</v>
      </c>
      <c r="D37" s="105"/>
    </row>
    <row r="38" spans="1:4">
      <c r="A38" s="101" t="s">
        <v>244</v>
      </c>
      <c r="C38" s="737">
        <v>0.33329999999999999</v>
      </c>
    </row>
    <row r="39" spans="1:4">
      <c r="A39" s="101" t="s">
        <v>245</v>
      </c>
      <c r="C39" s="43">
        <f>ROUND(C37*C38,2)</f>
        <v>-86988.43</v>
      </c>
    </row>
    <row r="40" spans="1:4">
      <c r="A40" s="101" t="s">
        <v>254</v>
      </c>
      <c r="C40" s="738">
        <f>+'2016 Prop Pymts'!F166</f>
        <v>8.3610000000000007</v>
      </c>
    </row>
    <row r="41" spans="1:4">
      <c r="A41" s="101" t="s">
        <v>255</v>
      </c>
      <c r="C41" s="43">
        <f>ROUND(C39*(C40/100),2)</f>
        <v>-7273.1</v>
      </c>
    </row>
    <row r="42" spans="1:4">
      <c r="C42" s="34"/>
    </row>
    <row r="43" spans="1:4" ht="13.5" thickBot="1">
      <c r="A43" s="101" t="s">
        <v>256</v>
      </c>
      <c r="C43" s="739">
        <f>+C24+C41</f>
        <v>1508562.98</v>
      </c>
    </row>
    <row r="44" spans="1:4" ht="13.5" thickTop="1">
      <c r="C44" s="34"/>
    </row>
    <row r="46" spans="1:4">
      <c r="C46" s="105">
        <f>+C37+C20</f>
        <v>48371881.800000027</v>
      </c>
    </row>
    <row r="47" spans="1:4">
      <c r="C47" s="215">
        <f>+C43/C46</f>
        <v>3.1186774710096128E-2</v>
      </c>
    </row>
    <row r="50" spans="1:3">
      <c r="A50" s="207"/>
      <c r="C50" s="216">
        <f>+C35+C18</f>
        <v>-12405398.759999998</v>
      </c>
    </row>
    <row r="51" spans="1:3">
      <c r="C51" s="202"/>
    </row>
  </sheetData>
  <phoneticPr fontId="0" type="noConversion"/>
  <printOptions horizontalCentered="1"/>
  <pageMargins left="0.32" right="0.28999999999999998" top="0.51" bottom="0.91" header="0.51" footer="0.5"/>
  <pageSetup orientation="portrait" horizontalDpi="300" verticalDpi="300" r:id="rId1"/>
  <headerFooter alignWithMargins="0">
    <oddFooter>&amp;RAppendix B
Page 5 of 15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E56"/>
  <sheetViews>
    <sheetView workbookViewId="0">
      <selection activeCell="C45" sqref="C45"/>
    </sheetView>
  </sheetViews>
  <sheetFormatPr defaultColWidth="9.140625" defaultRowHeight="12.75"/>
  <cols>
    <col min="1" max="1" width="9.140625" style="772"/>
    <col min="2" max="2" width="15.42578125" style="772" customWidth="1"/>
    <col min="3" max="3" width="15.42578125" style="772" bestFit="1" customWidth="1"/>
    <col min="4" max="4" width="14.42578125" style="772" customWidth="1"/>
    <col min="5" max="16384" width="9.140625" style="772"/>
  </cols>
  <sheetData>
    <row r="1" spans="1:4" ht="12" customHeight="1">
      <c r="A1" s="771" t="s">
        <v>231</v>
      </c>
      <c r="B1" s="771"/>
      <c r="C1" s="771"/>
    </row>
    <row r="2" spans="1:4">
      <c r="A2" s="771" t="s">
        <v>232</v>
      </c>
      <c r="B2" s="771"/>
      <c r="C2" s="771"/>
    </row>
    <row r="4" spans="1:4">
      <c r="A4" s="773" t="s">
        <v>233</v>
      </c>
    </row>
    <row r="5" spans="1:4">
      <c r="A5" s="774" t="s">
        <v>234</v>
      </c>
      <c r="B5" s="775"/>
      <c r="C5" s="776" t="s">
        <v>780</v>
      </c>
    </row>
    <row r="6" spans="1:4">
      <c r="A6" s="772" t="s">
        <v>235</v>
      </c>
      <c r="C6" s="777">
        <v>29995652.189999968</v>
      </c>
    </row>
    <row r="7" spans="1:4">
      <c r="C7" s="778"/>
    </row>
    <row r="8" spans="1:4">
      <c r="A8" s="772" t="s">
        <v>236</v>
      </c>
    </row>
    <row r="9" spans="1:4">
      <c r="B9" s="779" t="s">
        <v>237</v>
      </c>
      <c r="C9" s="778">
        <v>93835.010000000009</v>
      </c>
    </row>
    <row r="10" spans="1:4">
      <c r="B10" s="775" t="s">
        <v>238</v>
      </c>
      <c r="C10" s="104">
        <v>46265350.019999981</v>
      </c>
      <c r="D10" s="103"/>
    </row>
    <row r="11" spans="1:4">
      <c r="A11" s="772" t="s">
        <v>239</v>
      </c>
      <c r="B11" s="780"/>
      <c r="C11" s="123">
        <f>SUM(C9:C10)</f>
        <v>46359185.029999979</v>
      </c>
      <c r="D11" s="778"/>
    </row>
    <row r="12" spans="1:4">
      <c r="B12" s="780"/>
      <c r="C12" s="123"/>
      <c r="D12" s="778"/>
    </row>
    <row r="13" spans="1:4">
      <c r="A13" s="772" t="s">
        <v>10</v>
      </c>
      <c r="B13" s="780"/>
      <c r="C13" s="123"/>
    </row>
    <row r="14" spans="1:4">
      <c r="B14" s="775" t="s">
        <v>0</v>
      </c>
      <c r="C14" s="123">
        <v>-4563158.3200000031</v>
      </c>
    </row>
    <row r="15" spans="1:4">
      <c r="B15" s="775" t="s">
        <v>240</v>
      </c>
      <c r="C15" s="123">
        <v>-929785.80999999994</v>
      </c>
    </row>
    <row r="16" spans="1:4">
      <c r="B16" s="775" t="s">
        <v>241</v>
      </c>
      <c r="C16" s="123">
        <v>-425073.28</v>
      </c>
    </row>
    <row r="17" spans="1:5">
      <c r="B17" s="775" t="s">
        <v>242</v>
      </c>
      <c r="C17" s="104">
        <v>-866481.43000000017</v>
      </c>
    </row>
    <row r="18" spans="1:5">
      <c r="B18" s="780"/>
      <c r="C18" s="123">
        <f>SUM(C14:C17)</f>
        <v>-6784498.8400000036</v>
      </c>
      <c r="D18" s="778"/>
    </row>
    <row r="19" spans="1:5">
      <c r="B19" s="780"/>
      <c r="C19" s="123"/>
      <c r="D19" s="778"/>
    </row>
    <row r="20" spans="1:5">
      <c r="A20" s="772" t="s">
        <v>243</v>
      </c>
      <c r="B20" s="780"/>
      <c r="C20" s="123">
        <f>+C6+C11+C18</f>
        <v>69570338.379999936</v>
      </c>
      <c r="D20" s="778"/>
    </row>
    <row r="21" spans="1:5">
      <c r="A21" s="772" t="s">
        <v>480</v>
      </c>
      <c r="B21" s="780"/>
      <c r="C21" s="104">
        <f>-ROUND(C20*0.02*1,1)</f>
        <v>-1391406.8</v>
      </c>
    </row>
    <row r="22" spans="1:5">
      <c r="A22" s="772" t="s">
        <v>243</v>
      </c>
      <c r="B22" s="780"/>
      <c r="C22" s="123">
        <f>+C20+C21</f>
        <v>68178931.579999939</v>
      </c>
    </row>
    <row r="23" spans="1:5">
      <c r="A23" s="772" t="s">
        <v>244</v>
      </c>
      <c r="B23" s="780"/>
      <c r="C23" s="208">
        <v>0.32</v>
      </c>
    </row>
    <row r="24" spans="1:5">
      <c r="A24" s="772" t="s">
        <v>245</v>
      </c>
      <c r="B24" s="780"/>
      <c r="C24" s="209">
        <f>ROUND(C22*C23,2)</f>
        <v>21817258.109999999</v>
      </c>
    </row>
    <row r="25" spans="1:5">
      <c r="A25" s="772" t="s">
        <v>246</v>
      </c>
      <c r="B25" s="780"/>
      <c r="C25" s="732">
        <f>+'Prop Tax'!C23</f>
        <v>9.7402999999999995</v>
      </c>
    </row>
    <row r="26" spans="1:5">
      <c r="A26" s="772" t="s">
        <v>247</v>
      </c>
      <c r="B26" s="780"/>
      <c r="C26" s="43">
        <f>ROUND(C24*(C25/100),2)</f>
        <v>2125066.39</v>
      </c>
    </row>
    <row r="27" spans="1:5">
      <c r="B27" s="780"/>
      <c r="C27" s="44"/>
    </row>
    <row r="28" spans="1:5">
      <c r="A28" s="773" t="s">
        <v>248</v>
      </c>
      <c r="B28" s="780"/>
      <c r="C28" s="22"/>
    </row>
    <row r="29" spans="1:5">
      <c r="B29" s="780"/>
      <c r="C29" s="781" t="str">
        <f>+C5</f>
        <v>CY 2015</v>
      </c>
      <c r="E29" s="778"/>
    </row>
    <row r="30" spans="1:5">
      <c r="B30" s="779" t="s">
        <v>249</v>
      </c>
      <c r="C30" s="782">
        <v>1143338.1100000001</v>
      </c>
    </row>
    <row r="31" spans="1:5">
      <c r="B31" s="779" t="s">
        <v>250</v>
      </c>
      <c r="C31" s="783">
        <v>198189.14</v>
      </c>
    </row>
    <row r="32" spans="1:5">
      <c r="A32" s="772" t="s">
        <v>251</v>
      </c>
      <c r="C32" s="784">
        <f>SUM(C30:C31)</f>
        <v>1341527.25</v>
      </c>
    </row>
    <row r="33" spans="1:4">
      <c r="C33" s="785"/>
    </row>
    <row r="34" spans="1:4">
      <c r="A34" s="772" t="s">
        <v>252</v>
      </c>
      <c r="C34" s="785"/>
    </row>
    <row r="35" spans="1:4">
      <c r="B35" s="779" t="s">
        <v>249</v>
      </c>
      <c r="C35" s="735">
        <v>-609700.59000000008</v>
      </c>
    </row>
    <row r="36" spans="1:4">
      <c r="B36" s="779" t="s">
        <v>250</v>
      </c>
      <c r="C36" s="736">
        <v>0</v>
      </c>
    </row>
    <row r="37" spans="1:4">
      <c r="A37" s="772" t="s">
        <v>251</v>
      </c>
      <c r="C37" s="784">
        <f>SUM(C35:C36)</f>
        <v>-609700.59000000008</v>
      </c>
    </row>
    <row r="38" spans="1:4">
      <c r="C38" s="785"/>
    </row>
    <row r="39" spans="1:4">
      <c r="A39" s="772" t="s">
        <v>253</v>
      </c>
      <c r="C39" s="498">
        <f>+C32+C35</f>
        <v>731826.65999999992</v>
      </c>
    </row>
    <row r="40" spans="1:4">
      <c r="A40" s="772" t="s">
        <v>480</v>
      </c>
      <c r="C40" s="212">
        <f>ROUND(C39*-0.02*1,2)</f>
        <v>-14636.53</v>
      </c>
    </row>
    <row r="41" spans="1:4">
      <c r="A41" s="772" t="s">
        <v>253</v>
      </c>
      <c r="C41" s="784">
        <f>+C39+C40</f>
        <v>717190.12999999989</v>
      </c>
      <c r="D41" s="778"/>
    </row>
    <row r="42" spans="1:4">
      <c r="A42" s="772" t="s">
        <v>244</v>
      </c>
      <c r="C42" s="737">
        <v>0.33329999999999999</v>
      </c>
    </row>
    <row r="43" spans="1:4">
      <c r="A43" s="772" t="s">
        <v>245</v>
      </c>
      <c r="C43" s="43">
        <f>ROUND(C41*C42,2)</f>
        <v>239039.47</v>
      </c>
    </row>
    <row r="44" spans="1:4">
      <c r="A44" s="772" t="s">
        <v>254</v>
      </c>
      <c r="C44" s="786">
        <f>+'Prop Tax'!C40</f>
        <v>8.3610000000000007</v>
      </c>
    </row>
    <row r="45" spans="1:4">
      <c r="A45" s="772" t="s">
        <v>255</v>
      </c>
      <c r="C45" s="43">
        <f>ROUND(C43*(C44/100),2)</f>
        <v>19986.09</v>
      </c>
    </row>
    <row r="46" spans="1:4">
      <c r="C46" s="785"/>
    </row>
    <row r="47" spans="1:4" ht="13.5" thickBot="1">
      <c r="A47" s="772" t="s">
        <v>256</v>
      </c>
      <c r="C47" s="787">
        <f>+C26+C45</f>
        <v>2145052.48</v>
      </c>
    </row>
    <row r="48" spans="1:4" ht="13.5" thickTop="1">
      <c r="C48" s="785"/>
    </row>
    <row r="49" spans="1:3">
      <c r="A49" s="772" t="s">
        <v>1090</v>
      </c>
      <c r="C49" s="123">
        <v>2112436.85</v>
      </c>
    </row>
    <row r="50" spans="1:3">
      <c r="C50" s="123"/>
    </row>
    <row r="51" spans="1:3">
      <c r="C51" s="778">
        <f>+C41+C22</f>
        <v>68896121.709999934</v>
      </c>
    </row>
    <row r="52" spans="1:3">
      <c r="C52" s="215">
        <f>+C47/C51</f>
        <v>3.1134589680229505E-2</v>
      </c>
    </row>
    <row r="55" spans="1:3">
      <c r="A55" s="779"/>
      <c r="C55" s="788">
        <f>+C37+C18</f>
        <v>-7394199.4300000034</v>
      </c>
    </row>
    <row r="56" spans="1:3">
      <c r="C56" s="780"/>
    </row>
  </sheetData>
  <printOptions horizontalCentered="1"/>
  <pageMargins left="0.32" right="0.28999999999999998" top="0.51" bottom="0.91" header="0.51" footer="0.5"/>
  <pageSetup orientation="portrait" horizontalDpi="300" verticalDpi="300" r:id="rId1"/>
  <headerFooter alignWithMargins="0">
    <oddFooter>&amp;RAppendix B
Page 6 of 15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6"/>
  <sheetViews>
    <sheetView workbookViewId="0">
      <selection activeCell="C44" sqref="C44"/>
    </sheetView>
  </sheetViews>
  <sheetFormatPr defaultColWidth="9.140625" defaultRowHeight="12.75"/>
  <cols>
    <col min="1" max="1" width="9.140625" style="559"/>
    <col min="2" max="2" width="15.42578125" style="559" customWidth="1"/>
    <col min="3" max="3" width="15.42578125" style="559" bestFit="1" customWidth="1"/>
    <col min="4" max="4" width="14.42578125" style="559" customWidth="1"/>
    <col min="5" max="16384" width="9.140625" style="559"/>
  </cols>
  <sheetData>
    <row r="1" spans="1:4" ht="12" customHeight="1">
      <c r="A1" s="203" t="s">
        <v>231</v>
      </c>
      <c r="B1" s="203"/>
      <c r="C1" s="203"/>
    </row>
    <row r="2" spans="1:4">
      <c r="A2" s="203" t="s">
        <v>232</v>
      </c>
      <c r="B2" s="203"/>
      <c r="C2" s="203"/>
    </row>
    <row r="4" spans="1:4">
      <c r="A4" s="69" t="s">
        <v>233</v>
      </c>
    </row>
    <row r="5" spans="1:4">
      <c r="A5" s="204" t="s">
        <v>234</v>
      </c>
      <c r="B5" s="206"/>
      <c r="C5" s="205" t="s">
        <v>781</v>
      </c>
    </row>
    <row r="6" spans="1:4">
      <c r="A6" s="559" t="s">
        <v>235</v>
      </c>
      <c r="C6" s="171">
        <v>20487474.859999985</v>
      </c>
    </row>
    <row r="7" spans="1:4">
      <c r="C7" s="498"/>
    </row>
    <row r="8" spans="1:4">
      <c r="A8" s="559" t="s">
        <v>236</v>
      </c>
    </row>
    <row r="9" spans="1:4">
      <c r="B9" s="207" t="s">
        <v>237</v>
      </c>
      <c r="C9" s="498">
        <v>146354.34999999998</v>
      </c>
    </row>
    <row r="10" spans="1:4">
      <c r="B10" s="206" t="s">
        <v>238</v>
      </c>
      <c r="C10" s="104">
        <v>27961113.679999992</v>
      </c>
      <c r="D10" s="103"/>
    </row>
    <row r="11" spans="1:4">
      <c r="A11" s="559" t="s">
        <v>239</v>
      </c>
      <c r="B11" s="202"/>
      <c r="C11" s="123">
        <f>SUM(C9:C10)</f>
        <v>28107468.029999994</v>
      </c>
      <c r="D11" s="498"/>
    </row>
    <row r="12" spans="1:4">
      <c r="B12" s="202"/>
      <c r="C12" s="123"/>
      <c r="D12" s="498"/>
    </row>
    <row r="13" spans="1:4">
      <c r="A13" s="559" t="s">
        <v>10</v>
      </c>
      <c r="B13" s="202"/>
      <c r="C13" s="123"/>
    </row>
    <row r="14" spans="1:4">
      <c r="B14" s="206" t="s">
        <v>0</v>
      </c>
      <c r="C14" s="123">
        <v>-2233590.6800000006</v>
      </c>
    </row>
    <row r="15" spans="1:4">
      <c r="B15" s="206" t="s">
        <v>240</v>
      </c>
      <c r="C15" s="123">
        <v>-170179.22000000003</v>
      </c>
    </row>
    <row r="16" spans="1:4">
      <c r="B16" s="206" t="s">
        <v>241</v>
      </c>
      <c r="C16" s="123">
        <v>-263390.25</v>
      </c>
    </row>
    <row r="17" spans="1:5">
      <c r="B17" s="206" t="s">
        <v>242</v>
      </c>
      <c r="C17" s="104">
        <v>-400310.10999999993</v>
      </c>
    </row>
    <row r="18" spans="1:5">
      <c r="B18" s="202"/>
      <c r="C18" s="123">
        <f>SUM(C14:C17)</f>
        <v>-3067470.2600000007</v>
      </c>
      <c r="D18" s="498"/>
    </row>
    <row r="19" spans="1:5">
      <c r="B19" s="202"/>
      <c r="C19" s="123"/>
    </row>
    <row r="20" spans="1:5">
      <c r="A20" s="559" t="s">
        <v>243</v>
      </c>
      <c r="B20" s="202"/>
      <c r="C20" s="123">
        <f>+C6+C11+C18</f>
        <v>45527472.62999998</v>
      </c>
    </row>
    <row r="21" spans="1:5">
      <c r="A21" s="559" t="s">
        <v>480</v>
      </c>
      <c r="B21" s="202"/>
      <c r="C21" s="104">
        <f>-ROUND(C20*0.02*2,1)</f>
        <v>-1821098.9</v>
      </c>
    </row>
    <row r="22" spans="1:5">
      <c r="A22" s="559" t="s">
        <v>243</v>
      </c>
      <c r="B22" s="202"/>
      <c r="C22" s="123">
        <f>+C20+C21</f>
        <v>43706373.729999982</v>
      </c>
    </row>
    <row r="23" spans="1:5">
      <c r="A23" s="559" t="s">
        <v>244</v>
      </c>
      <c r="B23" s="202"/>
      <c r="C23" s="208">
        <v>0.32</v>
      </c>
    </row>
    <row r="24" spans="1:5">
      <c r="A24" s="559" t="s">
        <v>245</v>
      </c>
      <c r="B24" s="202"/>
      <c r="C24" s="209">
        <f>ROUND(C22*C23,2)</f>
        <v>13986039.59</v>
      </c>
    </row>
    <row r="25" spans="1:5">
      <c r="A25" s="559" t="s">
        <v>246</v>
      </c>
      <c r="B25" s="202"/>
      <c r="C25" s="210">
        <f>+'Prop Tax'!C23</f>
        <v>9.7402999999999995</v>
      </c>
    </row>
    <row r="26" spans="1:5">
      <c r="A26" s="559" t="s">
        <v>247</v>
      </c>
      <c r="B26" s="202"/>
      <c r="C26" s="209">
        <f>ROUND(C24*(C25/100),2)</f>
        <v>1362282.21</v>
      </c>
    </row>
    <row r="27" spans="1:5">
      <c r="B27" s="202"/>
      <c r="C27" s="211"/>
    </row>
    <row r="28" spans="1:5">
      <c r="A28" s="69" t="s">
        <v>248</v>
      </c>
      <c r="B28" s="202"/>
      <c r="C28" s="123"/>
    </row>
    <row r="29" spans="1:5">
      <c r="B29" s="202"/>
      <c r="C29" s="205" t="str">
        <f>+C5</f>
        <v>CY 2014</v>
      </c>
      <c r="E29" s="498"/>
    </row>
    <row r="30" spans="1:5">
      <c r="B30" s="207" t="s">
        <v>249</v>
      </c>
      <c r="C30" s="171">
        <v>1085144.0399999998</v>
      </c>
    </row>
    <row r="31" spans="1:5">
      <c r="B31" s="207" t="s">
        <v>250</v>
      </c>
      <c r="C31" s="212">
        <v>31897.859999999993</v>
      </c>
    </row>
    <row r="32" spans="1:5">
      <c r="A32" s="559" t="s">
        <v>251</v>
      </c>
      <c r="C32" s="498">
        <f>SUM(C30:C31)</f>
        <v>1117041.8999999999</v>
      </c>
    </row>
    <row r="34" spans="1:4">
      <c r="A34" s="559" t="s">
        <v>252</v>
      </c>
    </row>
    <row r="35" spans="1:4">
      <c r="B35" s="207" t="s">
        <v>249</v>
      </c>
      <c r="C35" s="103">
        <v>-52139.21</v>
      </c>
    </row>
    <row r="36" spans="1:4">
      <c r="B36" s="207" t="s">
        <v>250</v>
      </c>
      <c r="C36" s="104">
        <v>-20579.809999999998</v>
      </c>
    </row>
    <row r="37" spans="1:4">
      <c r="A37" s="559" t="s">
        <v>251</v>
      </c>
      <c r="C37" s="498">
        <f>SUM(C35:C36)</f>
        <v>-72719.01999999999</v>
      </c>
    </row>
    <row r="39" spans="1:4">
      <c r="A39" s="559" t="s">
        <v>253</v>
      </c>
      <c r="C39" s="498">
        <f>+C32+C37</f>
        <v>1044322.8799999999</v>
      </c>
      <c r="D39" s="498"/>
    </row>
    <row r="40" spans="1:4">
      <c r="A40" s="559" t="s">
        <v>480</v>
      </c>
      <c r="C40" s="212">
        <f>ROUND(C39*-0.02*2,2)</f>
        <v>-41772.92</v>
      </c>
      <c r="D40" s="498"/>
    </row>
    <row r="41" spans="1:4">
      <c r="A41" s="559" t="s">
        <v>253</v>
      </c>
      <c r="C41" s="498">
        <f>+C39+C40</f>
        <v>1002549.9599999998</v>
      </c>
      <c r="D41" s="498"/>
    </row>
    <row r="42" spans="1:4">
      <c r="A42" s="559" t="s">
        <v>244</v>
      </c>
      <c r="C42" s="213">
        <v>0.33329999999999999</v>
      </c>
    </row>
    <row r="43" spans="1:4">
      <c r="A43" s="559" t="s">
        <v>245</v>
      </c>
      <c r="C43" s="209">
        <f>ROUND(C41*C42,2)</f>
        <v>334149.90000000002</v>
      </c>
    </row>
    <row r="44" spans="1:4">
      <c r="A44" s="559" t="s">
        <v>254</v>
      </c>
      <c r="C44" s="712">
        <f>+'Prop Tax'!C40</f>
        <v>8.3610000000000007</v>
      </c>
    </row>
    <row r="45" spans="1:4">
      <c r="A45" s="559" t="s">
        <v>255</v>
      </c>
      <c r="C45" s="209">
        <f>ROUND(C43*(C44/100),2)</f>
        <v>27938.27</v>
      </c>
    </row>
    <row r="47" spans="1:4" ht="13.5" thickBot="1">
      <c r="A47" s="559" t="s">
        <v>256</v>
      </c>
      <c r="C47" s="214">
        <f>+C26+C45</f>
        <v>1390220.48</v>
      </c>
    </row>
    <row r="48" spans="1:4" ht="13.5" thickTop="1"/>
    <row r="49" spans="1:3">
      <c r="A49" s="559" t="s">
        <v>481</v>
      </c>
      <c r="C49" s="123">
        <v>1397648.39</v>
      </c>
    </row>
    <row r="50" spans="1:3">
      <c r="C50" s="123"/>
    </row>
    <row r="51" spans="1:3">
      <c r="C51" s="498">
        <f>+C39+C20</f>
        <v>46571795.509999983</v>
      </c>
    </row>
    <row r="52" spans="1:3">
      <c r="C52" s="215">
        <f>+C47/C51</f>
        <v>2.9851124801522612E-2</v>
      </c>
    </row>
    <row r="55" spans="1:3">
      <c r="A55" s="207"/>
      <c r="C55" s="216">
        <f>+C37+C18</f>
        <v>-3140189.2800000007</v>
      </c>
    </row>
    <row r="56" spans="1:3">
      <c r="C56" s="202"/>
    </row>
  </sheetData>
  <printOptions horizontalCentered="1"/>
  <pageMargins left="0.32" right="0.28999999999999998" top="0.51" bottom="0.91" header="0.51" footer="0.5"/>
  <pageSetup orientation="portrait" horizontalDpi="300" verticalDpi="300" r:id="rId1"/>
  <headerFooter alignWithMargins="0">
    <oddFooter>&amp;RAppendix B
Page 7 of 15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7"/>
  <sheetViews>
    <sheetView workbookViewId="0">
      <selection activeCell="C44" sqref="C44"/>
    </sheetView>
  </sheetViews>
  <sheetFormatPr defaultColWidth="9.140625" defaultRowHeight="12.75"/>
  <cols>
    <col min="1" max="1" width="9.140625" style="350"/>
    <col min="2" max="2" width="15.42578125" style="350" customWidth="1"/>
    <col min="3" max="3" width="15.42578125" style="350" bestFit="1" customWidth="1"/>
    <col min="4" max="4" width="14.42578125" style="350" customWidth="1"/>
    <col min="5" max="16384" width="9.140625" style="350"/>
  </cols>
  <sheetData>
    <row r="1" spans="1:4" ht="12" customHeight="1">
      <c r="A1" s="349" t="s">
        <v>231</v>
      </c>
      <c r="B1" s="349"/>
      <c r="C1" s="349"/>
    </row>
    <row r="2" spans="1:4">
      <c r="A2" s="349" t="s">
        <v>232</v>
      </c>
      <c r="B2" s="349"/>
      <c r="C2" s="349"/>
    </row>
    <row r="4" spans="1:4">
      <c r="A4" s="351" t="s">
        <v>233</v>
      </c>
    </row>
    <row r="5" spans="1:4">
      <c r="A5" s="352" t="s">
        <v>234</v>
      </c>
      <c r="B5" s="353"/>
      <c r="C5" s="354" t="s">
        <v>431</v>
      </c>
    </row>
    <row r="6" spans="1:4">
      <c r="A6" s="350" t="s">
        <v>235</v>
      </c>
      <c r="C6" s="355">
        <v>20603856.570000004</v>
      </c>
    </row>
    <row r="7" spans="1:4">
      <c r="C7" s="356"/>
    </row>
    <row r="8" spans="1:4">
      <c r="A8" s="350" t="s">
        <v>236</v>
      </c>
    </row>
    <row r="9" spans="1:4">
      <c r="B9" s="357" t="s">
        <v>237</v>
      </c>
      <c r="C9" s="356">
        <v>94489.81</v>
      </c>
    </row>
    <row r="10" spans="1:4">
      <c r="B10" s="353" t="s">
        <v>238</v>
      </c>
      <c r="C10" s="104">
        <v>21854496.430000026</v>
      </c>
      <c r="D10" s="103"/>
    </row>
    <row r="11" spans="1:4">
      <c r="A11" s="350" t="s">
        <v>239</v>
      </c>
      <c r="B11" s="358"/>
      <c r="C11" s="123">
        <f>SUM(C9:C10)</f>
        <v>21948986.240000024</v>
      </c>
      <c r="D11" s="356"/>
    </row>
    <row r="12" spans="1:4">
      <c r="B12" s="358"/>
      <c r="C12" s="123"/>
      <c r="D12" s="356"/>
    </row>
    <row r="13" spans="1:4">
      <c r="A13" s="350" t="s">
        <v>10</v>
      </c>
      <c r="B13" s="358"/>
      <c r="C13" s="123"/>
    </row>
    <row r="14" spans="1:4">
      <c r="B14" s="353" t="s">
        <v>0</v>
      </c>
      <c r="C14" s="123">
        <v>-2719397.88</v>
      </c>
    </row>
    <row r="15" spans="1:4">
      <c r="B15" s="353" t="s">
        <v>240</v>
      </c>
      <c r="C15" s="123">
        <v>-365375.12000000005</v>
      </c>
    </row>
    <row r="16" spans="1:4">
      <c r="B16" s="353" t="s">
        <v>241</v>
      </c>
      <c r="C16" s="123">
        <v>-245241.13000000003</v>
      </c>
    </row>
    <row r="17" spans="1:5">
      <c r="B17" s="353" t="s">
        <v>242</v>
      </c>
      <c r="C17" s="104">
        <v>-761767.28</v>
      </c>
    </row>
    <row r="18" spans="1:5">
      <c r="B18" s="358"/>
      <c r="C18" s="123">
        <f>SUM(C14:C17)</f>
        <v>-4091781.41</v>
      </c>
      <c r="D18" s="356"/>
    </row>
    <row r="19" spans="1:5">
      <c r="B19" s="358"/>
      <c r="C19" s="123"/>
    </row>
    <row r="20" spans="1:5">
      <c r="A20" s="350" t="s">
        <v>243</v>
      </c>
      <c r="B20" s="358"/>
      <c r="C20" s="123">
        <f>+C6+C11+C18</f>
        <v>38461061.400000036</v>
      </c>
    </row>
    <row r="21" spans="1:5">
      <c r="A21" s="350" t="s">
        <v>480</v>
      </c>
      <c r="B21" s="358"/>
      <c r="C21" s="104">
        <f>-ROUND(C20*0.02*3,1)</f>
        <v>-2307663.7000000002</v>
      </c>
    </row>
    <row r="22" spans="1:5">
      <c r="A22" s="350" t="s">
        <v>243</v>
      </c>
      <c r="B22" s="358"/>
      <c r="C22" s="123">
        <f>+C20+C21</f>
        <v>36153397.700000033</v>
      </c>
    </row>
    <row r="23" spans="1:5">
      <c r="A23" s="350" t="s">
        <v>244</v>
      </c>
      <c r="B23" s="358"/>
      <c r="C23" s="208">
        <v>0.32</v>
      </c>
    </row>
    <row r="24" spans="1:5">
      <c r="A24" s="350" t="s">
        <v>245</v>
      </c>
      <c r="B24" s="358"/>
      <c r="C24" s="209">
        <f>ROUND(C22*C23,2)</f>
        <v>11569087.26</v>
      </c>
    </row>
    <row r="25" spans="1:5">
      <c r="A25" s="350" t="s">
        <v>246</v>
      </c>
      <c r="B25" s="358"/>
      <c r="C25" s="210">
        <f>+'Prop Tax'!C23</f>
        <v>9.7402999999999995</v>
      </c>
    </row>
    <row r="26" spans="1:5">
      <c r="A26" s="350" t="s">
        <v>247</v>
      </c>
      <c r="B26" s="358"/>
      <c r="C26" s="209">
        <f>ROUND(C24*(C25/100),2)</f>
        <v>1126863.81</v>
      </c>
    </row>
    <row r="27" spans="1:5">
      <c r="B27" s="358"/>
      <c r="C27" s="211"/>
    </row>
    <row r="28" spans="1:5">
      <c r="A28" s="351" t="s">
        <v>248</v>
      </c>
      <c r="B28" s="358"/>
      <c r="C28" s="123"/>
    </row>
    <row r="29" spans="1:5">
      <c r="B29" s="358"/>
      <c r="C29" s="354" t="str">
        <f>+C5</f>
        <v>CY 2013</v>
      </c>
      <c r="E29" s="356"/>
    </row>
    <row r="30" spans="1:5">
      <c r="B30" s="357" t="s">
        <v>249</v>
      </c>
      <c r="C30" s="355">
        <v>152506.78999999998</v>
      </c>
    </row>
    <row r="31" spans="1:5">
      <c r="B31" s="357" t="s">
        <v>250</v>
      </c>
      <c r="C31" s="359">
        <v>268045.58999999997</v>
      </c>
    </row>
    <row r="32" spans="1:5">
      <c r="A32" s="350" t="s">
        <v>251</v>
      </c>
      <c r="C32" s="356">
        <f>SUM(C30:C31)</f>
        <v>420552.37999999995</v>
      </c>
    </row>
    <row r="34" spans="1:4">
      <c r="A34" s="350" t="s">
        <v>252</v>
      </c>
    </row>
    <row r="35" spans="1:4">
      <c r="B35" s="357" t="s">
        <v>249</v>
      </c>
      <c r="C35" s="103">
        <v>-60411.02</v>
      </c>
    </row>
    <row r="36" spans="1:4">
      <c r="B36" s="357" t="s">
        <v>250</v>
      </c>
      <c r="C36" s="104">
        <v>1</v>
      </c>
    </row>
    <row r="37" spans="1:4">
      <c r="A37" s="350" t="s">
        <v>251</v>
      </c>
      <c r="C37" s="356">
        <f>SUM(C35:C36)</f>
        <v>-60410.02</v>
      </c>
    </row>
    <row r="39" spans="1:4">
      <c r="A39" s="350" t="s">
        <v>253</v>
      </c>
      <c r="C39" s="356">
        <f>+C32+C37</f>
        <v>360142.35999999993</v>
      </c>
    </row>
    <row r="40" spans="1:4">
      <c r="A40" s="350" t="s">
        <v>480</v>
      </c>
      <c r="C40" s="359">
        <f>ROUND(C39*-0.02*3,2)</f>
        <v>-21608.54</v>
      </c>
    </row>
    <row r="41" spans="1:4">
      <c r="A41" s="350" t="s">
        <v>253</v>
      </c>
      <c r="C41" s="356">
        <f>+C39+C40</f>
        <v>338533.81999999995</v>
      </c>
      <c r="D41" s="356"/>
    </row>
    <row r="42" spans="1:4">
      <c r="A42" s="350" t="s">
        <v>244</v>
      </c>
      <c r="C42" s="213">
        <v>0.33329999999999999</v>
      </c>
    </row>
    <row r="43" spans="1:4">
      <c r="A43" s="350" t="s">
        <v>245</v>
      </c>
      <c r="C43" s="209">
        <f>ROUND(C41*C42,2)</f>
        <v>112833.32</v>
      </c>
    </row>
    <row r="44" spans="1:4">
      <c r="A44" s="350" t="s">
        <v>254</v>
      </c>
      <c r="C44" s="360">
        <f>+'Prop Tax'!C40</f>
        <v>8.3610000000000007</v>
      </c>
    </row>
    <row r="45" spans="1:4">
      <c r="A45" s="350" t="s">
        <v>255</v>
      </c>
      <c r="C45" s="209">
        <f>ROUND(C43*(C44/100),2)</f>
        <v>9433.99</v>
      </c>
    </row>
    <row r="47" spans="1:4" ht="13.5" thickBot="1">
      <c r="A47" s="350" t="s">
        <v>256</v>
      </c>
      <c r="C47" s="361">
        <f>+C26+C45</f>
        <v>1136297.8</v>
      </c>
    </row>
    <row r="48" spans="1:4" ht="13.5" thickTop="1"/>
    <row r="49" spans="1:3">
      <c r="A49" s="350" t="s">
        <v>481</v>
      </c>
      <c r="C49" s="123">
        <v>1119969.3899999999</v>
      </c>
    </row>
    <row r="50" spans="1:3">
      <c r="C50" s="123"/>
    </row>
    <row r="51" spans="1:3">
      <c r="C51" s="123"/>
    </row>
    <row r="52" spans="1:3">
      <c r="C52" s="356">
        <f>+C41+C22</f>
        <v>36491931.520000033</v>
      </c>
    </row>
    <row r="53" spans="1:3">
      <c r="C53" s="215">
        <f>+C47/C52</f>
        <v>3.1138329835383814E-2</v>
      </c>
    </row>
    <row r="56" spans="1:3">
      <c r="A56" s="357"/>
      <c r="C56" s="362">
        <f>+C37+C18</f>
        <v>-4152191.43</v>
      </c>
    </row>
    <row r="57" spans="1:3">
      <c r="C57" s="358"/>
    </row>
  </sheetData>
  <printOptions horizontalCentered="1"/>
  <pageMargins left="0.32" right="0.28999999999999998" top="0.51" bottom="0.91" header="0.51" footer="0.5"/>
  <pageSetup orientation="portrait" horizontalDpi="300" verticalDpi="300" r:id="rId1"/>
  <headerFooter alignWithMargins="0">
    <oddFooter>&amp;RAppendix B
Page 8 of 15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AA620"/>
  <sheetViews>
    <sheetView topLeftCell="A406" workbookViewId="0">
      <selection activeCell="I428" sqref="I428:M509"/>
    </sheetView>
  </sheetViews>
  <sheetFormatPr defaultColWidth="9.140625" defaultRowHeight="12.75"/>
  <cols>
    <col min="1" max="1" width="4.42578125" style="101" bestFit="1" customWidth="1"/>
    <col min="2" max="2" width="37.28515625" style="101" customWidth="1"/>
    <col min="3" max="4" width="16.140625" style="101" customWidth="1"/>
    <col min="5" max="5" width="31" style="101" customWidth="1"/>
    <col min="6" max="7" width="16.140625" style="101" customWidth="1"/>
    <col min="8" max="8" width="11.85546875" style="101" customWidth="1"/>
    <col min="9" max="9" width="10.140625" style="101" customWidth="1"/>
    <col min="10" max="11" width="12.42578125" style="101" customWidth="1"/>
    <col min="12" max="12" width="9.140625" style="101"/>
    <col min="13" max="13" width="11.28515625" style="101" bestFit="1" customWidth="1"/>
    <col min="14" max="14" width="12.85546875" style="101" bestFit="1" customWidth="1"/>
    <col min="15" max="15" width="12.85546875" style="39" bestFit="1" customWidth="1"/>
    <col min="16" max="16" width="9.140625" style="39"/>
    <col min="17" max="16384" width="9.140625" style="101"/>
  </cols>
  <sheetData>
    <row r="1" spans="2:9" ht="15.75">
      <c r="B1" s="83" t="s">
        <v>196</v>
      </c>
    </row>
    <row r="4" spans="2:9">
      <c r="B4" s="101" t="s">
        <v>197</v>
      </c>
      <c r="G4" s="69" t="s">
        <v>174</v>
      </c>
    </row>
    <row r="5" spans="2:9">
      <c r="B5" s="101" t="s">
        <v>199</v>
      </c>
      <c r="G5" s="69" t="s">
        <v>226</v>
      </c>
      <c r="I5" s="69" t="s">
        <v>175</v>
      </c>
    </row>
    <row r="6" spans="2:9">
      <c r="B6" s="101" t="s">
        <v>198</v>
      </c>
      <c r="G6" s="69" t="s">
        <v>176</v>
      </c>
      <c r="I6" s="69" t="s">
        <v>177</v>
      </c>
    </row>
    <row r="9" spans="2:9" ht="76.5">
      <c r="D9" s="84" t="s">
        <v>204</v>
      </c>
      <c r="E9" s="84" t="s">
        <v>205</v>
      </c>
      <c r="F9" s="84" t="s">
        <v>39</v>
      </c>
      <c r="G9" s="84" t="s">
        <v>206</v>
      </c>
      <c r="H9" s="84" t="s">
        <v>207</v>
      </c>
    </row>
    <row r="10" spans="2:9">
      <c r="B10" s="102">
        <v>2016</v>
      </c>
      <c r="C10" s="101" t="s">
        <v>225</v>
      </c>
      <c r="D10" s="103">
        <f t="array" ref="D10">SUM(($C10=$K$25:$K$193)*($B10=$M$25:$M$193)*($G$25:$G$193))</f>
        <v>0</v>
      </c>
      <c r="E10" s="103">
        <f t="array" ref="E10">SUM(($C10=$K$201:$K$217)*($B10=$M$201:$M$217)*($G$201:$G$217))</f>
        <v>0</v>
      </c>
      <c r="F10" s="103">
        <f t="array" ref="F10">SUM(($C10=$K$231:$K$517)*($B10=$M$231:$M$517)*($G$231:$G$517))</f>
        <v>0</v>
      </c>
      <c r="G10" s="103">
        <f t="array" ref="G10">SUM(($C10=$K$529:$K$551)*($B10=$M$529:$M$551)*($G$529:$G$551))</f>
        <v>0</v>
      </c>
      <c r="H10" s="103">
        <f t="array" ref="H10">SUM(($C10=$K$563:$K$564)*($B10=$M$563:$M$564)*($G$563:$G$564))</f>
        <v>0</v>
      </c>
    </row>
    <row r="11" spans="2:9">
      <c r="B11" s="102">
        <v>2016</v>
      </c>
      <c r="C11" s="101" t="s">
        <v>189</v>
      </c>
      <c r="D11" s="103">
        <f t="array" ref="D11">SUM(($C11=$K$25:$K$193)*($B11=$M$25:$M$193)*($G$25:$G$193))</f>
        <v>0</v>
      </c>
      <c r="E11" s="103">
        <f t="array" ref="E11">SUM(($C11=$K$201:$K$217)*($B11=$M$201:$M$217)*($G$201:$G$217))</f>
        <v>0</v>
      </c>
      <c r="F11" s="103">
        <f t="array" ref="F11">SUM(($C11=$K$231:$K$517)*($B11=$M$231:$M$517)*($G$231:$G$517))</f>
        <v>0</v>
      </c>
      <c r="G11" s="103">
        <f t="array" ref="G11">SUM(($C11=$K$529:$K$551)*($B11=$M$529:$M$551)*($G$529:$G$551))</f>
        <v>0</v>
      </c>
      <c r="H11" s="103">
        <f t="array" ref="H11">SUM(($C11=$K$563:$K$564)*($B11=$M$563:$M$564)*($G$563:$G$564))</f>
        <v>0</v>
      </c>
    </row>
    <row r="12" spans="2:9">
      <c r="B12" s="102">
        <v>2016</v>
      </c>
      <c r="C12" s="101" t="s">
        <v>184</v>
      </c>
      <c r="D12" s="103">
        <f t="array" ref="D12">SUM(($C12=$K$25:$K$193)*($B12=$M$25:$M$193)*($G$25:$G$193))</f>
        <v>0</v>
      </c>
      <c r="E12" s="103">
        <f t="array" ref="E12">SUM(($C12=$K$201:$K$217)*($B12=$M$201:$M$217)*($G$201:$G$217))</f>
        <v>0</v>
      </c>
      <c r="F12" s="103">
        <f t="array" ref="F12">SUM(($C12=$K$231:$K$517)*($B12=$M$231:$M$517)*($G$231:$G$517))</f>
        <v>0</v>
      </c>
      <c r="G12" s="103">
        <f t="array" ref="G12">SUM(($C12=$K$529:$K$551)*($B12=$M$529:$M$551)*($G$529:$G$551))</f>
        <v>0</v>
      </c>
      <c r="H12" s="103">
        <f t="array" ref="H12">SUM(($C12=$K$563:$K$564)*($B12=$M$563:$M$564)*($G$563:$G$564))</f>
        <v>0</v>
      </c>
    </row>
    <row r="13" spans="2:9">
      <c r="B13" s="102">
        <v>2016</v>
      </c>
      <c r="C13" s="101" t="s">
        <v>185</v>
      </c>
      <c r="D13" s="103">
        <f t="array" ref="D13">SUM(($C13=$K$25:$K$193)*($B13=$M$25:$M$193)*($G$25:$G$193))</f>
        <v>0</v>
      </c>
      <c r="E13" s="103">
        <f t="array" ref="E13">SUM(($C13=$K$201:$K$217)*($B13=$M$201:$M$217)*($G$201:$G$217))</f>
        <v>0</v>
      </c>
      <c r="F13" s="103">
        <f t="array" ref="F13">SUM(($C13=$K$231:$K$517)*($B13=$M$231:$M$517)*($G$231:$G$517))</f>
        <v>0</v>
      </c>
      <c r="G13" s="103">
        <f t="array" ref="G13">SUM(($C13=$K$529:$K$551)*($B13=$M$529:$M$551)*($G$529:$G$551))</f>
        <v>0</v>
      </c>
      <c r="H13" s="103">
        <f t="array" ref="H13">SUM(($C13=$K$563:$K$564)*($B13=$M$563:$M$564)*($G$563:$G$564))</f>
        <v>0</v>
      </c>
    </row>
    <row r="14" spans="2:9">
      <c r="B14" s="102">
        <v>2017</v>
      </c>
      <c r="C14" s="101" t="s">
        <v>225</v>
      </c>
      <c r="D14" s="103">
        <f t="array" ref="D14">SUM(($C14=$K$25:$K$193)*($B14=$M$25:$M$193)*($G$25:$G$193))</f>
        <v>0</v>
      </c>
      <c r="E14" s="103">
        <f t="array" ref="E14">SUM(($C14=$K$201:$K$217)*($B14=$M$201:$M$217)*($G$201:$G$217))</f>
        <v>0</v>
      </c>
      <c r="F14" s="103">
        <f t="array" ref="F14">SUM(($C14=$K$231:$K$517)*($B14=$M$231:$M$517)*($G$231:$G$517))</f>
        <v>0</v>
      </c>
      <c r="G14" s="103">
        <f t="array" ref="G14">SUM(($C14=$K$529:$K$551)*($B14=$M$529:$M$551)*($G$529:$G$551))</f>
        <v>0</v>
      </c>
      <c r="H14" s="103">
        <f t="array" ref="H14">SUM(($C14=$K$563:$K$564)*($B14=$M$563:$M$564)*($G$563:$G$564))</f>
        <v>0</v>
      </c>
    </row>
    <row r="15" spans="2:9">
      <c r="B15" s="102">
        <v>2017</v>
      </c>
      <c r="C15" s="101" t="s">
        <v>189</v>
      </c>
      <c r="D15" s="103">
        <f t="array" ref="D15">SUM(($C15=$K$25:$K$193)*($B15=$M$25:$M$193)*($G$25:$G$193))</f>
        <v>2304437.9800000004</v>
      </c>
      <c r="E15" s="103">
        <f t="array" ref="E15">SUM(($C15=$K$201:$K$217)*($B15=$M$201:$M$217)*($G$201:$G$217))</f>
        <v>449686.39000000007</v>
      </c>
      <c r="F15" s="103">
        <f t="array" ref="F15">SUM(($C15=$K$231:$K$517)*($B15=$M$231:$M$517)*($G$231:$G$517))</f>
        <v>6401464.4799999986</v>
      </c>
      <c r="G15" s="103">
        <f t="array" ref="G15">SUM(($C15=$K$529:$K$551)*($B15=$M$529:$M$551)*($G$529:$G$551))</f>
        <v>0</v>
      </c>
      <c r="H15" s="103">
        <f t="array" ref="H15">SUM(($C15=$K$563:$K$564)*($B15=$M$563:$M$564)*($G$563:$G$564))</f>
        <v>0</v>
      </c>
    </row>
    <row r="16" spans="2:9">
      <c r="B16" s="102">
        <v>2017</v>
      </c>
      <c r="C16" s="101" t="s">
        <v>184</v>
      </c>
      <c r="D16" s="103">
        <f t="array" ref="D16">SUM(($C16=$K$25:$K$193)*($B16=$M$25:$M$193)*($G$25:$G$193))</f>
        <v>0</v>
      </c>
      <c r="E16" s="103">
        <f t="array" ref="E16">SUM(($C16=$K$201:$K$217)*($B16=$M$201:$M$217)*($G$201:$G$217))</f>
        <v>0</v>
      </c>
      <c r="F16" s="103">
        <f t="array" ref="F16">SUM(($C16=$K$231:$K$517)*($B16=$M$231:$M$517)*($G$231:$G$517))</f>
        <v>0</v>
      </c>
      <c r="G16" s="103">
        <f t="array" ref="G16">SUM(($C16=$K$529:$K$551)*($B16=$M$529:$M$551)*($G$529:$G$551))</f>
        <v>0</v>
      </c>
      <c r="H16" s="103">
        <f t="array" ref="H16">SUM(($C16=$K$563:$K$564)*($B16=$M$563:$M$564)*($G$563:$G$564))</f>
        <v>0</v>
      </c>
    </row>
    <row r="17" spans="2:13">
      <c r="B17" s="102">
        <v>2017</v>
      </c>
      <c r="C17" s="101" t="s">
        <v>185</v>
      </c>
      <c r="D17" s="103">
        <f t="array" ref="D17">SUM(($C17=$K$25:$K$193)*($B17=$M$25:$M$193)*($G$25:$G$193))</f>
        <v>0</v>
      </c>
      <c r="E17" s="103">
        <f t="array" ref="E17">SUM(($C17=$K$201:$K$217)*($B17=$M$201:$M$217)*($G$201:$G$217))</f>
        <v>0</v>
      </c>
      <c r="F17" s="104">
        <f t="array" ref="F17">SUM(($C17=$K$231:$K$517)*($B17=$M$231:$M$517)*($G$231:$G$517))</f>
        <v>0</v>
      </c>
      <c r="G17" s="104">
        <f t="array" ref="G17">SUM(($C17=$K$529:$K$551)*($B17=$M$529:$M$551)*($G$529:$G$551))</f>
        <v>0</v>
      </c>
      <c r="H17" s="104">
        <f t="array" ref="H17">SUM(($C17=$K$563:$K$564)*($B17=$M$563:$M$564)*($G$563:$G$564))</f>
        <v>0</v>
      </c>
    </row>
    <row r="18" spans="2:13">
      <c r="D18" s="105">
        <f>SUM(D10:D17)</f>
        <v>2304437.9800000004</v>
      </c>
      <c r="E18" s="105">
        <f>SUM(E10:E17)</f>
        <v>449686.39000000007</v>
      </c>
      <c r="F18" s="105">
        <f>SUM(F10:F17)</f>
        <v>6401464.4799999986</v>
      </c>
      <c r="G18" s="105">
        <f>SUM(G10:G17)</f>
        <v>0</v>
      </c>
      <c r="H18" s="105">
        <f>SUM(H10:H17)</f>
        <v>0</v>
      </c>
    </row>
    <row r="19" spans="2:13">
      <c r="D19" s="105">
        <f>+D18-G195</f>
        <v>0</v>
      </c>
      <c r="E19" s="105"/>
      <c r="F19" s="105">
        <f>+F18-G518</f>
        <v>0</v>
      </c>
      <c r="G19" s="105">
        <f>+G18-G552</f>
        <v>0</v>
      </c>
      <c r="H19" s="105">
        <f>+H18-G566</f>
        <v>0</v>
      </c>
    </row>
    <row r="20" spans="2:13">
      <c r="J20" s="741">
        <v>201602</v>
      </c>
      <c r="M20" s="741">
        <v>201609</v>
      </c>
    </row>
    <row r="21" spans="2:13">
      <c r="B21" s="67" t="s">
        <v>103</v>
      </c>
      <c r="J21" s="34"/>
    </row>
    <row r="22" spans="2:13">
      <c r="I22" s="106"/>
      <c r="J22" s="742">
        <v>201508</v>
      </c>
      <c r="K22" s="85"/>
      <c r="M22" s="85"/>
    </row>
    <row r="23" spans="2:13">
      <c r="B23" s="81" t="s">
        <v>86</v>
      </c>
      <c r="C23" s="81" t="s">
        <v>87</v>
      </c>
      <c r="D23" s="81" t="s">
        <v>88</v>
      </c>
      <c r="E23" s="81" t="s">
        <v>104</v>
      </c>
      <c r="F23" s="81" t="s">
        <v>89</v>
      </c>
      <c r="G23" s="81" t="s">
        <v>90</v>
      </c>
      <c r="I23" s="78" t="s">
        <v>200</v>
      </c>
      <c r="J23" s="78" t="s">
        <v>202</v>
      </c>
      <c r="K23" s="78" t="s">
        <v>186</v>
      </c>
      <c r="M23" s="78" t="s">
        <v>221</v>
      </c>
    </row>
    <row r="24" spans="2:13">
      <c r="B24" s="86" t="s">
        <v>94</v>
      </c>
      <c r="C24" s="86" t="s">
        <v>95</v>
      </c>
      <c r="D24" s="86" t="s">
        <v>96</v>
      </c>
      <c r="E24" s="87" t="s">
        <v>105</v>
      </c>
      <c r="F24" s="86" t="s">
        <v>98</v>
      </c>
      <c r="G24" s="86" t="s">
        <v>99</v>
      </c>
      <c r="I24" s="86" t="s">
        <v>201</v>
      </c>
      <c r="J24" s="86" t="s">
        <v>203</v>
      </c>
      <c r="K24" s="86" t="s">
        <v>187</v>
      </c>
      <c r="M24" s="86" t="s">
        <v>222</v>
      </c>
    </row>
    <row r="25" spans="2:13">
      <c r="B25" s="521" t="s">
        <v>318</v>
      </c>
      <c r="C25" s="522" t="s">
        <v>941</v>
      </c>
      <c r="D25" s="423" t="s">
        <v>330</v>
      </c>
      <c r="E25" s="521" t="s">
        <v>942</v>
      </c>
      <c r="F25" s="522">
        <v>201611</v>
      </c>
      <c r="G25" s="523">
        <v>1570.33</v>
      </c>
      <c r="I25" s="111" t="str">
        <f t="shared" ref="I25:I86" si="0">IF(LEFT(C25,2)="69","Blanket","")</f>
        <v/>
      </c>
      <c r="J25" s="99" t="str">
        <f t="shared" ref="J25" si="1">IF(F25&gt;$J$20,"",IF(F25&gt;=$J$22,"In service",""))</f>
        <v/>
      </c>
      <c r="K25" s="99" t="s">
        <v>189</v>
      </c>
      <c r="M25" s="112">
        <f>IF(F25&gt;$M$20,0+2017,0+2016)</f>
        <v>2017</v>
      </c>
    </row>
    <row r="26" spans="2:13">
      <c r="B26" s="521" t="s">
        <v>318</v>
      </c>
      <c r="C26" s="522" t="s">
        <v>856</v>
      </c>
      <c r="D26" s="423" t="s">
        <v>330</v>
      </c>
      <c r="E26" s="521" t="s">
        <v>857</v>
      </c>
      <c r="F26" s="522">
        <v>201611</v>
      </c>
      <c r="G26" s="523">
        <v>-0.1</v>
      </c>
      <c r="I26" s="111" t="str">
        <f t="shared" si="0"/>
        <v/>
      </c>
      <c r="J26" s="99" t="str">
        <f t="shared" ref="J26:J87" si="2">IF(F26&gt;$J$20,"",IF(F26&gt;=$J$22,"In service",""))</f>
        <v/>
      </c>
      <c r="K26" s="99" t="s">
        <v>189</v>
      </c>
      <c r="M26" s="112">
        <f t="shared" ref="M26:M87" si="3">IF(F26&gt;$M$20,0+2017,0+2016)</f>
        <v>2017</v>
      </c>
    </row>
    <row r="27" spans="2:13">
      <c r="B27" s="521" t="s">
        <v>318</v>
      </c>
      <c r="C27" s="522" t="s">
        <v>629</v>
      </c>
      <c r="D27" s="423" t="s">
        <v>330</v>
      </c>
      <c r="E27" s="521" t="s">
        <v>630</v>
      </c>
      <c r="F27" s="522">
        <v>201611</v>
      </c>
      <c r="G27" s="523">
        <v>1.02</v>
      </c>
      <c r="I27" s="111" t="str">
        <f t="shared" si="0"/>
        <v/>
      </c>
      <c r="J27" s="99" t="str">
        <f t="shared" si="2"/>
        <v/>
      </c>
      <c r="K27" s="99" t="s">
        <v>189</v>
      </c>
      <c r="M27" s="112">
        <f t="shared" si="3"/>
        <v>2017</v>
      </c>
    </row>
    <row r="28" spans="2:13">
      <c r="B28" s="521" t="s">
        <v>318</v>
      </c>
      <c r="C28" s="522" t="s">
        <v>805</v>
      </c>
      <c r="D28" s="423" t="s">
        <v>330</v>
      </c>
      <c r="E28" s="521" t="s">
        <v>806</v>
      </c>
      <c r="F28" s="522">
        <v>201611</v>
      </c>
      <c r="G28" s="523">
        <v>-4.12</v>
      </c>
      <c r="I28" s="111" t="str">
        <f t="shared" si="0"/>
        <v/>
      </c>
      <c r="J28" s="99" t="str">
        <f t="shared" si="2"/>
        <v/>
      </c>
      <c r="K28" s="99" t="s">
        <v>189</v>
      </c>
      <c r="M28" s="112">
        <f t="shared" si="3"/>
        <v>2017</v>
      </c>
    </row>
    <row r="29" spans="2:13">
      <c r="B29" s="521" t="s">
        <v>318</v>
      </c>
      <c r="C29" s="522" t="s">
        <v>1033</v>
      </c>
      <c r="D29" s="423" t="s">
        <v>330</v>
      </c>
      <c r="E29" s="521" t="s">
        <v>1034</v>
      </c>
      <c r="F29" s="522">
        <v>201611</v>
      </c>
      <c r="G29" s="523">
        <v>-8.1</v>
      </c>
      <c r="I29" s="111" t="str">
        <f t="shared" si="0"/>
        <v/>
      </c>
      <c r="J29" s="99" t="str">
        <f t="shared" si="2"/>
        <v/>
      </c>
      <c r="K29" s="99" t="s">
        <v>189</v>
      </c>
      <c r="M29" s="112">
        <f t="shared" si="3"/>
        <v>2017</v>
      </c>
    </row>
    <row r="30" spans="2:13">
      <c r="B30" s="521" t="s">
        <v>318</v>
      </c>
      <c r="C30" s="522" t="s">
        <v>832</v>
      </c>
      <c r="D30" s="423" t="s">
        <v>330</v>
      </c>
      <c r="E30" s="521" t="s">
        <v>833</v>
      </c>
      <c r="F30" s="522">
        <v>201611</v>
      </c>
      <c r="G30" s="523">
        <v>79.83</v>
      </c>
      <c r="I30" s="111" t="str">
        <f t="shared" si="0"/>
        <v/>
      </c>
      <c r="J30" s="99" t="str">
        <f t="shared" si="2"/>
        <v/>
      </c>
      <c r="K30" s="99" t="s">
        <v>189</v>
      </c>
      <c r="M30" s="112">
        <f t="shared" si="3"/>
        <v>2017</v>
      </c>
    </row>
    <row r="31" spans="2:13">
      <c r="B31" s="521" t="s">
        <v>318</v>
      </c>
      <c r="C31" s="522" t="s">
        <v>951</v>
      </c>
      <c r="D31" s="423" t="s">
        <v>330</v>
      </c>
      <c r="E31" s="521" t="s">
        <v>952</v>
      </c>
      <c r="F31" s="522">
        <v>201611</v>
      </c>
      <c r="G31" s="523">
        <v>-265.14999999999998</v>
      </c>
      <c r="I31" s="111" t="str">
        <f t="shared" si="0"/>
        <v/>
      </c>
      <c r="J31" s="99" t="str">
        <f t="shared" si="2"/>
        <v/>
      </c>
      <c r="K31" s="99" t="s">
        <v>189</v>
      </c>
      <c r="M31" s="112">
        <f t="shared" si="3"/>
        <v>2017</v>
      </c>
    </row>
    <row r="32" spans="2:13">
      <c r="B32" s="521" t="s">
        <v>318</v>
      </c>
      <c r="C32" s="522" t="s">
        <v>955</v>
      </c>
      <c r="D32" s="423" t="s">
        <v>330</v>
      </c>
      <c r="E32" s="521" t="s">
        <v>956</v>
      </c>
      <c r="F32" s="522">
        <v>201611</v>
      </c>
      <c r="G32" s="523">
        <v>441.2</v>
      </c>
      <c r="I32" s="111" t="str">
        <f t="shared" si="0"/>
        <v/>
      </c>
      <c r="J32" s="99" t="str">
        <f t="shared" si="2"/>
        <v/>
      </c>
      <c r="K32" s="99" t="s">
        <v>189</v>
      </c>
      <c r="M32" s="112">
        <f t="shared" si="3"/>
        <v>2017</v>
      </c>
    </row>
    <row r="33" spans="2:13">
      <c r="B33" s="521" t="s">
        <v>318</v>
      </c>
      <c r="C33" s="522" t="s">
        <v>963</v>
      </c>
      <c r="D33" s="423" t="s">
        <v>330</v>
      </c>
      <c r="E33" s="521" t="s">
        <v>964</v>
      </c>
      <c r="F33" s="522">
        <v>201611</v>
      </c>
      <c r="G33" s="523">
        <v>31.38</v>
      </c>
      <c r="I33" s="111" t="str">
        <f t="shared" si="0"/>
        <v/>
      </c>
      <c r="J33" s="99" t="str">
        <f t="shared" si="2"/>
        <v/>
      </c>
      <c r="K33" s="99" t="s">
        <v>189</v>
      </c>
      <c r="M33" s="112">
        <f t="shared" si="3"/>
        <v>2017</v>
      </c>
    </row>
    <row r="34" spans="2:13" ht="15">
      <c r="B34" s="521" t="s">
        <v>318</v>
      </c>
      <c r="C34" s="522" t="s">
        <v>682</v>
      </c>
      <c r="D34" s="424" t="s">
        <v>330</v>
      </c>
      <c r="E34" s="521" t="s">
        <v>683</v>
      </c>
      <c r="F34" s="522">
        <v>201611</v>
      </c>
      <c r="G34" s="523">
        <v>5352.6</v>
      </c>
      <c r="I34" s="111" t="str">
        <f t="shared" si="0"/>
        <v/>
      </c>
      <c r="J34" s="99" t="str">
        <f t="shared" si="2"/>
        <v/>
      </c>
      <c r="K34" s="99" t="s">
        <v>189</v>
      </c>
      <c r="M34" s="112">
        <f t="shared" si="3"/>
        <v>2017</v>
      </c>
    </row>
    <row r="35" spans="2:13">
      <c r="B35" s="521" t="s">
        <v>318</v>
      </c>
      <c r="C35" s="522" t="s">
        <v>846</v>
      </c>
      <c r="D35" s="423" t="s">
        <v>330</v>
      </c>
      <c r="E35" s="521" t="s">
        <v>847</v>
      </c>
      <c r="F35" s="522">
        <v>201611</v>
      </c>
      <c r="G35" s="523">
        <v>-9868.06</v>
      </c>
      <c r="I35" s="111" t="str">
        <f t="shared" si="0"/>
        <v/>
      </c>
      <c r="J35" s="99" t="str">
        <f t="shared" si="2"/>
        <v/>
      </c>
      <c r="K35" s="99" t="s">
        <v>189</v>
      </c>
      <c r="M35" s="112">
        <f t="shared" si="3"/>
        <v>2017</v>
      </c>
    </row>
    <row r="36" spans="2:13">
      <c r="B36" s="521" t="s">
        <v>318</v>
      </c>
      <c r="C36" s="522" t="s">
        <v>973</v>
      </c>
      <c r="D36" s="423" t="s">
        <v>330</v>
      </c>
      <c r="E36" s="521" t="s">
        <v>974</v>
      </c>
      <c r="F36" s="522">
        <v>201611</v>
      </c>
      <c r="G36" s="523">
        <v>-1.26</v>
      </c>
      <c r="I36" s="111" t="str">
        <f t="shared" si="0"/>
        <v/>
      </c>
      <c r="J36" s="99" t="str">
        <f t="shared" si="2"/>
        <v/>
      </c>
      <c r="K36" s="99" t="s">
        <v>189</v>
      </c>
      <c r="M36" s="112">
        <f t="shared" si="3"/>
        <v>2017</v>
      </c>
    </row>
    <row r="37" spans="2:13">
      <c r="B37" s="521" t="s">
        <v>318</v>
      </c>
      <c r="C37" s="522" t="s">
        <v>868</v>
      </c>
      <c r="D37" s="423" t="s">
        <v>330</v>
      </c>
      <c r="E37" s="521" t="s">
        <v>869</v>
      </c>
      <c r="F37" s="522">
        <v>201611</v>
      </c>
      <c r="G37" s="523">
        <v>-332768.51</v>
      </c>
      <c r="I37" s="111" t="str">
        <f t="shared" si="0"/>
        <v/>
      </c>
      <c r="J37" s="99" t="str">
        <f t="shared" si="2"/>
        <v/>
      </c>
      <c r="K37" s="99" t="s">
        <v>189</v>
      </c>
      <c r="M37" s="112">
        <f t="shared" si="3"/>
        <v>2017</v>
      </c>
    </row>
    <row r="38" spans="2:13" ht="15">
      <c r="B38" s="521" t="s">
        <v>318</v>
      </c>
      <c r="C38" s="522" t="s">
        <v>868</v>
      </c>
      <c r="D38" s="424" t="s">
        <v>330</v>
      </c>
      <c r="E38" s="521" t="s">
        <v>869</v>
      </c>
      <c r="F38" s="522">
        <v>201611</v>
      </c>
      <c r="G38" s="523">
        <v>231903.57</v>
      </c>
      <c r="I38" s="111" t="str">
        <f t="shared" si="0"/>
        <v/>
      </c>
      <c r="J38" s="99" t="str">
        <f t="shared" si="2"/>
        <v/>
      </c>
      <c r="K38" s="99" t="s">
        <v>189</v>
      </c>
      <c r="M38" s="112">
        <f t="shared" si="3"/>
        <v>2017</v>
      </c>
    </row>
    <row r="39" spans="2:13" ht="15">
      <c r="B39" s="521" t="s">
        <v>318</v>
      </c>
      <c r="C39" s="522" t="s">
        <v>1069</v>
      </c>
      <c r="D39" s="424" t="s">
        <v>330</v>
      </c>
      <c r="E39" s="521" t="s">
        <v>1105</v>
      </c>
      <c r="F39" s="522">
        <v>201611</v>
      </c>
      <c r="G39" s="523">
        <v>-30.14</v>
      </c>
      <c r="I39" s="111" t="str">
        <f t="shared" si="0"/>
        <v/>
      </c>
      <c r="J39" s="99" t="str">
        <f t="shared" si="2"/>
        <v/>
      </c>
      <c r="K39" s="99" t="s">
        <v>189</v>
      </c>
      <c r="M39" s="112">
        <f t="shared" si="3"/>
        <v>2017</v>
      </c>
    </row>
    <row r="40" spans="2:13" ht="15">
      <c r="B40" s="521" t="s">
        <v>318</v>
      </c>
      <c r="C40" s="522" t="s">
        <v>975</v>
      </c>
      <c r="D40" s="424" t="s">
        <v>330</v>
      </c>
      <c r="E40" s="521" t="s">
        <v>976</v>
      </c>
      <c r="F40" s="522">
        <v>201611</v>
      </c>
      <c r="G40" s="523">
        <v>40.33</v>
      </c>
      <c r="I40" s="111" t="str">
        <f t="shared" si="0"/>
        <v/>
      </c>
      <c r="J40" s="99" t="str">
        <f t="shared" si="2"/>
        <v/>
      </c>
      <c r="K40" s="99" t="s">
        <v>189</v>
      </c>
      <c r="M40" s="112">
        <f t="shared" si="3"/>
        <v>2017</v>
      </c>
    </row>
    <row r="41" spans="2:13">
      <c r="B41" s="521" t="s">
        <v>318</v>
      </c>
      <c r="C41" s="522" t="s">
        <v>852</v>
      </c>
      <c r="D41" s="423" t="s">
        <v>330</v>
      </c>
      <c r="E41" s="521" t="s">
        <v>853</v>
      </c>
      <c r="F41" s="522">
        <v>201611</v>
      </c>
      <c r="G41" s="523">
        <v>-3306.1</v>
      </c>
      <c r="I41" s="111" t="str">
        <f t="shared" si="0"/>
        <v/>
      </c>
      <c r="J41" s="99" t="str">
        <f t="shared" si="2"/>
        <v/>
      </c>
      <c r="K41" s="99" t="s">
        <v>189</v>
      </c>
      <c r="M41" s="112">
        <f t="shared" si="3"/>
        <v>2017</v>
      </c>
    </row>
    <row r="42" spans="2:13" ht="15">
      <c r="B42" s="521" t="s">
        <v>318</v>
      </c>
      <c r="C42" s="522" t="s">
        <v>870</v>
      </c>
      <c r="D42" s="424" t="s">
        <v>330</v>
      </c>
      <c r="E42" s="521" t="s">
        <v>871</v>
      </c>
      <c r="F42" s="522">
        <v>201611</v>
      </c>
      <c r="G42" s="523">
        <v>2287.91</v>
      </c>
      <c r="I42" s="111" t="str">
        <f t="shared" si="0"/>
        <v/>
      </c>
      <c r="J42" s="99" t="str">
        <f t="shared" si="2"/>
        <v/>
      </c>
      <c r="K42" s="99" t="s">
        <v>189</v>
      </c>
      <c r="M42" s="112">
        <f t="shared" si="3"/>
        <v>2017</v>
      </c>
    </row>
    <row r="43" spans="2:13">
      <c r="B43" s="521" t="s">
        <v>318</v>
      </c>
      <c r="C43" s="522" t="s">
        <v>1039</v>
      </c>
      <c r="D43" s="423" t="s">
        <v>330</v>
      </c>
      <c r="E43" s="521" t="s">
        <v>1040</v>
      </c>
      <c r="F43" s="522">
        <v>201611</v>
      </c>
      <c r="G43" s="523">
        <v>3502.1</v>
      </c>
      <c r="I43" s="111" t="str">
        <f t="shared" si="0"/>
        <v/>
      </c>
      <c r="J43" s="99" t="str">
        <f t="shared" si="2"/>
        <v/>
      </c>
      <c r="K43" s="99" t="s">
        <v>189</v>
      </c>
      <c r="M43" s="112">
        <f t="shared" si="3"/>
        <v>2017</v>
      </c>
    </row>
    <row r="44" spans="2:13">
      <c r="B44" s="521" t="s">
        <v>318</v>
      </c>
      <c r="C44" s="522" t="s">
        <v>872</v>
      </c>
      <c r="D44" s="423" t="s">
        <v>330</v>
      </c>
      <c r="E44" s="521" t="s">
        <v>873</v>
      </c>
      <c r="F44" s="522">
        <v>201611</v>
      </c>
      <c r="G44" s="523">
        <v>19353.900000000001</v>
      </c>
      <c r="I44" s="111" t="str">
        <f t="shared" si="0"/>
        <v/>
      </c>
      <c r="J44" s="99" t="str">
        <f t="shared" si="2"/>
        <v/>
      </c>
      <c r="K44" s="99" t="s">
        <v>189</v>
      </c>
      <c r="M44" s="112">
        <f t="shared" si="3"/>
        <v>2017</v>
      </c>
    </row>
    <row r="45" spans="2:13" ht="15">
      <c r="B45" s="521" t="s">
        <v>318</v>
      </c>
      <c r="C45" s="522" t="s">
        <v>977</v>
      </c>
      <c r="D45" s="424" t="s">
        <v>330</v>
      </c>
      <c r="E45" s="521" t="s">
        <v>978</v>
      </c>
      <c r="F45" s="522">
        <v>201611</v>
      </c>
      <c r="G45" s="523">
        <v>97.64</v>
      </c>
      <c r="I45" s="111" t="str">
        <f t="shared" si="0"/>
        <v/>
      </c>
      <c r="J45" s="99" t="str">
        <f t="shared" si="2"/>
        <v/>
      </c>
      <c r="K45" s="99" t="s">
        <v>189</v>
      </c>
      <c r="M45" s="112">
        <f t="shared" si="3"/>
        <v>2017</v>
      </c>
    </row>
    <row r="46" spans="2:13">
      <c r="B46" s="521" t="s">
        <v>318</v>
      </c>
      <c r="C46" s="522" t="s">
        <v>1041</v>
      </c>
      <c r="D46" s="423" t="s">
        <v>330</v>
      </c>
      <c r="E46" s="521" t="s">
        <v>1042</v>
      </c>
      <c r="F46" s="522">
        <v>201611</v>
      </c>
      <c r="G46" s="523">
        <v>2680.46</v>
      </c>
      <c r="I46" s="111" t="str">
        <f t="shared" si="0"/>
        <v/>
      </c>
      <c r="J46" s="99" t="str">
        <f t="shared" si="2"/>
        <v/>
      </c>
      <c r="K46" s="99" t="s">
        <v>189</v>
      </c>
      <c r="M46" s="112">
        <f t="shared" si="3"/>
        <v>2017</v>
      </c>
    </row>
    <row r="47" spans="2:13" ht="15">
      <c r="B47" s="521" t="s">
        <v>318</v>
      </c>
      <c r="C47" s="522" t="s">
        <v>979</v>
      </c>
      <c r="D47" s="424" t="s">
        <v>330</v>
      </c>
      <c r="E47" s="521" t="s">
        <v>980</v>
      </c>
      <c r="F47" s="522">
        <v>201611</v>
      </c>
      <c r="G47" s="523">
        <v>18.420000000000002</v>
      </c>
      <c r="I47" s="111" t="str">
        <f t="shared" si="0"/>
        <v/>
      </c>
      <c r="J47" s="99" t="str">
        <f t="shared" si="2"/>
        <v/>
      </c>
      <c r="K47" s="99" t="s">
        <v>189</v>
      </c>
      <c r="M47" s="112">
        <f t="shared" si="3"/>
        <v>2017</v>
      </c>
    </row>
    <row r="48" spans="2:13" ht="15">
      <c r="B48" s="521" t="s">
        <v>318</v>
      </c>
      <c r="C48" s="522" t="s">
        <v>981</v>
      </c>
      <c r="D48" s="424" t="s">
        <v>330</v>
      </c>
      <c r="E48" s="521" t="s">
        <v>1014</v>
      </c>
      <c r="F48" s="522">
        <v>201611</v>
      </c>
      <c r="G48" s="523">
        <v>672.44</v>
      </c>
      <c r="I48" s="111" t="str">
        <f t="shared" si="0"/>
        <v/>
      </c>
      <c r="J48" s="99" t="str">
        <f t="shared" si="2"/>
        <v/>
      </c>
      <c r="K48" s="99" t="s">
        <v>189</v>
      </c>
      <c r="M48" s="112">
        <f t="shared" si="3"/>
        <v>2017</v>
      </c>
    </row>
    <row r="49" spans="2:13">
      <c r="B49" s="521" t="s">
        <v>318</v>
      </c>
      <c r="C49" s="522" t="s">
        <v>874</v>
      </c>
      <c r="D49" s="423" t="s">
        <v>330</v>
      </c>
      <c r="E49" s="521" t="s">
        <v>875</v>
      </c>
      <c r="F49" s="522">
        <v>201611</v>
      </c>
      <c r="G49" s="523">
        <v>1076.58</v>
      </c>
      <c r="I49" s="111" t="str">
        <f t="shared" si="0"/>
        <v/>
      </c>
      <c r="J49" s="99" t="str">
        <f t="shared" si="2"/>
        <v/>
      </c>
      <c r="K49" s="99" t="s">
        <v>189</v>
      </c>
      <c r="M49" s="112">
        <f t="shared" si="3"/>
        <v>2017</v>
      </c>
    </row>
    <row r="50" spans="2:13" ht="15">
      <c r="B50" s="521" t="s">
        <v>318</v>
      </c>
      <c r="C50" s="522" t="s">
        <v>983</v>
      </c>
      <c r="D50" s="424" t="s">
        <v>330</v>
      </c>
      <c r="E50" s="521" t="s">
        <v>984</v>
      </c>
      <c r="F50" s="522">
        <v>201611</v>
      </c>
      <c r="G50" s="523">
        <v>32.549999999999997</v>
      </c>
      <c r="I50" s="111" t="str">
        <f t="shared" si="0"/>
        <v/>
      </c>
      <c r="J50" s="99" t="str">
        <f t="shared" si="2"/>
        <v/>
      </c>
      <c r="K50" s="99" t="s">
        <v>189</v>
      </c>
      <c r="M50" s="112">
        <f t="shared" si="3"/>
        <v>2017</v>
      </c>
    </row>
    <row r="51" spans="2:13">
      <c r="B51" s="521" t="s">
        <v>318</v>
      </c>
      <c r="C51" s="522" t="s">
        <v>1043</v>
      </c>
      <c r="D51" s="423" t="s">
        <v>330</v>
      </c>
      <c r="E51" s="521" t="s">
        <v>1044</v>
      </c>
      <c r="F51" s="522">
        <v>201611</v>
      </c>
      <c r="G51" s="523">
        <v>25.5</v>
      </c>
      <c r="I51" s="111" t="str">
        <f t="shared" si="0"/>
        <v/>
      </c>
      <c r="J51" s="99" t="str">
        <f t="shared" si="2"/>
        <v/>
      </c>
      <c r="K51" s="99" t="s">
        <v>189</v>
      </c>
      <c r="M51" s="112">
        <f t="shared" si="3"/>
        <v>2017</v>
      </c>
    </row>
    <row r="52" spans="2:13">
      <c r="B52" s="521" t="s">
        <v>318</v>
      </c>
      <c r="C52" s="522" t="s">
        <v>876</v>
      </c>
      <c r="D52" s="423" t="s">
        <v>330</v>
      </c>
      <c r="E52" s="521" t="s">
        <v>877</v>
      </c>
      <c r="F52" s="522">
        <v>201611</v>
      </c>
      <c r="G52" s="523">
        <v>-44.26</v>
      </c>
      <c r="I52" s="111" t="str">
        <f t="shared" si="0"/>
        <v/>
      </c>
      <c r="J52" s="99" t="str">
        <f t="shared" si="2"/>
        <v/>
      </c>
      <c r="K52" s="99" t="s">
        <v>189</v>
      </c>
      <c r="M52" s="112">
        <f t="shared" si="3"/>
        <v>2017</v>
      </c>
    </row>
    <row r="53" spans="2:13" ht="15">
      <c r="B53" s="521" t="s">
        <v>318</v>
      </c>
      <c r="C53" s="522" t="s">
        <v>1045</v>
      </c>
      <c r="D53" s="424" t="s">
        <v>330</v>
      </c>
      <c r="E53" s="521" t="s">
        <v>1046</v>
      </c>
      <c r="F53" s="522">
        <v>201611</v>
      </c>
      <c r="G53" s="523">
        <v>13.63</v>
      </c>
      <c r="I53" s="111" t="str">
        <f t="shared" si="0"/>
        <v/>
      </c>
      <c r="J53" s="99" t="str">
        <f t="shared" si="2"/>
        <v/>
      </c>
      <c r="K53" s="99" t="s">
        <v>189</v>
      </c>
      <c r="M53" s="112">
        <f t="shared" si="3"/>
        <v>2017</v>
      </c>
    </row>
    <row r="54" spans="2:13">
      <c r="B54" s="521" t="s">
        <v>318</v>
      </c>
      <c r="C54" s="522" t="s">
        <v>987</v>
      </c>
      <c r="D54" s="423" t="s">
        <v>330</v>
      </c>
      <c r="E54" s="521" t="s">
        <v>988</v>
      </c>
      <c r="F54" s="522">
        <v>201611</v>
      </c>
      <c r="G54" s="523">
        <v>1.5</v>
      </c>
      <c r="I54" s="111" t="str">
        <f t="shared" si="0"/>
        <v/>
      </c>
      <c r="J54" s="99" t="str">
        <f t="shared" si="2"/>
        <v/>
      </c>
      <c r="K54" s="99" t="s">
        <v>189</v>
      </c>
      <c r="M54" s="112">
        <f t="shared" si="3"/>
        <v>2017</v>
      </c>
    </row>
    <row r="55" spans="2:13">
      <c r="B55" s="521" t="s">
        <v>318</v>
      </c>
      <c r="C55" s="522" t="s">
        <v>991</v>
      </c>
      <c r="D55" s="423" t="s">
        <v>330</v>
      </c>
      <c r="E55" s="521" t="s">
        <v>992</v>
      </c>
      <c r="F55" s="522">
        <v>201611</v>
      </c>
      <c r="G55" s="523">
        <v>18.510000000000002</v>
      </c>
      <c r="I55" s="111" t="str">
        <f t="shared" si="0"/>
        <v/>
      </c>
      <c r="J55" s="99" t="str">
        <f t="shared" si="2"/>
        <v/>
      </c>
      <c r="K55" s="99" t="s">
        <v>189</v>
      </c>
      <c r="M55" s="112">
        <f t="shared" si="3"/>
        <v>2017</v>
      </c>
    </row>
    <row r="56" spans="2:13" ht="15">
      <c r="B56" s="521" t="s">
        <v>318</v>
      </c>
      <c r="C56" s="522" t="s">
        <v>880</v>
      </c>
      <c r="D56" s="424" t="s">
        <v>330</v>
      </c>
      <c r="E56" s="521" t="s">
        <v>881</v>
      </c>
      <c r="F56" s="522">
        <v>201611</v>
      </c>
      <c r="G56" s="523">
        <v>57274.94</v>
      </c>
      <c r="I56" s="111" t="str">
        <f t="shared" si="0"/>
        <v/>
      </c>
      <c r="J56" s="99" t="str">
        <f t="shared" si="2"/>
        <v/>
      </c>
      <c r="K56" s="99" t="s">
        <v>189</v>
      </c>
      <c r="M56" s="112">
        <f t="shared" si="3"/>
        <v>2017</v>
      </c>
    </row>
    <row r="57" spans="2:13" ht="15">
      <c r="B57" s="521" t="s">
        <v>318</v>
      </c>
      <c r="C57" s="522" t="s">
        <v>993</v>
      </c>
      <c r="D57" s="424" t="s">
        <v>330</v>
      </c>
      <c r="E57" s="521" t="s">
        <v>994</v>
      </c>
      <c r="F57" s="522">
        <v>201611</v>
      </c>
      <c r="G57" s="523">
        <v>666.93</v>
      </c>
      <c r="I57" s="111" t="str">
        <f t="shared" si="0"/>
        <v/>
      </c>
      <c r="J57" s="99" t="str">
        <f t="shared" si="2"/>
        <v/>
      </c>
      <c r="K57" s="99" t="s">
        <v>189</v>
      </c>
      <c r="M57" s="112">
        <f t="shared" si="3"/>
        <v>2017</v>
      </c>
    </row>
    <row r="58" spans="2:13" ht="15">
      <c r="B58" s="521" t="s">
        <v>318</v>
      </c>
      <c r="C58" s="522" t="s">
        <v>891</v>
      </c>
      <c r="D58" s="424" t="s">
        <v>331</v>
      </c>
      <c r="E58" s="521" t="s">
        <v>892</v>
      </c>
      <c r="F58" s="522">
        <v>201611</v>
      </c>
      <c r="G58" s="523">
        <v>53.07</v>
      </c>
      <c r="I58" s="111" t="str">
        <f t="shared" si="0"/>
        <v/>
      </c>
      <c r="J58" s="99" t="str">
        <f t="shared" si="2"/>
        <v/>
      </c>
      <c r="K58" s="99" t="s">
        <v>189</v>
      </c>
      <c r="M58" s="112">
        <f t="shared" si="3"/>
        <v>2017</v>
      </c>
    </row>
    <row r="59" spans="2:13">
      <c r="B59" s="521" t="s">
        <v>318</v>
      </c>
      <c r="C59" s="522" t="s">
        <v>996</v>
      </c>
      <c r="D59" s="423" t="s">
        <v>330</v>
      </c>
      <c r="E59" s="521" t="s">
        <v>997</v>
      </c>
      <c r="F59" s="522">
        <v>201611</v>
      </c>
      <c r="G59" s="523">
        <v>1084.55</v>
      </c>
      <c r="I59" s="111" t="str">
        <f t="shared" si="0"/>
        <v/>
      </c>
      <c r="J59" s="99" t="str">
        <f t="shared" si="2"/>
        <v/>
      </c>
      <c r="K59" s="99" t="s">
        <v>189</v>
      </c>
      <c r="M59" s="112">
        <f t="shared" si="3"/>
        <v>2017</v>
      </c>
    </row>
    <row r="60" spans="2:13">
      <c r="B60" s="521" t="s">
        <v>318</v>
      </c>
      <c r="C60" s="522" t="s">
        <v>887</v>
      </c>
      <c r="D60" s="423" t="s">
        <v>330</v>
      </c>
      <c r="E60" s="521" t="s">
        <v>888</v>
      </c>
      <c r="F60" s="522">
        <v>201611</v>
      </c>
      <c r="G60" s="523">
        <v>31.01</v>
      </c>
      <c r="I60" s="111" t="str">
        <f t="shared" si="0"/>
        <v/>
      </c>
      <c r="J60" s="99" t="str">
        <f t="shared" si="2"/>
        <v/>
      </c>
      <c r="K60" s="99" t="s">
        <v>189</v>
      </c>
      <c r="M60" s="112">
        <f t="shared" si="3"/>
        <v>2017</v>
      </c>
    </row>
    <row r="61" spans="2:13" ht="15">
      <c r="B61" s="521" t="s">
        <v>318</v>
      </c>
      <c r="C61" s="522" t="s">
        <v>1075</v>
      </c>
      <c r="D61" s="424" t="s">
        <v>331</v>
      </c>
      <c r="E61" s="521" t="s">
        <v>1076</v>
      </c>
      <c r="F61" s="522">
        <v>201611</v>
      </c>
      <c r="G61" s="523">
        <v>-4002.6</v>
      </c>
      <c r="I61" s="111" t="str">
        <f t="shared" si="0"/>
        <v/>
      </c>
      <c r="J61" s="99" t="str">
        <f t="shared" si="2"/>
        <v/>
      </c>
      <c r="K61" s="99" t="s">
        <v>189</v>
      </c>
      <c r="M61" s="112">
        <f t="shared" si="3"/>
        <v>2017</v>
      </c>
    </row>
    <row r="62" spans="2:13" ht="15">
      <c r="B62" s="521" t="s">
        <v>318</v>
      </c>
      <c r="C62" s="522" t="s">
        <v>1049</v>
      </c>
      <c r="D62" s="424" t="s">
        <v>330</v>
      </c>
      <c r="E62" s="521" t="s">
        <v>1050</v>
      </c>
      <c r="F62" s="522">
        <v>201611</v>
      </c>
      <c r="G62" s="523">
        <v>148.69999999999999</v>
      </c>
      <c r="I62" s="111" t="str">
        <f t="shared" si="0"/>
        <v/>
      </c>
      <c r="J62" s="99" t="str">
        <f t="shared" si="2"/>
        <v/>
      </c>
      <c r="K62" s="99" t="s">
        <v>189</v>
      </c>
      <c r="M62" s="112">
        <f t="shared" si="3"/>
        <v>2017</v>
      </c>
    </row>
    <row r="63" spans="2:13">
      <c r="B63" s="521" t="s">
        <v>318</v>
      </c>
      <c r="C63" s="522" t="s">
        <v>1077</v>
      </c>
      <c r="D63" s="423" t="s">
        <v>330</v>
      </c>
      <c r="E63" s="521" t="s">
        <v>1078</v>
      </c>
      <c r="F63" s="522">
        <v>201611</v>
      </c>
      <c r="G63" s="523">
        <v>-244.82</v>
      </c>
      <c r="I63" s="111" t="str">
        <f t="shared" si="0"/>
        <v/>
      </c>
      <c r="J63" s="99" t="str">
        <f t="shared" si="2"/>
        <v/>
      </c>
      <c r="K63" s="99" t="s">
        <v>189</v>
      </c>
      <c r="M63" s="112">
        <f t="shared" si="3"/>
        <v>2017</v>
      </c>
    </row>
    <row r="64" spans="2:13">
      <c r="B64" s="521" t="s">
        <v>318</v>
      </c>
      <c r="C64" s="522" t="s">
        <v>1079</v>
      </c>
      <c r="D64" s="423" t="s">
        <v>330</v>
      </c>
      <c r="E64" s="521" t="s">
        <v>1080</v>
      </c>
      <c r="F64" s="522">
        <v>201611</v>
      </c>
      <c r="G64" s="523">
        <v>-1401.28</v>
      </c>
      <c r="I64" s="111" t="str">
        <f t="shared" si="0"/>
        <v/>
      </c>
      <c r="J64" s="99" t="str">
        <f t="shared" si="2"/>
        <v/>
      </c>
      <c r="K64" s="99" t="s">
        <v>189</v>
      </c>
      <c r="M64" s="112">
        <f t="shared" si="3"/>
        <v>2017</v>
      </c>
    </row>
    <row r="65" spans="2:13">
      <c r="B65" s="521" t="s">
        <v>318</v>
      </c>
      <c r="C65" s="522" t="s">
        <v>1053</v>
      </c>
      <c r="D65" s="423" t="s">
        <v>331</v>
      </c>
      <c r="E65" s="521" t="s">
        <v>1054</v>
      </c>
      <c r="F65" s="522">
        <v>201611</v>
      </c>
      <c r="G65" s="523">
        <v>0.72</v>
      </c>
      <c r="I65" s="111" t="str">
        <f t="shared" si="0"/>
        <v/>
      </c>
      <c r="J65" s="99" t="str">
        <f t="shared" si="2"/>
        <v/>
      </c>
      <c r="K65" s="99" t="s">
        <v>189</v>
      </c>
      <c r="M65" s="112">
        <f t="shared" si="3"/>
        <v>2017</v>
      </c>
    </row>
    <row r="66" spans="2:13">
      <c r="B66" s="521" t="s">
        <v>318</v>
      </c>
      <c r="C66" s="522" t="s">
        <v>941</v>
      </c>
      <c r="D66" s="423" t="s">
        <v>330</v>
      </c>
      <c r="E66" s="521" t="s">
        <v>942</v>
      </c>
      <c r="F66" s="522">
        <v>201612</v>
      </c>
      <c r="G66" s="523">
        <v>-50.77</v>
      </c>
      <c r="I66" s="111" t="str">
        <f t="shared" si="0"/>
        <v/>
      </c>
      <c r="J66" s="99" t="str">
        <f t="shared" si="2"/>
        <v/>
      </c>
      <c r="K66" s="99" t="s">
        <v>189</v>
      </c>
      <c r="M66" s="112">
        <f t="shared" si="3"/>
        <v>2017</v>
      </c>
    </row>
    <row r="67" spans="2:13">
      <c r="B67" s="521" t="s">
        <v>318</v>
      </c>
      <c r="C67" s="522" t="s">
        <v>856</v>
      </c>
      <c r="D67" s="423" t="s">
        <v>330</v>
      </c>
      <c r="E67" s="521" t="s">
        <v>857</v>
      </c>
      <c r="F67" s="522">
        <v>201612</v>
      </c>
      <c r="G67" s="523">
        <v>-35792.54</v>
      </c>
      <c r="I67" s="111" t="str">
        <f t="shared" si="0"/>
        <v/>
      </c>
      <c r="J67" s="99" t="str">
        <f t="shared" si="2"/>
        <v/>
      </c>
      <c r="K67" s="99" t="s">
        <v>189</v>
      </c>
      <c r="M67" s="112">
        <f t="shared" si="3"/>
        <v>2017</v>
      </c>
    </row>
    <row r="68" spans="2:13" ht="15">
      <c r="B68" s="521" t="s">
        <v>318</v>
      </c>
      <c r="C68" s="522" t="s">
        <v>856</v>
      </c>
      <c r="D68" s="424" t="s">
        <v>330</v>
      </c>
      <c r="E68" s="521" t="s">
        <v>857</v>
      </c>
      <c r="F68" s="522">
        <v>201612</v>
      </c>
      <c r="G68" s="523">
        <v>62513.919999999998</v>
      </c>
      <c r="I68" s="111" t="str">
        <f t="shared" si="0"/>
        <v/>
      </c>
      <c r="J68" s="99" t="str">
        <f t="shared" si="2"/>
        <v/>
      </c>
      <c r="K68" s="99" t="s">
        <v>189</v>
      </c>
      <c r="M68" s="112">
        <f t="shared" si="3"/>
        <v>2017</v>
      </c>
    </row>
    <row r="69" spans="2:13">
      <c r="B69" s="521" t="s">
        <v>318</v>
      </c>
      <c r="C69" s="522" t="s">
        <v>800</v>
      </c>
      <c r="D69" s="423" t="s">
        <v>330</v>
      </c>
      <c r="E69" s="521" t="s">
        <v>830</v>
      </c>
      <c r="F69" s="522">
        <v>201612</v>
      </c>
      <c r="G69" s="523">
        <v>7779.01</v>
      </c>
      <c r="I69" s="111" t="str">
        <f t="shared" si="0"/>
        <v/>
      </c>
      <c r="J69" s="99" t="str">
        <f t="shared" si="2"/>
        <v/>
      </c>
      <c r="K69" s="99" t="s">
        <v>189</v>
      </c>
      <c r="M69" s="112">
        <f t="shared" si="3"/>
        <v>2017</v>
      </c>
    </row>
    <row r="70" spans="2:13">
      <c r="B70" s="521" t="s">
        <v>318</v>
      </c>
      <c r="C70" s="522" t="s">
        <v>629</v>
      </c>
      <c r="D70" s="423" t="s">
        <v>330</v>
      </c>
      <c r="E70" s="521" t="s">
        <v>630</v>
      </c>
      <c r="F70" s="522">
        <v>201612</v>
      </c>
      <c r="G70" s="523">
        <v>15.81</v>
      </c>
      <c r="I70" s="111" t="str">
        <f t="shared" si="0"/>
        <v/>
      </c>
      <c r="J70" s="99" t="str">
        <f t="shared" si="2"/>
        <v/>
      </c>
      <c r="K70" s="99" t="s">
        <v>189</v>
      </c>
      <c r="M70" s="112">
        <f t="shared" si="3"/>
        <v>2017</v>
      </c>
    </row>
    <row r="71" spans="2:13">
      <c r="B71" s="521" t="s">
        <v>318</v>
      </c>
      <c r="C71" s="522" t="s">
        <v>838</v>
      </c>
      <c r="D71" s="423" t="s">
        <v>330</v>
      </c>
      <c r="E71" s="521" t="s">
        <v>1015</v>
      </c>
      <c r="F71" s="522">
        <v>201612</v>
      </c>
      <c r="G71" s="523">
        <v>120449.78</v>
      </c>
      <c r="I71" s="111" t="str">
        <f t="shared" si="0"/>
        <v/>
      </c>
      <c r="J71" s="99" t="str">
        <f t="shared" si="2"/>
        <v/>
      </c>
      <c r="K71" s="99" t="s">
        <v>189</v>
      </c>
      <c r="M71" s="112">
        <f t="shared" si="3"/>
        <v>2017</v>
      </c>
    </row>
    <row r="72" spans="2:13">
      <c r="B72" s="521" t="s">
        <v>318</v>
      </c>
      <c r="C72" s="522" t="s">
        <v>801</v>
      </c>
      <c r="D72" s="423" t="s">
        <v>330</v>
      </c>
      <c r="E72" s="521" t="s">
        <v>802</v>
      </c>
      <c r="F72" s="522">
        <v>201612</v>
      </c>
      <c r="G72" s="523">
        <v>-17.36</v>
      </c>
      <c r="I72" s="111" t="str">
        <f t="shared" si="0"/>
        <v/>
      </c>
      <c r="J72" s="99" t="str">
        <f t="shared" si="2"/>
        <v/>
      </c>
      <c r="K72" s="99" t="s">
        <v>189</v>
      </c>
      <c r="M72" s="112">
        <f t="shared" si="3"/>
        <v>2017</v>
      </c>
    </row>
    <row r="73" spans="2:13">
      <c r="B73" s="521" t="s">
        <v>318</v>
      </c>
      <c r="C73" s="522" t="s">
        <v>803</v>
      </c>
      <c r="D73" s="423" t="s">
        <v>330</v>
      </c>
      <c r="E73" s="521" t="s">
        <v>804</v>
      </c>
      <c r="F73" s="522">
        <v>201612</v>
      </c>
      <c r="G73" s="523">
        <v>-77.91</v>
      </c>
      <c r="I73" s="111" t="str">
        <f t="shared" si="0"/>
        <v/>
      </c>
      <c r="J73" s="99" t="str">
        <f t="shared" si="2"/>
        <v/>
      </c>
      <c r="K73" s="99" t="s">
        <v>189</v>
      </c>
      <c r="M73" s="112">
        <f t="shared" si="3"/>
        <v>2017</v>
      </c>
    </row>
    <row r="74" spans="2:13">
      <c r="B74" s="521" t="s">
        <v>318</v>
      </c>
      <c r="C74" s="522" t="s">
        <v>805</v>
      </c>
      <c r="D74" s="423" t="s">
        <v>330</v>
      </c>
      <c r="E74" s="521" t="s">
        <v>806</v>
      </c>
      <c r="F74" s="522">
        <v>201612</v>
      </c>
      <c r="G74" s="523">
        <v>1.1499999999999999</v>
      </c>
      <c r="I74" s="111" t="str">
        <f t="shared" si="0"/>
        <v/>
      </c>
      <c r="J74" s="99" t="str">
        <f t="shared" si="2"/>
        <v/>
      </c>
      <c r="K74" s="99" t="s">
        <v>189</v>
      </c>
      <c r="M74" s="112">
        <f t="shared" si="3"/>
        <v>2017</v>
      </c>
    </row>
    <row r="75" spans="2:13">
      <c r="B75" s="521" t="s">
        <v>318</v>
      </c>
      <c r="C75" s="522" t="s">
        <v>1033</v>
      </c>
      <c r="D75" s="423" t="s">
        <v>330</v>
      </c>
      <c r="E75" s="521" t="s">
        <v>1034</v>
      </c>
      <c r="F75" s="522">
        <v>201612</v>
      </c>
      <c r="G75" s="523">
        <v>107.19</v>
      </c>
      <c r="I75" s="111" t="str">
        <f t="shared" si="0"/>
        <v/>
      </c>
      <c r="J75" s="99" t="str">
        <f t="shared" si="2"/>
        <v/>
      </c>
      <c r="K75" s="99" t="s">
        <v>189</v>
      </c>
      <c r="M75" s="112">
        <f t="shared" si="3"/>
        <v>2017</v>
      </c>
    </row>
    <row r="76" spans="2:13">
      <c r="B76" s="521" t="s">
        <v>318</v>
      </c>
      <c r="C76" s="522" t="s">
        <v>832</v>
      </c>
      <c r="D76" s="423" t="s">
        <v>330</v>
      </c>
      <c r="E76" s="521" t="s">
        <v>833</v>
      </c>
      <c r="F76" s="522">
        <v>201612</v>
      </c>
      <c r="G76" s="523">
        <v>2.13</v>
      </c>
      <c r="I76" s="111" t="str">
        <f t="shared" si="0"/>
        <v/>
      </c>
      <c r="J76" s="99" t="str">
        <f t="shared" si="2"/>
        <v/>
      </c>
      <c r="K76" s="99" t="s">
        <v>189</v>
      </c>
      <c r="M76" s="112">
        <f t="shared" si="3"/>
        <v>2017</v>
      </c>
    </row>
    <row r="77" spans="2:13">
      <c r="B77" s="521" t="s">
        <v>318</v>
      </c>
      <c r="C77" s="522" t="s">
        <v>834</v>
      </c>
      <c r="D77" s="423" t="s">
        <v>330</v>
      </c>
      <c r="E77" s="521" t="s">
        <v>835</v>
      </c>
      <c r="F77" s="522">
        <v>201612</v>
      </c>
      <c r="G77" s="523">
        <v>240834.66</v>
      </c>
      <c r="I77" s="111" t="str">
        <f t="shared" si="0"/>
        <v/>
      </c>
      <c r="J77" s="99" t="str">
        <f t="shared" si="2"/>
        <v/>
      </c>
      <c r="K77" s="99" t="s">
        <v>189</v>
      </c>
      <c r="M77" s="112">
        <f t="shared" si="3"/>
        <v>2017</v>
      </c>
    </row>
    <row r="78" spans="2:13">
      <c r="B78" s="521" t="s">
        <v>318</v>
      </c>
      <c r="C78" s="522" t="s">
        <v>951</v>
      </c>
      <c r="D78" s="423" t="s">
        <v>330</v>
      </c>
      <c r="E78" s="521" t="s">
        <v>952</v>
      </c>
      <c r="F78" s="522">
        <v>201612</v>
      </c>
      <c r="G78" s="523">
        <v>-108.99</v>
      </c>
      <c r="I78" s="111" t="str">
        <f t="shared" si="0"/>
        <v/>
      </c>
      <c r="J78" s="99" t="str">
        <f t="shared" si="2"/>
        <v/>
      </c>
      <c r="K78" s="99" t="s">
        <v>189</v>
      </c>
      <c r="M78" s="112">
        <f t="shared" si="3"/>
        <v>2017</v>
      </c>
    </row>
    <row r="79" spans="2:13">
      <c r="B79" s="521" t="s">
        <v>318</v>
      </c>
      <c r="C79" s="522" t="s">
        <v>953</v>
      </c>
      <c r="D79" s="423" t="s">
        <v>330</v>
      </c>
      <c r="E79" s="521" t="s">
        <v>954</v>
      </c>
      <c r="F79" s="522">
        <v>201612</v>
      </c>
      <c r="G79" s="523">
        <v>-6165.57</v>
      </c>
      <c r="I79" s="111" t="str">
        <f t="shared" si="0"/>
        <v/>
      </c>
      <c r="J79" s="99" t="str">
        <f t="shared" si="2"/>
        <v/>
      </c>
      <c r="K79" s="99" t="s">
        <v>189</v>
      </c>
      <c r="M79" s="112">
        <f t="shared" si="3"/>
        <v>2017</v>
      </c>
    </row>
    <row r="80" spans="2:13">
      <c r="B80" s="521" t="s">
        <v>318</v>
      </c>
      <c r="C80" s="522" t="s">
        <v>955</v>
      </c>
      <c r="D80" s="423" t="s">
        <v>330</v>
      </c>
      <c r="E80" s="521" t="s">
        <v>956</v>
      </c>
      <c r="F80" s="522">
        <v>201612</v>
      </c>
      <c r="G80" s="523">
        <v>15.22</v>
      </c>
      <c r="I80" s="111" t="str">
        <f t="shared" si="0"/>
        <v/>
      </c>
      <c r="J80" s="99" t="str">
        <f t="shared" si="2"/>
        <v/>
      </c>
      <c r="K80" s="99" t="s">
        <v>189</v>
      </c>
      <c r="M80" s="112">
        <f t="shared" si="3"/>
        <v>2017</v>
      </c>
    </row>
    <row r="81" spans="2:13">
      <c r="B81" s="521" t="s">
        <v>318</v>
      </c>
      <c r="C81" s="522" t="s">
        <v>893</v>
      </c>
      <c r="D81" s="423" t="s">
        <v>331</v>
      </c>
      <c r="E81" s="521" t="s">
        <v>894</v>
      </c>
      <c r="F81" s="522">
        <v>201612</v>
      </c>
      <c r="G81" s="523">
        <v>-2500.42</v>
      </c>
      <c r="I81" s="111" t="str">
        <f t="shared" si="0"/>
        <v/>
      </c>
      <c r="J81" s="99" t="str">
        <f t="shared" si="2"/>
        <v/>
      </c>
      <c r="K81" s="99" t="s">
        <v>189</v>
      </c>
      <c r="M81" s="112">
        <f t="shared" si="3"/>
        <v>2017</v>
      </c>
    </row>
    <row r="82" spans="2:13">
      <c r="B82" s="521" t="s">
        <v>318</v>
      </c>
      <c r="C82" s="522" t="s">
        <v>814</v>
      </c>
      <c r="D82" s="423" t="s">
        <v>330</v>
      </c>
      <c r="E82" s="521" t="s">
        <v>815</v>
      </c>
      <c r="F82" s="522">
        <v>201612</v>
      </c>
      <c r="G82" s="523">
        <v>-69670.28</v>
      </c>
      <c r="I82" s="111" t="str">
        <f t="shared" si="0"/>
        <v/>
      </c>
      <c r="J82" s="99" t="str">
        <f t="shared" si="2"/>
        <v/>
      </c>
      <c r="K82" s="99" t="s">
        <v>189</v>
      </c>
      <c r="M82" s="112">
        <f t="shared" si="3"/>
        <v>2017</v>
      </c>
    </row>
    <row r="83" spans="2:13">
      <c r="B83" s="521" t="s">
        <v>318</v>
      </c>
      <c r="C83" s="522" t="s">
        <v>963</v>
      </c>
      <c r="D83" s="423" t="s">
        <v>330</v>
      </c>
      <c r="E83" s="521" t="s">
        <v>964</v>
      </c>
      <c r="F83" s="522">
        <v>201612</v>
      </c>
      <c r="G83" s="523">
        <v>22.03</v>
      </c>
      <c r="I83" s="111" t="str">
        <f t="shared" si="0"/>
        <v/>
      </c>
      <c r="J83" s="99" t="str">
        <f t="shared" si="2"/>
        <v/>
      </c>
      <c r="K83" s="99" t="s">
        <v>189</v>
      </c>
      <c r="M83" s="112">
        <f t="shared" si="3"/>
        <v>2017</v>
      </c>
    </row>
    <row r="84" spans="2:13">
      <c r="B84" s="521" t="s">
        <v>318</v>
      </c>
      <c r="C84" s="522" t="s">
        <v>862</v>
      </c>
      <c r="D84" s="423" t="s">
        <v>330</v>
      </c>
      <c r="E84" s="521" t="s">
        <v>863</v>
      </c>
      <c r="F84" s="522">
        <v>201612</v>
      </c>
      <c r="G84" s="523">
        <v>133374.53</v>
      </c>
      <c r="I84" s="111" t="str">
        <f t="shared" si="0"/>
        <v/>
      </c>
      <c r="J84" s="99" t="str">
        <f t="shared" si="2"/>
        <v/>
      </c>
      <c r="K84" s="99" t="s">
        <v>189</v>
      </c>
      <c r="M84" s="112">
        <f t="shared" si="3"/>
        <v>2017</v>
      </c>
    </row>
    <row r="85" spans="2:13" ht="15">
      <c r="B85" s="521" t="s">
        <v>318</v>
      </c>
      <c r="C85" s="522" t="s">
        <v>682</v>
      </c>
      <c r="D85" s="424" t="s">
        <v>330</v>
      </c>
      <c r="E85" s="521" t="s">
        <v>683</v>
      </c>
      <c r="F85" s="522">
        <v>201612</v>
      </c>
      <c r="G85" s="523">
        <v>4523.67</v>
      </c>
      <c r="I85" s="111" t="str">
        <f t="shared" si="0"/>
        <v/>
      </c>
      <c r="J85" s="99" t="str">
        <f t="shared" si="2"/>
        <v/>
      </c>
      <c r="K85" s="99" t="s">
        <v>189</v>
      </c>
      <c r="M85" s="112">
        <f t="shared" si="3"/>
        <v>2017</v>
      </c>
    </row>
    <row r="86" spans="2:13" ht="15">
      <c r="B86" s="521" t="s">
        <v>318</v>
      </c>
      <c r="C86" s="522" t="s">
        <v>846</v>
      </c>
      <c r="D86" s="424" t="s">
        <v>330</v>
      </c>
      <c r="E86" s="521" t="s">
        <v>847</v>
      </c>
      <c r="F86" s="522">
        <v>201612</v>
      </c>
      <c r="G86" s="523">
        <v>153.87</v>
      </c>
      <c r="I86" s="111" t="str">
        <f t="shared" si="0"/>
        <v/>
      </c>
      <c r="J86" s="99" t="str">
        <f t="shared" si="2"/>
        <v/>
      </c>
      <c r="K86" s="99" t="s">
        <v>189</v>
      </c>
      <c r="M86" s="112">
        <f t="shared" si="3"/>
        <v>2017</v>
      </c>
    </row>
    <row r="87" spans="2:13" ht="15">
      <c r="B87" s="521" t="s">
        <v>318</v>
      </c>
      <c r="C87" s="522" t="s">
        <v>1106</v>
      </c>
      <c r="D87" s="424" t="s">
        <v>330</v>
      </c>
      <c r="E87" s="521" t="s">
        <v>1107</v>
      </c>
      <c r="F87" s="522">
        <v>201612</v>
      </c>
      <c r="G87" s="523">
        <v>57944.31</v>
      </c>
      <c r="I87" s="111" t="str">
        <f t="shared" ref="I87:I134" si="4">IF(LEFT(C87,2)="69","Blanket","")</f>
        <v/>
      </c>
      <c r="J87" s="99" t="str">
        <f t="shared" si="2"/>
        <v/>
      </c>
      <c r="K87" s="99" t="s">
        <v>189</v>
      </c>
      <c r="M87" s="112">
        <f t="shared" si="3"/>
        <v>2017</v>
      </c>
    </row>
    <row r="88" spans="2:13" ht="15">
      <c r="B88" s="521" t="s">
        <v>318</v>
      </c>
      <c r="C88" s="522" t="s">
        <v>899</v>
      </c>
      <c r="D88" s="424" t="s">
        <v>331</v>
      </c>
      <c r="E88" s="521" t="s">
        <v>900</v>
      </c>
      <c r="F88" s="522">
        <v>201612</v>
      </c>
      <c r="G88" s="523">
        <v>1610.16</v>
      </c>
      <c r="I88" s="111" t="str">
        <f t="shared" si="4"/>
        <v/>
      </c>
      <c r="J88" s="99" t="str">
        <f t="shared" ref="J88:J134" si="5">IF(F88&gt;$J$20,"",IF(F88&gt;=$J$22,"In service",""))</f>
        <v/>
      </c>
      <c r="K88" s="99" t="s">
        <v>189</v>
      </c>
      <c r="M88" s="112">
        <f t="shared" ref="M88:M134" si="6">IF(F88&gt;$M$20,0+2017,0+2016)</f>
        <v>2017</v>
      </c>
    </row>
    <row r="89" spans="2:13">
      <c r="B89" s="521" t="s">
        <v>318</v>
      </c>
      <c r="C89" s="522" t="s">
        <v>822</v>
      </c>
      <c r="D89" s="423" t="s">
        <v>330</v>
      </c>
      <c r="E89" s="521" t="s">
        <v>823</v>
      </c>
      <c r="F89" s="522">
        <v>201612</v>
      </c>
      <c r="G89" s="523">
        <v>-20.13</v>
      </c>
      <c r="I89" s="111" t="str">
        <f t="shared" si="4"/>
        <v/>
      </c>
      <c r="J89" s="99" t="str">
        <f t="shared" si="5"/>
        <v/>
      </c>
      <c r="K89" s="99" t="s">
        <v>189</v>
      </c>
      <c r="M89" s="112">
        <f t="shared" si="6"/>
        <v>2017</v>
      </c>
    </row>
    <row r="90" spans="2:13">
      <c r="B90" s="521" t="s">
        <v>318</v>
      </c>
      <c r="C90" s="522" t="s">
        <v>822</v>
      </c>
      <c r="D90" s="423" t="s">
        <v>330</v>
      </c>
      <c r="E90" s="521" t="s">
        <v>823</v>
      </c>
      <c r="F90" s="522">
        <v>201612</v>
      </c>
      <c r="G90" s="523">
        <v>-7.28</v>
      </c>
      <c r="I90" s="111" t="str">
        <f t="shared" si="4"/>
        <v/>
      </c>
      <c r="J90" s="99" t="str">
        <f t="shared" si="5"/>
        <v/>
      </c>
      <c r="K90" s="99" t="s">
        <v>189</v>
      </c>
      <c r="M90" s="112">
        <f t="shared" si="6"/>
        <v>2017</v>
      </c>
    </row>
    <row r="91" spans="2:13" ht="15">
      <c r="B91" s="521" t="s">
        <v>318</v>
      </c>
      <c r="C91" s="522" t="s">
        <v>973</v>
      </c>
      <c r="D91" s="424" t="s">
        <v>330</v>
      </c>
      <c r="E91" s="521" t="s">
        <v>974</v>
      </c>
      <c r="F91" s="522">
        <v>201612</v>
      </c>
      <c r="G91" s="523">
        <v>1135.27</v>
      </c>
      <c r="I91" s="111" t="str">
        <f t="shared" si="4"/>
        <v/>
      </c>
      <c r="J91" s="99" t="str">
        <f t="shared" si="5"/>
        <v/>
      </c>
      <c r="K91" s="99" t="s">
        <v>189</v>
      </c>
      <c r="M91" s="112">
        <f t="shared" si="6"/>
        <v>2017</v>
      </c>
    </row>
    <row r="92" spans="2:13">
      <c r="B92" s="521" t="s">
        <v>318</v>
      </c>
      <c r="C92" s="522" t="s">
        <v>868</v>
      </c>
      <c r="D92" s="423" t="s">
        <v>330</v>
      </c>
      <c r="E92" s="521" t="s">
        <v>869</v>
      </c>
      <c r="F92" s="522">
        <v>201612</v>
      </c>
      <c r="G92" s="523">
        <v>20.45</v>
      </c>
      <c r="I92" s="111" t="str">
        <f t="shared" si="4"/>
        <v/>
      </c>
      <c r="J92" s="99" t="str">
        <f t="shared" si="5"/>
        <v/>
      </c>
      <c r="K92" s="99" t="s">
        <v>189</v>
      </c>
      <c r="M92" s="112">
        <f t="shared" si="6"/>
        <v>2017</v>
      </c>
    </row>
    <row r="93" spans="2:13" ht="15">
      <c r="B93" s="521" t="s">
        <v>318</v>
      </c>
      <c r="C93" s="522" t="s">
        <v>868</v>
      </c>
      <c r="D93" s="424" t="s">
        <v>330</v>
      </c>
      <c r="E93" s="521" t="s">
        <v>869</v>
      </c>
      <c r="F93" s="522">
        <v>201612</v>
      </c>
      <c r="G93" s="523">
        <v>197.15</v>
      </c>
      <c r="I93" s="111" t="str">
        <f t="shared" si="4"/>
        <v/>
      </c>
      <c r="J93" s="99" t="str">
        <f t="shared" si="5"/>
        <v/>
      </c>
      <c r="K93" s="99" t="s">
        <v>189</v>
      </c>
      <c r="M93" s="112">
        <f t="shared" si="6"/>
        <v>2017</v>
      </c>
    </row>
    <row r="94" spans="2:13" ht="15">
      <c r="B94" s="521" t="s">
        <v>318</v>
      </c>
      <c r="C94" s="522" t="s">
        <v>1108</v>
      </c>
      <c r="D94" s="424" t="s">
        <v>330</v>
      </c>
      <c r="E94" s="521" t="s">
        <v>1109</v>
      </c>
      <c r="F94" s="522">
        <v>201612</v>
      </c>
      <c r="G94" s="523">
        <v>170103.86</v>
      </c>
      <c r="I94" s="111" t="str">
        <f t="shared" si="4"/>
        <v/>
      </c>
      <c r="J94" s="99" t="str">
        <f t="shared" si="5"/>
        <v/>
      </c>
      <c r="K94" s="99" t="s">
        <v>189</v>
      </c>
      <c r="M94" s="112">
        <f t="shared" si="6"/>
        <v>2017</v>
      </c>
    </row>
    <row r="95" spans="2:13">
      <c r="B95" s="521" t="s">
        <v>318</v>
      </c>
      <c r="C95" s="522" t="s">
        <v>1069</v>
      </c>
      <c r="D95" s="423" t="s">
        <v>330</v>
      </c>
      <c r="E95" s="521" t="s">
        <v>1105</v>
      </c>
      <c r="F95" s="522">
        <v>201612</v>
      </c>
      <c r="G95" s="523">
        <v>105.43</v>
      </c>
      <c r="I95" s="111" t="str">
        <f t="shared" si="4"/>
        <v/>
      </c>
      <c r="J95" s="99" t="str">
        <f t="shared" si="5"/>
        <v/>
      </c>
      <c r="K95" s="99" t="s">
        <v>189</v>
      </c>
      <c r="M95" s="112">
        <f t="shared" si="6"/>
        <v>2017</v>
      </c>
    </row>
    <row r="96" spans="2:13" ht="15">
      <c r="B96" s="521" t="s">
        <v>318</v>
      </c>
      <c r="C96" s="522" t="s">
        <v>975</v>
      </c>
      <c r="D96" s="424" t="s">
        <v>330</v>
      </c>
      <c r="E96" s="521" t="s">
        <v>976</v>
      </c>
      <c r="F96" s="522">
        <v>201612</v>
      </c>
      <c r="G96" s="523">
        <v>-150.44999999999999</v>
      </c>
      <c r="I96" s="111" t="str">
        <f t="shared" si="4"/>
        <v/>
      </c>
      <c r="J96" s="99" t="str">
        <f t="shared" si="5"/>
        <v/>
      </c>
      <c r="K96" s="99" t="s">
        <v>189</v>
      </c>
      <c r="M96" s="112">
        <f t="shared" si="6"/>
        <v>2017</v>
      </c>
    </row>
    <row r="97" spans="2:13">
      <c r="B97" s="521" t="s">
        <v>318</v>
      </c>
      <c r="C97" s="522" t="s">
        <v>852</v>
      </c>
      <c r="D97" s="423" t="s">
        <v>330</v>
      </c>
      <c r="E97" s="521" t="s">
        <v>853</v>
      </c>
      <c r="F97" s="522">
        <v>201612</v>
      </c>
      <c r="G97" s="523">
        <v>127.9</v>
      </c>
      <c r="I97" s="111" t="str">
        <f t="shared" si="4"/>
        <v/>
      </c>
      <c r="J97" s="99" t="str">
        <f t="shared" si="5"/>
        <v/>
      </c>
      <c r="K97" s="99" t="s">
        <v>189</v>
      </c>
      <c r="M97" s="112">
        <f t="shared" si="6"/>
        <v>2017</v>
      </c>
    </row>
    <row r="98" spans="2:13" ht="15">
      <c r="B98" s="521" t="s">
        <v>318</v>
      </c>
      <c r="C98" s="522" t="s">
        <v>870</v>
      </c>
      <c r="D98" s="424" t="s">
        <v>330</v>
      </c>
      <c r="E98" s="521" t="s">
        <v>871</v>
      </c>
      <c r="F98" s="522">
        <v>201612</v>
      </c>
      <c r="G98" s="523">
        <v>-126.35</v>
      </c>
      <c r="I98" s="111" t="str">
        <f t="shared" si="4"/>
        <v/>
      </c>
      <c r="J98" s="99" t="str">
        <f t="shared" si="5"/>
        <v/>
      </c>
      <c r="K98" s="99" t="s">
        <v>189</v>
      </c>
      <c r="M98" s="112">
        <f t="shared" si="6"/>
        <v>2017</v>
      </c>
    </row>
    <row r="99" spans="2:13" ht="15">
      <c r="B99" s="521" t="s">
        <v>318</v>
      </c>
      <c r="C99" s="522" t="s">
        <v>1039</v>
      </c>
      <c r="D99" s="424" t="s">
        <v>330</v>
      </c>
      <c r="E99" s="521" t="s">
        <v>1040</v>
      </c>
      <c r="F99" s="522">
        <v>201612</v>
      </c>
      <c r="G99" s="523">
        <v>967.85</v>
      </c>
      <c r="I99" s="111" t="str">
        <f t="shared" si="4"/>
        <v/>
      </c>
      <c r="J99" s="99" t="str">
        <f t="shared" si="5"/>
        <v/>
      </c>
      <c r="K99" s="99" t="s">
        <v>189</v>
      </c>
      <c r="M99" s="112">
        <f t="shared" si="6"/>
        <v>2017</v>
      </c>
    </row>
    <row r="100" spans="2:13" ht="15">
      <c r="B100" s="521" t="s">
        <v>318</v>
      </c>
      <c r="C100" s="522" t="s">
        <v>872</v>
      </c>
      <c r="D100" s="424" t="s">
        <v>330</v>
      </c>
      <c r="E100" s="521" t="s">
        <v>873</v>
      </c>
      <c r="F100" s="522">
        <v>201612</v>
      </c>
      <c r="G100" s="523">
        <v>-69.459999999999994</v>
      </c>
      <c r="I100" s="111" t="str">
        <f t="shared" si="4"/>
        <v/>
      </c>
      <c r="J100" s="99" t="str">
        <f t="shared" si="5"/>
        <v/>
      </c>
      <c r="K100" s="99" t="s">
        <v>189</v>
      </c>
      <c r="M100" s="112">
        <f t="shared" si="6"/>
        <v>2017</v>
      </c>
    </row>
    <row r="101" spans="2:13" ht="15">
      <c r="B101" s="521" t="s">
        <v>318</v>
      </c>
      <c r="C101" s="522" t="s">
        <v>977</v>
      </c>
      <c r="D101" s="424" t="s">
        <v>330</v>
      </c>
      <c r="E101" s="521" t="s">
        <v>978</v>
      </c>
      <c r="F101" s="522">
        <v>201612</v>
      </c>
      <c r="G101" s="523">
        <v>9.98</v>
      </c>
      <c r="I101" s="111" t="str">
        <f t="shared" si="4"/>
        <v/>
      </c>
      <c r="J101" s="99" t="str">
        <f t="shared" si="5"/>
        <v/>
      </c>
      <c r="K101" s="99" t="s">
        <v>189</v>
      </c>
      <c r="M101" s="112">
        <f t="shared" si="6"/>
        <v>2017</v>
      </c>
    </row>
    <row r="102" spans="2:13">
      <c r="B102" s="521" t="s">
        <v>318</v>
      </c>
      <c r="C102" s="522" t="s">
        <v>1041</v>
      </c>
      <c r="D102" s="423" t="s">
        <v>330</v>
      </c>
      <c r="E102" s="521" t="s">
        <v>1042</v>
      </c>
      <c r="F102" s="522">
        <v>201612</v>
      </c>
      <c r="G102" s="523">
        <v>-63.11</v>
      </c>
      <c r="I102" s="111" t="str">
        <f t="shared" si="4"/>
        <v/>
      </c>
      <c r="J102" s="99" t="str">
        <f t="shared" si="5"/>
        <v/>
      </c>
      <c r="K102" s="99" t="s">
        <v>189</v>
      </c>
      <c r="M102" s="112">
        <f t="shared" si="6"/>
        <v>2017</v>
      </c>
    </row>
    <row r="103" spans="2:13">
      <c r="B103" s="521" t="s">
        <v>318</v>
      </c>
      <c r="C103" s="522" t="s">
        <v>979</v>
      </c>
      <c r="D103" s="423" t="s">
        <v>330</v>
      </c>
      <c r="E103" s="521" t="s">
        <v>980</v>
      </c>
      <c r="F103" s="522">
        <v>201612</v>
      </c>
      <c r="G103" s="523">
        <v>1854.14</v>
      </c>
      <c r="I103" s="111" t="str">
        <f t="shared" si="4"/>
        <v/>
      </c>
      <c r="J103" s="99" t="str">
        <f t="shared" si="5"/>
        <v/>
      </c>
      <c r="K103" s="99" t="s">
        <v>189</v>
      </c>
      <c r="M103" s="112">
        <f t="shared" si="6"/>
        <v>2017</v>
      </c>
    </row>
    <row r="104" spans="2:13" ht="15">
      <c r="B104" s="521" t="s">
        <v>318</v>
      </c>
      <c r="C104" s="522" t="s">
        <v>981</v>
      </c>
      <c r="D104" s="424" t="s">
        <v>330</v>
      </c>
      <c r="E104" s="521" t="s">
        <v>1014</v>
      </c>
      <c r="F104" s="522">
        <v>201612</v>
      </c>
      <c r="G104" s="523">
        <v>369.02</v>
      </c>
      <c r="I104" s="111" t="str">
        <f t="shared" si="4"/>
        <v/>
      </c>
      <c r="J104" s="99" t="str">
        <f t="shared" si="5"/>
        <v/>
      </c>
      <c r="K104" s="99" t="s">
        <v>189</v>
      </c>
      <c r="M104" s="112">
        <f t="shared" si="6"/>
        <v>2017</v>
      </c>
    </row>
    <row r="105" spans="2:13" ht="15">
      <c r="B105" s="521" t="s">
        <v>318</v>
      </c>
      <c r="C105" s="522" t="s">
        <v>874</v>
      </c>
      <c r="D105" s="424" t="s">
        <v>330</v>
      </c>
      <c r="E105" s="521" t="s">
        <v>875</v>
      </c>
      <c r="F105" s="522">
        <v>201612</v>
      </c>
      <c r="G105" s="523">
        <v>72.319999999999993</v>
      </c>
      <c r="I105" s="111" t="str">
        <f t="shared" si="4"/>
        <v/>
      </c>
      <c r="J105" s="99" t="str">
        <f t="shared" si="5"/>
        <v/>
      </c>
      <c r="K105" s="99" t="s">
        <v>189</v>
      </c>
      <c r="M105" s="112">
        <f t="shared" si="6"/>
        <v>2017</v>
      </c>
    </row>
    <row r="106" spans="2:13" ht="15">
      <c r="B106" s="521" t="s">
        <v>318</v>
      </c>
      <c r="C106" s="522" t="s">
        <v>983</v>
      </c>
      <c r="D106" s="424" t="s">
        <v>330</v>
      </c>
      <c r="E106" s="521" t="s">
        <v>984</v>
      </c>
      <c r="F106" s="522">
        <v>201612</v>
      </c>
      <c r="G106" s="523">
        <v>74.03</v>
      </c>
      <c r="I106" s="111" t="str">
        <f t="shared" si="4"/>
        <v/>
      </c>
      <c r="J106" s="99" t="str">
        <f t="shared" si="5"/>
        <v/>
      </c>
      <c r="K106" s="99" t="s">
        <v>189</v>
      </c>
      <c r="M106" s="112">
        <f t="shared" si="6"/>
        <v>2017</v>
      </c>
    </row>
    <row r="107" spans="2:13">
      <c r="B107" s="521" t="s">
        <v>318</v>
      </c>
      <c r="C107" s="522" t="s">
        <v>1043</v>
      </c>
      <c r="D107" s="423" t="s">
        <v>330</v>
      </c>
      <c r="E107" s="521" t="s">
        <v>1044</v>
      </c>
      <c r="F107" s="522">
        <v>201612</v>
      </c>
      <c r="G107" s="523">
        <v>-0.69</v>
      </c>
      <c r="I107" s="111" t="str">
        <f t="shared" si="4"/>
        <v/>
      </c>
      <c r="J107" s="99" t="str">
        <f t="shared" si="5"/>
        <v/>
      </c>
      <c r="K107" s="99" t="s">
        <v>189</v>
      </c>
      <c r="M107" s="112">
        <f t="shared" si="6"/>
        <v>2017</v>
      </c>
    </row>
    <row r="108" spans="2:13" ht="15">
      <c r="B108" s="521" t="s">
        <v>318</v>
      </c>
      <c r="C108" s="522" t="s">
        <v>876</v>
      </c>
      <c r="D108" s="424" t="s">
        <v>330</v>
      </c>
      <c r="E108" s="521" t="s">
        <v>877</v>
      </c>
      <c r="F108" s="522">
        <v>201612</v>
      </c>
      <c r="G108" s="523">
        <v>-14</v>
      </c>
      <c r="I108" s="111" t="str">
        <f t="shared" si="4"/>
        <v/>
      </c>
      <c r="J108" s="99" t="str">
        <f t="shared" si="5"/>
        <v/>
      </c>
      <c r="K108" s="99" t="s">
        <v>189</v>
      </c>
      <c r="M108" s="112">
        <f t="shared" si="6"/>
        <v>2017</v>
      </c>
    </row>
    <row r="109" spans="2:13" ht="15">
      <c r="B109" s="521" t="s">
        <v>318</v>
      </c>
      <c r="C109" s="522" t="s">
        <v>1045</v>
      </c>
      <c r="D109" s="424" t="s">
        <v>330</v>
      </c>
      <c r="E109" s="521" t="s">
        <v>1046</v>
      </c>
      <c r="F109" s="522">
        <v>201612</v>
      </c>
      <c r="G109" s="523">
        <v>-59.87</v>
      </c>
      <c r="I109" s="111" t="str">
        <f t="shared" si="4"/>
        <v/>
      </c>
      <c r="J109" s="99" t="str">
        <f t="shared" si="5"/>
        <v/>
      </c>
      <c r="K109" s="99" t="s">
        <v>189</v>
      </c>
      <c r="M109" s="112">
        <f t="shared" si="6"/>
        <v>2017</v>
      </c>
    </row>
    <row r="110" spans="2:13" ht="15">
      <c r="B110" s="521" t="s">
        <v>318</v>
      </c>
      <c r="C110" s="522" t="s">
        <v>985</v>
      </c>
      <c r="D110" s="424" t="s">
        <v>330</v>
      </c>
      <c r="E110" s="521" t="s">
        <v>986</v>
      </c>
      <c r="F110" s="522">
        <v>201612</v>
      </c>
      <c r="G110" s="523">
        <v>1367.04</v>
      </c>
      <c r="I110" s="111" t="str">
        <f t="shared" si="4"/>
        <v/>
      </c>
      <c r="J110" s="99" t="str">
        <f t="shared" si="5"/>
        <v/>
      </c>
      <c r="K110" s="99" t="s">
        <v>189</v>
      </c>
      <c r="M110" s="112">
        <f t="shared" si="6"/>
        <v>2017</v>
      </c>
    </row>
    <row r="111" spans="2:13">
      <c r="B111" s="521" t="s">
        <v>318</v>
      </c>
      <c r="C111" s="522" t="s">
        <v>878</v>
      </c>
      <c r="D111" s="423" t="s">
        <v>330</v>
      </c>
      <c r="E111" s="521" t="s">
        <v>879</v>
      </c>
      <c r="F111" s="522">
        <v>201612</v>
      </c>
      <c r="G111" s="523">
        <v>-482.09</v>
      </c>
      <c r="I111" s="111" t="str">
        <f t="shared" si="4"/>
        <v/>
      </c>
      <c r="J111" s="99" t="str">
        <f t="shared" si="5"/>
        <v/>
      </c>
      <c r="K111" s="99" t="s">
        <v>189</v>
      </c>
      <c r="M111" s="112">
        <f t="shared" si="6"/>
        <v>2017</v>
      </c>
    </row>
    <row r="112" spans="2:13">
      <c r="B112" s="521" t="s">
        <v>318</v>
      </c>
      <c r="C112" s="522" t="s">
        <v>987</v>
      </c>
      <c r="D112" s="423" t="s">
        <v>330</v>
      </c>
      <c r="E112" s="521" t="s">
        <v>988</v>
      </c>
      <c r="F112" s="522">
        <v>201612</v>
      </c>
      <c r="G112" s="523">
        <v>-1.0900000000000001</v>
      </c>
      <c r="I112" s="111" t="str">
        <f t="shared" si="4"/>
        <v/>
      </c>
      <c r="J112" s="99" t="str">
        <f t="shared" si="5"/>
        <v/>
      </c>
      <c r="K112" s="99" t="s">
        <v>189</v>
      </c>
      <c r="M112" s="112">
        <f t="shared" si="6"/>
        <v>2017</v>
      </c>
    </row>
    <row r="113" spans="2:13" ht="15">
      <c r="B113" s="521" t="s">
        <v>318</v>
      </c>
      <c r="C113" s="522" t="s">
        <v>989</v>
      </c>
      <c r="D113" s="424" t="s">
        <v>330</v>
      </c>
      <c r="E113" s="521" t="s">
        <v>990</v>
      </c>
      <c r="F113" s="522">
        <v>201612</v>
      </c>
      <c r="G113" s="523">
        <v>-13.71</v>
      </c>
      <c r="I113" s="111" t="str">
        <f t="shared" si="4"/>
        <v/>
      </c>
      <c r="J113" s="99" t="str">
        <f t="shared" si="5"/>
        <v/>
      </c>
      <c r="K113" s="99" t="s">
        <v>189</v>
      </c>
      <c r="M113" s="112">
        <f t="shared" si="6"/>
        <v>2017</v>
      </c>
    </row>
    <row r="114" spans="2:13" ht="15">
      <c r="B114" s="521" t="s">
        <v>318</v>
      </c>
      <c r="C114" s="522" t="s">
        <v>991</v>
      </c>
      <c r="D114" s="424" t="s">
        <v>330</v>
      </c>
      <c r="E114" s="521" t="s">
        <v>992</v>
      </c>
      <c r="F114" s="522">
        <v>201612</v>
      </c>
      <c r="G114" s="523">
        <v>20.11</v>
      </c>
      <c r="I114" s="111" t="str">
        <f t="shared" si="4"/>
        <v/>
      </c>
      <c r="J114" s="99" t="str">
        <f t="shared" si="5"/>
        <v/>
      </c>
      <c r="K114" s="99" t="s">
        <v>189</v>
      </c>
      <c r="M114" s="112">
        <f t="shared" si="6"/>
        <v>2017</v>
      </c>
    </row>
    <row r="115" spans="2:13" ht="15">
      <c r="B115" s="521" t="s">
        <v>318</v>
      </c>
      <c r="C115" s="522" t="s">
        <v>880</v>
      </c>
      <c r="D115" s="424" t="s">
        <v>330</v>
      </c>
      <c r="E115" s="521" t="s">
        <v>881</v>
      </c>
      <c r="F115" s="522">
        <v>201612</v>
      </c>
      <c r="G115" s="523">
        <v>628.88</v>
      </c>
      <c r="I115" s="111" t="str">
        <f t="shared" si="4"/>
        <v/>
      </c>
      <c r="J115" s="99" t="str">
        <f t="shared" si="5"/>
        <v/>
      </c>
      <c r="K115" s="99" t="s">
        <v>189</v>
      </c>
      <c r="M115" s="112">
        <f t="shared" si="6"/>
        <v>2017</v>
      </c>
    </row>
    <row r="116" spans="2:13">
      <c r="B116" s="521" t="s">
        <v>318</v>
      </c>
      <c r="C116" s="522" t="s">
        <v>993</v>
      </c>
      <c r="D116" s="423" t="s">
        <v>330</v>
      </c>
      <c r="E116" s="521" t="s">
        <v>994</v>
      </c>
      <c r="F116" s="522">
        <v>201612</v>
      </c>
      <c r="G116" s="523">
        <v>30</v>
      </c>
      <c r="I116" s="111" t="str">
        <f t="shared" si="4"/>
        <v/>
      </c>
      <c r="J116" s="99" t="str">
        <f t="shared" si="5"/>
        <v/>
      </c>
      <c r="K116" s="99" t="s">
        <v>189</v>
      </c>
      <c r="M116" s="112">
        <f t="shared" si="6"/>
        <v>2017</v>
      </c>
    </row>
    <row r="117" spans="2:13">
      <c r="B117" s="521" t="s">
        <v>318</v>
      </c>
      <c r="C117" s="522" t="s">
        <v>891</v>
      </c>
      <c r="D117" s="423" t="s">
        <v>331</v>
      </c>
      <c r="E117" s="521" t="s">
        <v>892</v>
      </c>
      <c r="F117" s="522">
        <v>201612</v>
      </c>
      <c r="G117" s="523">
        <v>10.07</v>
      </c>
      <c r="I117" s="111" t="str">
        <f t="shared" si="4"/>
        <v/>
      </c>
      <c r="J117" s="99" t="str">
        <f t="shared" si="5"/>
        <v/>
      </c>
      <c r="K117" s="99" t="s">
        <v>189</v>
      </c>
      <c r="M117" s="112">
        <f t="shared" si="6"/>
        <v>2017</v>
      </c>
    </row>
    <row r="118" spans="2:13" ht="15">
      <c r="B118" s="521" t="s">
        <v>318</v>
      </c>
      <c r="C118" s="522" t="s">
        <v>882</v>
      </c>
      <c r="D118" s="424" t="s">
        <v>330</v>
      </c>
      <c r="E118" s="521" t="s">
        <v>995</v>
      </c>
      <c r="F118" s="522">
        <v>201612</v>
      </c>
      <c r="G118" s="523">
        <v>-32432.13</v>
      </c>
      <c r="I118" s="111" t="str">
        <f t="shared" si="4"/>
        <v/>
      </c>
      <c r="J118" s="99" t="str">
        <f t="shared" si="5"/>
        <v/>
      </c>
      <c r="K118" s="99" t="s">
        <v>189</v>
      </c>
      <c r="M118" s="112">
        <f t="shared" si="6"/>
        <v>2017</v>
      </c>
    </row>
    <row r="119" spans="2:13">
      <c r="B119" s="521" t="s">
        <v>318</v>
      </c>
      <c r="C119" s="522" t="s">
        <v>882</v>
      </c>
      <c r="D119" s="423" t="s">
        <v>330</v>
      </c>
      <c r="E119" s="521" t="s">
        <v>995</v>
      </c>
      <c r="F119" s="522">
        <v>201612</v>
      </c>
      <c r="G119" s="523">
        <v>30044.97</v>
      </c>
      <c r="I119" s="111" t="str">
        <f t="shared" si="4"/>
        <v/>
      </c>
      <c r="J119" s="99" t="str">
        <f t="shared" si="5"/>
        <v/>
      </c>
      <c r="K119" s="99" t="s">
        <v>189</v>
      </c>
      <c r="M119" s="112">
        <f t="shared" si="6"/>
        <v>2017</v>
      </c>
    </row>
    <row r="120" spans="2:13" ht="15">
      <c r="B120" s="521" t="s">
        <v>318</v>
      </c>
      <c r="C120" s="522" t="s">
        <v>996</v>
      </c>
      <c r="D120" s="424" t="s">
        <v>330</v>
      </c>
      <c r="E120" s="521" t="s">
        <v>997</v>
      </c>
      <c r="F120" s="522">
        <v>201612</v>
      </c>
      <c r="G120" s="523">
        <v>1534.86</v>
      </c>
      <c r="I120" s="111" t="str">
        <f t="shared" si="4"/>
        <v/>
      </c>
      <c r="J120" s="99" t="str">
        <f t="shared" si="5"/>
        <v/>
      </c>
      <c r="K120" s="99" t="s">
        <v>189</v>
      </c>
      <c r="M120" s="112">
        <f t="shared" si="6"/>
        <v>2017</v>
      </c>
    </row>
    <row r="121" spans="2:13" ht="15">
      <c r="B121" s="521" t="s">
        <v>318</v>
      </c>
      <c r="C121" s="522" t="s">
        <v>854</v>
      </c>
      <c r="D121" s="424" t="s">
        <v>330</v>
      </c>
      <c r="E121" s="521" t="s">
        <v>855</v>
      </c>
      <c r="F121" s="522">
        <v>201612</v>
      </c>
      <c r="G121" s="523">
        <v>-139763.26</v>
      </c>
      <c r="I121" s="111" t="str">
        <f t="shared" si="4"/>
        <v/>
      </c>
      <c r="J121" s="99" t="str">
        <f t="shared" si="5"/>
        <v/>
      </c>
      <c r="K121" s="99" t="s">
        <v>189</v>
      </c>
      <c r="M121" s="112">
        <f t="shared" si="6"/>
        <v>2017</v>
      </c>
    </row>
    <row r="122" spans="2:13" ht="15">
      <c r="B122" s="521" t="s">
        <v>318</v>
      </c>
      <c r="C122" s="522" t="s">
        <v>854</v>
      </c>
      <c r="D122" s="424" t="s">
        <v>330</v>
      </c>
      <c r="E122" s="521" t="s">
        <v>855</v>
      </c>
      <c r="F122" s="522">
        <v>201612</v>
      </c>
      <c r="G122" s="523">
        <v>112430.96</v>
      </c>
      <c r="I122" s="111" t="str">
        <f t="shared" si="4"/>
        <v/>
      </c>
      <c r="J122" s="99" t="str">
        <f t="shared" si="5"/>
        <v/>
      </c>
      <c r="K122" s="99" t="s">
        <v>189</v>
      </c>
      <c r="M122" s="112">
        <f t="shared" si="6"/>
        <v>2017</v>
      </c>
    </row>
    <row r="123" spans="2:13">
      <c r="B123" s="521" t="s">
        <v>318</v>
      </c>
      <c r="C123" s="522" t="s">
        <v>1110</v>
      </c>
      <c r="D123" s="423" t="s">
        <v>330</v>
      </c>
      <c r="E123" s="521" t="s">
        <v>1111</v>
      </c>
      <c r="F123" s="522">
        <v>201612</v>
      </c>
      <c r="G123" s="523">
        <v>92754.53</v>
      </c>
      <c r="I123" s="111" t="str">
        <f t="shared" si="4"/>
        <v/>
      </c>
      <c r="J123" s="99" t="str">
        <f t="shared" si="5"/>
        <v/>
      </c>
      <c r="K123" s="99" t="s">
        <v>189</v>
      </c>
      <c r="M123" s="112">
        <f t="shared" si="6"/>
        <v>2017</v>
      </c>
    </row>
    <row r="124" spans="2:13" ht="15">
      <c r="B124" s="521" t="s">
        <v>318</v>
      </c>
      <c r="C124" s="522" t="s">
        <v>1112</v>
      </c>
      <c r="D124" s="424" t="s">
        <v>330</v>
      </c>
      <c r="E124" s="521" t="s">
        <v>1113</v>
      </c>
      <c r="F124" s="522">
        <v>201612</v>
      </c>
      <c r="G124" s="523">
        <v>27327.37</v>
      </c>
      <c r="I124" s="111" t="str">
        <f t="shared" si="4"/>
        <v/>
      </c>
      <c r="J124" s="99" t="str">
        <f t="shared" si="5"/>
        <v/>
      </c>
      <c r="K124" s="99" t="s">
        <v>189</v>
      </c>
      <c r="M124" s="112">
        <f t="shared" si="6"/>
        <v>2017</v>
      </c>
    </row>
    <row r="125" spans="2:13" ht="15">
      <c r="B125" s="521" t="s">
        <v>318</v>
      </c>
      <c r="C125" s="522" t="s">
        <v>1114</v>
      </c>
      <c r="D125" s="424" t="s">
        <v>330</v>
      </c>
      <c r="E125" s="521" t="s">
        <v>1115</v>
      </c>
      <c r="F125" s="522">
        <v>201612</v>
      </c>
      <c r="G125" s="523">
        <v>70833.350000000006</v>
      </c>
      <c r="I125" s="111" t="str">
        <f t="shared" si="4"/>
        <v/>
      </c>
      <c r="J125" s="99" t="str">
        <f t="shared" si="5"/>
        <v/>
      </c>
      <c r="K125" s="99" t="s">
        <v>189</v>
      </c>
      <c r="M125" s="112">
        <f t="shared" si="6"/>
        <v>2017</v>
      </c>
    </row>
    <row r="126" spans="2:13">
      <c r="B126" s="521" t="s">
        <v>318</v>
      </c>
      <c r="C126" s="522" t="s">
        <v>1000</v>
      </c>
      <c r="D126" s="423" t="s">
        <v>343</v>
      </c>
      <c r="E126" s="521" t="s">
        <v>1001</v>
      </c>
      <c r="F126" s="522">
        <v>201612</v>
      </c>
      <c r="G126" s="523">
        <v>-7.57</v>
      </c>
      <c r="I126" s="111" t="str">
        <f t="shared" si="4"/>
        <v/>
      </c>
      <c r="J126" s="99" t="str">
        <f t="shared" si="5"/>
        <v/>
      </c>
      <c r="K126" s="99" t="s">
        <v>189</v>
      </c>
      <c r="M126" s="112">
        <f t="shared" si="6"/>
        <v>2017</v>
      </c>
    </row>
    <row r="127" spans="2:13" ht="15">
      <c r="B127" s="521" t="s">
        <v>318</v>
      </c>
      <c r="C127" s="522" t="s">
        <v>1004</v>
      </c>
      <c r="D127" s="424" t="s">
        <v>330</v>
      </c>
      <c r="E127" s="521" t="s">
        <v>1005</v>
      </c>
      <c r="F127" s="522">
        <v>201612</v>
      </c>
      <c r="G127" s="523">
        <v>7.29</v>
      </c>
      <c r="I127" s="111" t="str">
        <f t="shared" si="4"/>
        <v/>
      </c>
      <c r="J127" s="99" t="str">
        <f t="shared" si="5"/>
        <v/>
      </c>
      <c r="K127" s="99" t="s">
        <v>189</v>
      </c>
      <c r="M127" s="112">
        <f t="shared" si="6"/>
        <v>2017</v>
      </c>
    </row>
    <row r="128" spans="2:13">
      <c r="B128" s="521" t="s">
        <v>318</v>
      </c>
      <c r="C128" s="522" t="s">
        <v>1116</v>
      </c>
      <c r="D128" s="423" t="s">
        <v>330</v>
      </c>
      <c r="E128" s="521" t="s">
        <v>1117</v>
      </c>
      <c r="F128" s="522">
        <v>201612</v>
      </c>
      <c r="G128" s="523">
        <v>6803.56</v>
      </c>
      <c r="I128" s="111" t="str">
        <f t="shared" si="4"/>
        <v/>
      </c>
      <c r="J128" s="99" t="str">
        <f t="shared" si="5"/>
        <v/>
      </c>
      <c r="K128" s="99" t="s">
        <v>189</v>
      </c>
      <c r="M128" s="112">
        <f t="shared" si="6"/>
        <v>2017</v>
      </c>
    </row>
    <row r="129" spans="2:16">
      <c r="B129" s="521" t="s">
        <v>318</v>
      </c>
      <c r="C129" s="522" t="s">
        <v>1075</v>
      </c>
      <c r="D129" s="423" t="s">
        <v>331</v>
      </c>
      <c r="E129" s="521" t="s">
        <v>1076</v>
      </c>
      <c r="F129" s="522">
        <v>201612</v>
      </c>
      <c r="G129" s="523">
        <v>1910.14</v>
      </c>
      <c r="I129" s="111" t="str">
        <f t="shared" si="4"/>
        <v/>
      </c>
      <c r="J129" s="99" t="str">
        <f t="shared" si="5"/>
        <v/>
      </c>
      <c r="K129" s="99" t="s">
        <v>189</v>
      </c>
      <c r="M129" s="112">
        <f t="shared" si="6"/>
        <v>2017</v>
      </c>
    </row>
    <row r="130" spans="2:16">
      <c r="B130" s="521" t="s">
        <v>318</v>
      </c>
      <c r="C130" s="522" t="s">
        <v>1049</v>
      </c>
      <c r="D130" s="423" t="s">
        <v>330</v>
      </c>
      <c r="E130" s="521" t="s">
        <v>1050</v>
      </c>
      <c r="F130" s="522">
        <v>201612</v>
      </c>
      <c r="G130" s="523">
        <v>60.77</v>
      </c>
      <c r="I130" s="111" t="str">
        <f t="shared" si="4"/>
        <v/>
      </c>
      <c r="J130" s="99" t="str">
        <f t="shared" si="5"/>
        <v/>
      </c>
      <c r="K130" s="99" t="s">
        <v>189</v>
      </c>
      <c r="M130" s="112">
        <f t="shared" si="6"/>
        <v>2017</v>
      </c>
    </row>
    <row r="131" spans="2:16" ht="15">
      <c r="B131" s="521" t="s">
        <v>318</v>
      </c>
      <c r="C131" s="522" t="s">
        <v>1077</v>
      </c>
      <c r="D131" s="424" t="s">
        <v>330</v>
      </c>
      <c r="E131" s="521" t="s">
        <v>1078</v>
      </c>
      <c r="F131" s="522">
        <v>201612</v>
      </c>
      <c r="G131" s="523">
        <v>306.54000000000002</v>
      </c>
      <c r="I131" s="111" t="str">
        <f t="shared" si="4"/>
        <v/>
      </c>
      <c r="J131" s="99" t="str">
        <f t="shared" si="5"/>
        <v/>
      </c>
      <c r="K131" s="99" t="s">
        <v>189</v>
      </c>
      <c r="M131" s="112">
        <f t="shared" si="6"/>
        <v>2017</v>
      </c>
    </row>
    <row r="132" spans="2:16">
      <c r="B132" s="521" t="s">
        <v>318</v>
      </c>
      <c r="C132" s="522" t="s">
        <v>1079</v>
      </c>
      <c r="D132" s="423" t="s">
        <v>330</v>
      </c>
      <c r="E132" s="521" t="s">
        <v>1080</v>
      </c>
      <c r="F132" s="522">
        <v>201612</v>
      </c>
      <c r="G132" s="523">
        <v>1501.83</v>
      </c>
      <c r="I132" s="111" t="str">
        <f t="shared" si="4"/>
        <v/>
      </c>
      <c r="J132" s="99" t="str">
        <f t="shared" si="5"/>
        <v/>
      </c>
      <c r="K132" s="99" t="s">
        <v>189</v>
      </c>
      <c r="M132" s="112">
        <f t="shared" si="6"/>
        <v>2017</v>
      </c>
    </row>
    <row r="133" spans="2:16">
      <c r="B133" s="521" t="s">
        <v>318</v>
      </c>
      <c r="C133" s="522" t="s">
        <v>1118</v>
      </c>
      <c r="D133" s="423" t="s">
        <v>330</v>
      </c>
      <c r="E133" s="521" t="s">
        <v>1119</v>
      </c>
      <c r="F133" s="522">
        <v>201612</v>
      </c>
      <c r="G133" s="523">
        <v>19160.87</v>
      </c>
      <c r="I133" s="111" t="str">
        <f t="shared" si="4"/>
        <v/>
      </c>
      <c r="J133" s="99" t="str">
        <f t="shared" si="5"/>
        <v/>
      </c>
      <c r="K133" s="99" t="s">
        <v>189</v>
      </c>
      <c r="M133" s="112">
        <f t="shared" si="6"/>
        <v>2017</v>
      </c>
    </row>
    <row r="134" spans="2:16">
      <c r="B134" s="521" t="s">
        <v>318</v>
      </c>
      <c r="C134" s="522" t="s">
        <v>1053</v>
      </c>
      <c r="D134" s="423" t="s">
        <v>331</v>
      </c>
      <c r="E134" s="521" t="s">
        <v>1054</v>
      </c>
      <c r="F134" s="522">
        <v>201612</v>
      </c>
      <c r="G134" s="523">
        <v>-0.15</v>
      </c>
      <c r="I134" s="111" t="str">
        <f t="shared" si="4"/>
        <v/>
      </c>
      <c r="J134" s="99" t="str">
        <f t="shared" si="5"/>
        <v/>
      </c>
      <c r="K134" s="99" t="s">
        <v>189</v>
      </c>
      <c r="M134" s="112">
        <f t="shared" si="6"/>
        <v>2017</v>
      </c>
    </row>
    <row r="135" spans="2:16" s="559" customFormat="1">
      <c r="B135" s="863" t="s">
        <v>318</v>
      </c>
      <c r="C135" s="864" t="s">
        <v>941</v>
      </c>
      <c r="D135" s="423" t="s">
        <v>330</v>
      </c>
      <c r="E135" s="863" t="s">
        <v>942</v>
      </c>
      <c r="F135" s="864">
        <v>201701</v>
      </c>
      <c r="G135" s="865">
        <v>-3.27</v>
      </c>
      <c r="I135" s="111" t="str">
        <f t="shared" ref="I135:I188" si="7">IF(LEFT(C135,2)="69","Blanket","")</f>
        <v/>
      </c>
      <c r="J135" s="99" t="str">
        <f t="shared" ref="J135:J188" si="8">IF(F135&gt;$J$20,"",IF(F135&gt;=$J$22,"In service",""))</f>
        <v/>
      </c>
      <c r="K135" s="99" t="s">
        <v>189</v>
      </c>
      <c r="M135" s="112">
        <f t="shared" ref="M135:M188" si="9">IF(F135&gt;$M$20,0+2017,0+2016)</f>
        <v>2017</v>
      </c>
      <c r="O135" s="39"/>
      <c r="P135" s="39"/>
    </row>
    <row r="136" spans="2:16" s="559" customFormat="1">
      <c r="B136" s="863" t="s">
        <v>318</v>
      </c>
      <c r="C136" s="864" t="s">
        <v>856</v>
      </c>
      <c r="D136" s="423" t="s">
        <v>330</v>
      </c>
      <c r="E136" s="863" t="s">
        <v>857</v>
      </c>
      <c r="F136" s="864">
        <v>201701</v>
      </c>
      <c r="G136" s="865">
        <v>-395.68</v>
      </c>
      <c r="I136" s="111" t="str">
        <f t="shared" si="7"/>
        <v/>
      </c>
      <c r="J136" s="99" t="str">
        <f t="shared" si="8"/>
        <v/>
      </c>
      <c r="K136" s="99" t="s">
        <v>189</v>
      </c>
      <c r="M136" s="112">
        <f t="shared" si="9"/>
        <v>2017</v>
      </c>
      <c r="O136" s="39"/>
      <c r="P136" s="39"/>
    </row>
    <row r="137" spans="2:16" s="559" customFormat="1">
      <c r="B137" s="863" t="s">
        <v>318</v>
      </c>
      <c r="C137" s="864" t="s">
        <v>800</v>
      </c>
      <c r="D137" s="423" t="s">
        <v>330</v>
      </c>
      <c r="E137" s="863" t="s">
        <v>830</v>
      </c>
      <c r="F137" s="864">
        <v>201701</v>
      </c>
      <c r="G137" s="865">
        <v>-14.45</v>
      </c>
      <c r="I137" s="111" t="str">
        <f t="shared" si="7"/>
        <v/>
      </c>
      <c r="J137" s="99" t="str">
        <f t="shared" si="8"/>
        <v/>
      </c>
      <c r="K137" s="99" t="s">
        <v>189</v>
      </c>
      <c r="M137" s="112">
        <f t="shared" si="9"/>
        <v>2017</v>
      </c>
      <c r="O137" s="39"/>
      <c r="P137" s="39"/>
    </row>
    <row r="138" spans="2:16" s="559" customFormat="1">
      <c r="B138" s="863" t="s">
        <v>318</v>
      </c>
      <c r="C138" s="864" t="s">
        <v>629</v>
      </c>
      <c r="D138" s="423" t="s">
        <v>330</v>
      </c>
      <c r="E138" s="863" t="s">
        <v>630</v>
      </c>
      <c r="F138" s="864">
        <v>201701</v>
      </c>
      <c r="G138" s="865">
        <v>17.899999999999999</v>
      </c>
      <c r="I138" s="111" t="str">
        <f t="shared" si="7"/>
        <v/>
      </c>
      <c r="J138" s="99" t="str">
        <f t="shared" si="8"/>
        <v/>
      </c>
      <c r="K138" s="99" t="s">
        <v>189</v>
      </c>
      <c r="M138" s="112">
        <f t="shared" si="9"/>
        <v>2017</v>
      </c>
      <c r="O138" s="39"/>
      <c r="P138" s="39"/>
    </row>
    <row r="139" spans="2:16" s="559" customFormat="1">
      <c r="B139" s="863" t="s">
        <v>318</v>
      </c>
      <c r="C139" s="864" t="s">
        <v>838</v>
      </c>
      <c r="D139" s="423" t="s">
        <v>330</v>
      </c>
      <c r="E139" s="863" t="s">
        <v>1015</v>
      </c>
      <c r="F139" s="864">
        <v>201701</v>
      </c>
      <c r="G139" s="865">
        <v>0.04</v>
      </c>
      <c r="I139" s="111" t="str">
        <f t="shared" si="7"/>
        <v/>
      </c>
      <c r="J139" s="99" t="str">
        <f t="shared" si="8"/>
        <v/>
      </c>
      <c r="K139" s="99" t="s">
        <v>189</v>
      </c>
      <c r="M139" s="112">
        <f t="shared" si="9"/>
        <v>2017</v>
      </c>
      <c r="O139" s="39"/>
      <c r="P139" s="39"/>
    </row>
    <row r="140" spans="2:16" s="559" customFormat="1">
      <c r="B140" s="863" t="s">
        <v>318</v>
      </c>
      <c r="C140" s="864" t="s">
        <v>801</v>
      </c>
      <c r="D140" s="423" t="s">
        <v>330</v>
      </c>
      <c r="E140" s="863" t="s">
        <v>802</v>
      </c>
      <c r="F140" s="864">
        <v>201701</v>
      </c>
      <c r="G140" s="865">
        <v>0.28000000000000003</v>
      </c>
      <c r="I140" s="111" t="str">
        <f t="shared" si="7"/>
        <v/>
      </c>
      <c r="J140" s="99" t="str">
        <f t="shared" si="8"/>
        <v/>
      </c>
      <c r="K140" s="99" t="s">
        <v>189</v>
      </c>
      <c r="M140" s="112">
        <f t="shared" si="9"/>
        <v>2017</v>
      </c>
      <c r="O140" s="39"/>
      <c r="P140" s="39"/>
    </row>
    <row r="141" spans="2:16" s="559" customFormat="1">
      <c r="B141" s="863" t="s">
        <v>318</v>
      </c>
      <c r="C141" s="864" t="s">
        <v>803</v>
      </c>
      <c r="D141" s="423" t="s">
        <v>330</v>
      </c>
      <c r="E141" s="863" t="s">
        <v>804</v>
      </c>
      <c r="F141" s="864">
        <v>201701</v>
      </c>
      <c r="G141" s="865">
        <v>2.79</v>
      </c>
      <c r="I141" s="111" t="str">
        <f t="shared" si="7"/>
        <v/>
      </c>
      <c r="J141" s="99" t="str">
        <f t="shared" si="8"/>
        <v/>
      </c>
      <c r="K141" s="99" t="s">
        <v>189</v>
      </c>
      <c r="M141" s="112">
        <f t="shared" si="9"/>
        <v>2017</v>
      </c>
      <c r="O141" s="39"/>
      <c r="P141" s="39"/>
    </row>
    <row r="142" spans="2:16" s="559" customFormat="1">
      <c r="B142" s="863" t="s">
        <v>318</v>
      </c>
      <c r="C142" s="864" t="s">
        <v>805</v>
      </c>
      <c r="D142" s="423" t="s">
        <v>330</v>
      </c>
      <c r="E142" s="863" t="s">
        <v>806</v>
      </c>
      <c r="F142" s="864">
        <v>201701</v>
      </c>
      <c r="G142" s="865">
        <v>-0.11</v>
      </c>
      <c r="I142" s="111" t="str">
        <f t="shared" si="7"/>
        <v/>
      </c>
      <c r="J142" s="99" t="str">
        <f t="shared" si="8"/>
        <v/>
      </c>
      <c r="K142" s="99" t="s">
        <v>189</v>
      </c>
      <c r="M142" s="112">
        <f t="shared" si="9"/>
        <v>2017</v>
      </c>
      <c r="O142" s="39"/>
      <c r="P142" s="39"/>
    </row>
    <row r="143" spans="2:16" s="559" customFormat="1">
      <c r="B143" s="863" t="s">
        <v>318</v>
      </c>
      <c r="C143" s="864" t="s">
        <v>1033</v>
      </c>
      <c r="D143" s="423" t="s">
        <v>330</v>
      </c>
      <c r="E143" s="863" t="s">
        <v>1034</v>
      </c>
      <c r="F143" s="864">
        <v>201701</v>
      </c>
      <c r="G143" s="865">
        <v>122.93</v>
      </c>
      <c r="I143" s="111" t="str">
        <f t="shared" si="7"/>
        <v/>
      </c>
      <c r="J143" s="99" t="str">
        <f t="shared" si="8"/>
        <v/>
      </c>
      <c r="K143" s="99" t="s">
        <v>189</v>
      </c>
      <c r="M143" s="112">
        <f t="shared" si="9"/>
        <v>2017</v>
      </c>
      <c r="O143" s="39"/>
      <c r="P143" s="39"/>
    </row>
    <row r="144" spans="2:16" s="559" customFormat="1">
      <c r="B144" s="863" t="s">
        <v>318</v>
      </c>
      <c r="C144" s="864" t="s">
        <v>832</v>
      </c>
      <c r="D144" s="423" t="s">
        <v>330</v>
      </c>
      <c r="E144" s="863" t="s">
        <v>833</v>
      </c>
      <c r="F144" s="864">
        <v>201701</v>
      </c>
      <c r="G144" s="865">
        <v>-19757.349999999999</v>
      </c>
      <c r="I144" s="111" t="str">
        <f t="shared" si="7"/>
        <v/>
      </c>
      <c r="J144" s="99" t="str">
        <f t="shared" si="8"/>
        <v/>
      </c>
      <c r="K144" s="99" t="s">
        <v>189</v>
      </c>
      <c r="M144" s="112">
        <f t="shared" si="9"/>
        <v>2017</v>
      </c>
      <c r="O144" s="39"/>
      <c r="P144" s="39"/>
    </row>
    <row r="145" spans="2:16" s="559" customFormat="1">
      <c r="B145" s="863" t="s">
        <v>318</v>
      </c>
      <c r="C145" s="864" t="s">
        <v>947</v>
      </c>
      <c r="D145" s="423" t="s">
        <v>330</v>
      </c>
      <c r="E145" s="863" t="s">
        <v>948</v>
      </c>
      <c r="F145" s="864">
        <v>201701</v>
      </c>
      <c r="G145" s="865">
        <v>129263.42</v>
      </c>
      <c r="I145" s="111" t="str">
        <f t="shared" si="7"/>
        <v/>
      </c>
      <c r="J145" s="99" t="str">
        <f t="shared" si="8"/>
        <v/>
      </c>
      <c r="K145" s="99" t="s">
        <v>189</v>
      </c>
      <c r="M145" s="112">
        <f t="shared" si="9"/>
        <v>2017</v>
      </c>
      <c r="O145" s="39"/>
      <c r="P145" s="39"/>
    </row>
    <row r="146" spans="2:16" s="559" customFormat="1">
      <c r="B146" s="863" t="s">
        <v>318</v>
      </c>
      <c r="C146" s="864" t="s">
        <v>949</v>
      </c>
      <c r="D146" s="423" t="s">
        <v>330</v>
      </c>
      <c r="E146" s="863" t="s">
        <v>950</v>
      </c>
      <c r="F146" s="864">
        <v>201701</v>
      </c>
      <c r="G146" s="865">
        <v>9015.57</v>
      </c>
      <c r="I146" s="111" t="str">
        <f t="shared" si="7"/>
        <v/>
      </c>
      <c r="J146" s="99" t="str">
        <f t="shared" si="8"/>
        <v/>
      </c>
      <c r="K146" s="99" t="s">
        <v>189</v>
      </c>
      <c r="M146" s="112">
        <f t="shared" si="9"/>
        <v>2017</v>
      </c>
      <c r="O146" s="39"/>
      <c r="P146" s="39"/>
    </row>
    <row r="147" spans="2:16" s="559" customFormat="1">
      <c r="B147" s="863" t="s">
        <v>318</v>
      </c>
      <c r="C147" s="864" t="s">
        <v>951</v>
      </c>
      <c r="D147" s="423" t="s">
        <v>330</v>
      </c>
      <c r="E147" s="863" t="s">
        <v>952</v>
      </c>
      <c r="F147" s="864">
        <v>201701</v>
      </c>
      <c r="G147" s="865">
        <v>55598.76</v>
      </c>
      <c r="I147" s="111" t="str">
        <f t="shared" si="7"/>
        <v/>
      </c>
      <c r="J147" s="99" t="str">
        <f t="shared" si="8"/>
        <v/>
      </c>
      <c r="K147" s="99" t="s">
        <v>189</v>
      </c>
      <c r="M147" s="112">
        <f t="shared" si="9"/>
        <v>2017</v>
      </c>
      <c r="O147" s="39"/>
      <c r="P147" s="39"/>
    </row>
    <row r="148" spans="2:16" s="559" customFormat="1">
      <c r="B148" s="863" t="s">
        <v>318</v>
      </c>
      <c r="C148" s="864" t="s">
        <v>955</v>
      </c>
      <c r="D148" s="423" t="s">
        <v>330</v>
      </c>
      <c r="E148" s="863" t="s">
        <v>956</v>
      </c>
      <c r="F148" s="864">
        <v>201701</v>
      </c>
      <c r="G148" s="865">
        <v>-3271.4</v>
      </c>
      <c r="I148" s="111" t="str">
        <f t="shared" si="7"/>
        <v/>
      </c>
      <c r="J148" s="99" t="str">
        <f t="shared" si="8"/>
        <v/>
      </c>
      <c r="K148" s="99" t="s">
        <v>189</v>
      </c>
      <c r="M148" s="112">
        <f t="shared" si="9"/>
        <v>2017</v>
      </c>
      <c r="O148" s="39"/>
      <c r="P148" s="39"/>
    </row>
    <row r="149" spans="2:16" s="559" customFormat="1">
      <c r="B149" s="863" t="s">
        <v>318</v>
      </c>
      <c r="C149" s="864" t="s">
        <v>893</v>
      </c>
      <c r="D149" s="423" t="s">
        <v>331</v>
      </c>
      <c r="E149" s="863" t="s">
        <v>894</v>
      </c>
      <c r="F149" s="864">
        <v>201701</v>
      </c>
      <c r="G149" s="865">
        <v>11.21</v>
      </c>
      <c r="I149" s="111" t="str">
        <f t="shared" si="7"/>
        <v/>
      </c>
      <c r="J149" s="99" t="str">
        <f t="shared" si="8"/>
        <v/>
      </c>
      <c r="K149" s="99" t="s">
        <v>189</v>
      </c>
      <c r="M149" s="112">
        <f t="shared" si="9"/>
        <v>2017</v>
      </c>
      <c r="O149" s="39"/>
      <c r="P149" s="39"/>
    </row>
    <row r="150" spans="2:16" s="559" customFormat="1">
      <c r="B150" s="863" t="s">
        <v>318</v>
      </c>
      <c r="C150" s="864" t="s">
        <v>963</v>
      </c>
      <c r="D150" s="423" t="s">
        <v>330</v>
      </c>
      <c r="E150" s="863" t="s">
        <v>964</v>
      </c>
      <c r="F150" s="864">
        <v>201701</v>
      </c>
      <c r="G150" s="865">
        <v>19.04</v>
      </c>
      <c r="I150" s="111" t="str">
        <f t="shared" si="7"/>
        <v/>
      </c>
      <c r="J150" s="99" t="str">
        <f t="shared" si="8"/>
        <v/>
      </c>
      <c r="K150" s="99" t="s">
        <v>189</v>
      </c>
      <c r="M150" s="112">
        <f t="shared" si="9"/>
        <v>2017</v>
      </c>
      <c r="O150" s="39"/>
      <c r="P150" s="39"/>
    </row>
    <row r="151" spans="2:16" s="559" customFormat="1">
      <c r="B151" s="863" t="s">
        <v>318</v>
      </c>
      <c r="C151" s="864" t="s">
        <v>844</v>
      </c>
      <c r="D151" s="423" t="s">
        <v>329</v>
      </c>
      <c r="E151" s="863" t="s">
        <v>845</v>
      </c>
      <c r="F151" s="864">
        <v>201701</v>
      </c>
      <c r="G151" s="865">
        <v>1.52</v>
      </c>
      <c r="I151" s="111" t="str">
        <f t="shared" si="7"/>
        <v/>
      </c>
      <c r="J151" s="99" t="str">
        <f t="shared" si="8"/>
        <v/>
      </c>
      <c r="K151" s="99" t="s">
        <v>189</v>
      </c>
      <c r="M151" s="112">
        <f t="shared" si="9"/>
        <v>2017</v>
      </c>
      <c r="O151" s="39"/>
      <c r="P151" s="39"/>
    </row>
    <row r="152" spans="2:16" s="559" customFormat="1">
      <c r="B152" s="863" t="s">
        <v>318</v>
      </c>
      <c r="C152" s="864" t="s">
        <v>682</v>
      </c>
      <c r="D152" s="423" t="s">
        <v>330</v>
      </c>
      <c r="E152" s="863" t="s">
        <v>683</v>
      </c>
      <c r="F152" s="864">
        <v>201701</v>
      </c>
      <c r="G152" s="865">
        <v>3150.15</v>
      </c>
      <c r="I152" s="111" t="str">
        <f t="shared" si="7"/>
        <v/>
      </c>
      <c r="J152" s="99" t="str">
        <f t="shared" si="8"/>
        <v/>
      </c>
      <c r="K152" s="99" t="s">
        <v>189</v>
      </c>
      <c r="M152" s="112">
        <f t="shared" si="9"/>
        <v>2017</v>
      </c>
      <c r="O152" s="39"/>
      <c r="P152" s="39"/>
    </row>
    <row r="153" spans="2:16" s="559" customFormat="1">
      <c r="B153" s="863" t="s">
        <v>318</v>
      </c>
      <c r="C153" s="864" t="s">
        <v>1106</v>
      </c>
      <c r="D153" s="423" t="s">
        <v>330</v>
      </c>
      <c r="E153" s="863" t="s">
        <v>1107</v>
      </c>
      <c r="F153" s="864">
        <v>201701</v>
      </c>
      <c r="G153" s="865">
        <v>2036.16</v>
      </c>
      <c r="I153" s="111" t="str">
        <f t="shared" si="7"/>
        <v/>
      </c>
      <c r="J153" s="99" t="str">
        <f t="shared" si="8"/>
        <v/>
      </c>
      <c r="K153" s="99" t="s">
        <v>189</v>
      </c>
      <c r="M153" s="112">
        <f t="shared" si="9"/>
        <v>2017</v>
      </c>
      <c r="O153" s="39"/>
      <c r="P153" s="39"/>
    </row>
    <row r="154" spans="2:16" s="559" customFormat="1">
      <c r="B154" s="863" t="s">
        <v>318</v>
      </c>
      <c r="C154" s="864" t="s">
        <v>822</v>
      </c>
      <c r="D154" s="423" t="s">
        <v>330</v>
      </c>
      <c r="E154" s="863" t="s">
        <v>823</v>
      </c>
      <c r="F154" s="864">
        <v>201701</v>
      </c>
      <c r="G154" s="865">
        <v>0.51</v>
      </c>
      <c r="I154" s="111" t="str">
        <f t="shared" si="7"/>
        <v/>
      </c>
      <c r="J154" s="99" t="str">
        <f t="shared" si="8"/>
        <v/>
      </c>
      <c r="K154" s="99" t="s">
        <v>189</v>
      </c>
      <c r="M154" s="112">
        <f t="shared" si="9"/>
        <v>2017</v>
      </c>
      <c r="O154" s="39"/>
      <c r="P154" s="39"/>
    </row>
    <row r="155" spans="2:16" s="559" customFormat="1">
      <c r="B155" s="863" t="s">
        <v>318</v>
      </c>
      <c r="C155" s="864" t="s">
        <v>973</v>
      </c>
      <c r="D155" s="423" t="s">
        <v>330</v>
      </c>
      <c r="E155" s="863" t="s">
        <v>974</v>
      </c>
      <c r="F155" s="864">
        <v>201701</v>
      </c>
      <c r="G155" s="865">
        <v>101.71</v>
      </c>
      <c r="I155" s="111" t="str">
        <f t="shared" si="7"/>
        <v/>
      </c>
      <c r="J155" s="99" t="str">
        <f t="shared" si="8"/>
        <v/>
      </c>
      <c r="K155" s="99" t="s">
        <v>189</v>
      </c>
      <c r="M155" s="112">
        <f t="shared" si="9"/>
        <v>2017</v>
      </c>
      <c r="O155" s="39"/>
      <c r="P155" s="39"/>
    </row>
    <row r="156" spans="2:16" s="559" customFormat="1">
      <c r="B156" s="863" t="s">
        <v>318</v>
      </c>
      <c r="C156" s="864" t="s">
        <v>868</v>
      </c>
      <c r="D156" s="423" t="s">
        <v>330</v>
      </c>
      <c r="E156" s="863" t="s">
        <v>869</v>
      </c>
      <c r="F156" s="864">
        <v>201701</v>
      </c>
      <c r="G156" s="865">
        <v>-0.13</v>
      </c>
      <c r="I156" s="111" t="str">
        <f t="shared" si="7"/>
        <v/>
      </c>
      <c r="J156" s="99" t="str">
        <f t="shared" si="8"/>
        <v/>
      </c>
      <c r="K156" s="99" t="s">
        <v>189</v>
      </c>
      <c r="M156" s="112">
        <f t="shared" si="9"/>
        <v>2017</v>
      </c>
      <c r="O156" s="39"/>
      <c r="P156" s="39"/>
    </row>
    <row r="157" spans="2:16" s="559" customFormat="1">
      <c r="B157" s="863" t="s">
        <v>318</v>
      </c>
      <c r="C157" s="864" t="s">
        <v>1108</v>
      </c>
      <c r="D157" s="423" t="s">
        <v>330</v>
      </c>
      <c r="E157" s="863" t="s">
        <v>1109</v>
      </c>
      <c r="F157" s="864">
        <v>201701</v>
      </c>
      <c r="G157" s="865">
        <v>6327.79</v>
      </c>
      <c r="I157" s="111" t="str">
        <f t="shared" si="7"/>
        <v/>
      </c>
      <c r="J157" s="99" t="str">
        <f t="shared" si="8"/>
        <v/>
      </c>
      <c r="K157" s="99" t="s">
        <v>189</v>
      </c>
      <c r="M157" s="112">
        <f t="shared" si="9"/>
        <v>2017</v>
      </c>
      <c r="O157" s="39"/>
      <c r="P157" s="39"/>
    </row>
    <row r="158" spans="2:16" s="559" customFormat="1">
      <c r="B158" s="863" t="s">
        <v>318</v>
      </c>
      <c r="C158" s="864" t="s">
        <v>1069</v>
      </c>
      <c r="D158" s="423" t="s">
        <v>330</v>
      </c>
      <c r="E158" s="863" t="s">
        <v>1105</v>
      </c>
      <c r="F158" s="864">
        <v>201701</v>
      </c>
      <c r="G158" s="865">
        <v>111.56</v>
      </c>
      <c r="I158" s="111" t="str">
        <f t="shared" si="7"/>
        <v/>
      </c>
      <c r="J158" s="99" t="str">
        <f t="shared" si="8"/>
        <v/>
      </c>
      <c r="K158" s="99" t="s">
        <v>189</v>
      </c>
      <c r="M158" s="112">
        <f t="shared" si="9"/>
        <v>2017</v>
      </c>
      <c r="O158" s="39"/>
      <c r="P158" s="39"/>
    </row>
    <row r="159" spans="2:16" s="559" customFormat="1">
      <c r="B159" s="863" t="s">
        <v>318</v>
      </c>
      <c r="C159" s="864" t="s">
        <v>975</v>
      </c>
      <c r="D159" s="423" t="s">
        <v>330</v>
      </c>
      <c r="E159" s="863" t="s">
        <v>976</v>
      </c>
      <c r="F159" s="864">
        <v>201701</v>
      </c>
      <c r="G159" s="865">
        <v>44.87</v>
      </c>
      <c r="I159" s="111" t="str">
        <f t="shared" si="7"/>
        <v/>
      </c>
      <c r="J159" s="99" t="str">
        <f t="shared" si="8"/>
        <v/>
      </c>
      <c r="K159" s="99" t="s">
        <v>189</v>
      </c>
      <c r="M159" s="112">
        <f t="shared" si="9"/>
        <v>2017</v>
      </c>
      <c r="O159" s="39"/>
      <c r="P159" s="39"/>
    </row>
    <row r="160" spans="2:16" s="559" customFormat="1">
      <c r="B160" s="863" t="s">
        <v>318</v>
      </c>
      <c r="C160" s="864" t="s">
        <v>870</v>
      </c>
      <c r="D160" s="423" t="s">
        <v>330</v>
      </c>
      <c r="E160" s="863" t="s">
        <v>871</v>
      </c>
      <c r="F160" s="864">
        <v>201701</v>
      </c>
      <c r="G160" s="865">
        <v>-117.66</v>
      </c>
      <c r="I160" s="111" t="str">
        <f t="shared" si="7"/>
        <v/>
      </c>
      <c r="J160" s="99" t="str">
        <f t="shared" si="8"/>
        <v/>
      </c>
      <c r="K160" s="99" t="s">
        <v>189</v>
      </c>
      <c r="M160" s="112">
        <f t="shared" si="9"/>
        <v>2017</v>
      </c>
      <c r="O160" s="39"/>
      <c r="P160" s="39"/>
    </row>
    <row r="161" spans="2:16" s="559" customFormat="1">
      <c r="B161" s="863" t="s">
        <v>318</v>
      </c>
      <c r="C161" s="864" t="s">
        <v>1039</v>
      </c>
      <c r="D161" s="423" t="s">
        <v>330</v>
      </c>
      <c r="E161" s="863" t="s">
        <v>1040</v>
      </c>
      <c r="F161" s="864">
        <v>201701</v>
      </c>
      <c r="G161" s="865">
        <v>2482.06</v>
      </c>
      <c r="I161" s="111" t="str">
        <f t="shared" si="7"/>
        <v/>
      </c>
      <c r="J161" s="99" t="str">
        <f t="shared" si="8"/>
        <v/>
      </c>
      <c r="K161" s="99" t="s">
        <v>189</v>
      </c>
      <c r="M161" s="112">
        <f t="shared" si="9"/>
        <v>2017</v>
      </c>
      <c r="O161" s="39"/>
      <c r="P161" s="39"/>
    </row>
    <row r="162" spans="2:16" s="559" customFormat="1">
      <c r="B162" s="863" t="s">
        <v>318</v>
      </c>
      <c r="C162" s="864" t="s">
        <v>872</v>
      </c>
      <c r="D162" s="423" t="s">
        <v>330</v>
      </c>
      <c r="E162" s="863" t="s">
        <v>873</v>
      </c>
      <c r="F162" s="864">
        <v>201701</v>
      </c>
      <c r="G162" s="865">
        <v>11.73</v>
      </c>
      <c r="I162" s="111" t="str">
        <f t="shared" si="7"/>
        <v/>
      </c>
      <c r="J162" s="99" t="str">
        <f t="shared" si="8"/>
        <v/>
      </c>
      <c r="K162" s="99" t="s">
        <v>189</v>
      </c>
      <c r="M162" s="112">
        <f t="shared" si="9"/>
        <v>2017</v>
      </c>
      <c r="O162" s="39"/>
      <c r="P162" s="39"/>
    </row>
    <row r="163" spans="2:16" s="559" customFormat="1">
      <c r="B163" s="863" t="s">
        <v>318</v>
      </c>
      <c r="C163" s="864" t="s">
        <v>977</v>
      </c>
      <c r="D163" s="423" t="s">
        <v>330</v>
      </c>
      <c r="E163" s="863" t="s">
        <v>978</v>
      </c>
      <c r="F163" s="864">
        <v>201701</v>
      </c>
      <c r="G163" s="865">
        <v>190.99</v>
      </c>
      <c r="I163" s="111" t="str">
        <f t="shared" si="7"/>
        <v/>
      </c>
      <c r="J163" s="99" t="str">
        <f t="shared" si="8"/>
        <v/>
      </c>
      <c r="K163" s="99" t="s">
        <v>189</v>
      </c>
      <c r="M163" s="112">
        <f t="shared" si="9"/>
        <v>2017</v>
      </c>
      <c r="O163" s="39"/>
      <c r="P163" s="39"/>
    </row>
    <row r="164" spans="2:16" s="559" customFormat="1">
      <c r="B164" s="863" t="s">
        <v>318</v>
      </c>
      <c r="C164" s="864" t="s">
        <v>1041</v>
      </c>
      <c r="D164" s="423" t="s">
        <v>330</v>
      </c>
      <c r="E164" s="863" t="s">
        <v>1042</v>
      </c>
      <c r="F164" s="864">
        <v>201701</v>
      </c>
      <c r="G164" s="865">
        <v>-9.6999999999999993</v>
      </c>
      <c r="I164" s="111" t="str">
        <f t="shared" si="7"/>
        <v/>
      </c>
      <c r="J164" s="99" t="str">
        <f t="shared" si="8"/>
        <v/>
      </c>
      <c r="K164" s="99" t="s">
        <v>189</v>
      </c>
      <c r="M164" s="112">
        <f t="shared" si="9"/>
        <v>2017</v>
      </c>
      <c r="O164" s="39"/>
      <c r="P164" s="39"/>
    </row>
    <row r="165" spans="2:16" s="559" customFormat="1">
      <c r="B165" s="863" t="s">
        <v>318</v>
      </c>
      <c r="C165" s="864" t="s">
        <v>979</v>
      </c>
      <c r="D165" s="423" t="s">
        <v>330</v>
      </c>
      <c r="E165" s="863" t="s">
        <v>980</v>
      </c>
      <c r="F165" s="864">
        <v>201701</v>
      </c>
      <c r="G165" s="865">
        <v>38.75</v>
      </c>
      <c r="I165" s="111" t="str">
        <f t="shared" si="7"/>
        <v/>
      </c>
      <c r="J165" s="99" t="str">
        <f t="shared" si="8"/>
        <v/>
      </c>
      <c r="K165" s="99" t="s">
        <v>189</v>
      </c>
      <c r="M165" s="112">
        <f t="shared" si="9"/>
        <v>2017</v>
      </c>
      <c r="O165" s="39"/>
      <c r="P165" s="39"/>
    </row>
    <row r="166" spans="2:16" s="559" customFormat="1">
      <c r="B166" s="863" t="s">
        <v>318</v>
      </c>
      <c r="C166" s="864" t="s">
        <v>981</v>
      </c>
      <c r="D166" s="423" t="s">
        <v>330</v>
      </c>
      <c r="E166" s="863" t="s">
        <v>1014</v>
      </c>
      <c r="F166" s="864">
        <v>201701</v>
      </c>
      <c r="G166" s="865">
        <v>706.9</v>
      </c>
      <c r="I166" s="111" t="str">
        <f t="shared" si="7"/>
        <v/>
      </c>
      <c r="J166" s="99" t="str">
        <f t="shared" si="8"/>
        <v/>
      </c>
      <c r="K166" s="99" t="s">
        <v>189</v>
      </c>
      <c r="M166" s="112">
        <f t="shared" si="9"/>
        <v>2017</v>
      </c>
      <c r="O166" s="39"/>
      <c r="P166" s="39"/>
    </row>
    <row r="167" spans="2:16" s="559" customFormat="1">
      <c r="B167" s="863" t="s">
        <v>318</v>
      </c>
      <c r="C167" s="864" t="s">
        <v>983</v>
      </c>
      <c r="D167" s="423" t="s">
        <v>330</v>
      </c>
      <c r="E167" s="863" t="s">
        <v>984</v>
      </c>
      <c r="F167" s="864">
        <v>201701</v>
      </c>
      <c r="G167" s="865">
        <v>34.619999999999997</v>
      </c>
      <c r="I167" s="111" t="str">
        <f t="shared" si="7"/>
        <v/>
      </c>
      <c r="J167" s="99" t="str">
        <f t="shared" si="8"/>
        <v/>
      </c>
      <c r="K167" s="99" t="s">
        <v>189</v>
      </c>
      <c r="M167" s="112">
        <f t="shared" si="9"/>
        <v>2017</v>
      </c>
      <c r="O167" s="39"/>
      <c r="P167" s="39"/>
    </row>
    <row r="168" spans="2:16" s="559" customFormat="1">
      <c r="B168" s="863" t="s">
        <v>318</v>
      </c>
      <c r="C168" s="864" t="s">
        <v>1043</v>
      </c>
      <c r="D168" s="423" t="s">
        <v>330</v>
      </c>
      <c r="E168" s="863" t="s">
        <v>1044</v>
      </c>
      <c r="F168" s="864">
        <v>201701</v>
      </c>
      <c r="G168" s="865">
        <v>-0.8</v>
      </c>
      <c r="I168" s="111" t="str">
        <f t="shared" si="7"/>
        <v/>
      </c>
      <c r="J168" s="99" t="str">
        <f t="shared" si="8"/>
        <v/>
      </c>
      <c r="K168" s="99" t="s">
        <v>189</v>
      </c>
      <c r="M168" s="112">
        <f t="shared" si="9"/>
        <v>2017</v>
      </c>
      <c r="O168" s="39"/>
      <c r="P168" s="39"/>
    </row>
    <row r="169" spans="2:16" s="559" customFormat="1">
      <c r="B169" s="863" t="s">
        <v>318</v>
      </c>
      <c r="C169" s="864" t="s">
        <v>876</v>
      </c>
      <c r="D169" s="423" t="s">
        <v>330</v>
      </c>
      <c r="E169" s="863" t="s">
        <v>877</v>
      </c>
      <c r="F169" s="864">
        <v>201701</v>
      </c>
      <c r="G169" s="865">
        <v>-0.88</v>
      </c>
      <c r="I169" s="111" t="str">
        <f t="shared" si="7"/>
        <v/>
      </c>
      <c r="J169" s="99" t="str">
        <f t="shared" si="8"/>
        <v/>
      </c>
      <c r="K169" s="99" t="s">
        <v>189</v>
      </c>
      <c r="M169" s="112">
        <f t="shared" si="9"/>
        <v>2017</v>
      </c>
      <c r="O169" s="39"/>
      <c r="P169" s="39"/>
    </row>
    <row r="170" spans="2:16" s="559" customFormat="1">
      <c r="B170" s="863" t="s">
        <v>318</v>
      </c>
      <c r="C170" s="864" t="s">
        <v>1045</v>
      </c>
      <c r="D170" s="423" t="s">
        <v>330</v>
      </c>
      <c r="E170" s="863" t="s">
        <v>1046</v>
      </c>
      <c r="F170" s="864">
        <v>201701</v>
      </c>
      <c r="G170" s="865">
        <v>-2.31</v>
      </c>
      <c r="I170" s="111" t="str">
        <f t="shared" si="7"/>
        <v/>
      </c>
      <c r="J170" s="99" t="str">
        <f t="shared" si="8"/>
        <v/>
      </c>
      <c r="K170" s="99" t="s">
        <v>189</v>
      </c>
      <c r="M170" s="112">
        <f t="shared" si="9"/>
        <v>2017</v>
      </c>
      <c r="O170" s="39"/>
      <c r="P170" s="39"/>
    </row>
    <row r="171" spans="2:16" s="559" customFormat="1">
      <c r="B171" s="863" t="s">
        <v>318</v>
      </c>
      <c r="C171" s="864" t="s">
        <v>878</v>
      </c>
      <c r="D171" s="423" t="s">
        <v>330</v>
      </c>
      <c r="E171" s="863" t="s">
        <v>879</v>
      </c>
      <c r="F171" s="864">
        <v>201701</v>
      </c>
      <c r="G171" s="865">
        <v>-10311.15</v>
      </c>
      <c r="I171" s="111" t="str">
        <f t="shared" si="7"/>
        <v/>
      </c>
      <c r="J171" s="99" t="str">
        <f t="shared" si="8"/>
        <v/>
      </c>
      <c r="K171" s="99" t="s">
        <v>189</v>
      </c>
      <c r="M171" s="112">
        <f t="shared" si="9"/>
        <v>2017</v>
      </c>
      <c r="O171" s="39"/>
      <c r="P171" s="39"/>
    </row>
    <row r="172" spans="2:16" s="559" customFormat="1">
      <c r="B172" s="863" t="s">
        <v>318</v>
      </c>
      <c r="C172" s="864" t="s">
        <v>987</v>
      </c>
      <c r="D172" s="423" t="s">
        <v>330</v>
      </c>
      <c r="E172" s="863" t="s">
        <v>988</v>
      </c>
      <c r="F172" s="864">
        <v>201701</v>
      </c>
      <c r="G172" s="865">
        <v>-926.04</v>
      </c>
      <c r="I172" s="111" t="str">
        <f t="shared" si="7"/>
        <v/>
      </c>
      <c r="J172" s="99" t="str">
        <f t="shared" si="8"/>
        <v/>
      </c>
      <c r="K172" s="99" t="s">
        <v>189</v>
      </c>
      <c r="M172" s="112">
        <f t="shared" si="9"/>
        <v>2017</v>
      </c>
      <c r="O172" s="39"/>
      <c r="P172" s="39"/>
    </row>
    <row r="173" spans="2:16" s="559" customFormat="1">
      <c r="B173" s="863" t="s">
        <v>318</v>
      </c>
      <c r="C173" s="864" t="s">
        <v>989</v>
      </c>
      <c r="D173" s="423" t="s">
        <v>330</v>
      </c>
      <c r="E173" s="863" t="s">
        <v>990</v>
      </c>
      <c r="F173" s="864">
        <v>201701</v>
      </c>
      <c r="G173" s="865">
        <v>0.63</v>
      </c>
      <c r="I173" s="111" t="str">
        <f t="shared" si="7"/>
        <v/>
      </c>
      <c r="J173" s="99" t="str">
        <f t="shared" si="8"/>
        <v/>
      </c>
      <c r="K173" s="99" t="s">
        <v>189</v>
      </c>
      <c r="M173" s="112">
        <f t="shared" si="9"/>
        <v>2017</v>
      </c>
      <c r="O173" s="39"/>
      <c r="P173" s="39"/>
    </row>
    <row r="174" spans="2:16" s="559" customFormat="1">
      <c r="B174" s="863" t="s">
        <v>318</v>
      </c>
      <c r="C174" s="864" t="s">
        <v>880</v>
      </c>
      <c r="D174" s="423" t="s">
        <v>330</v>
      </c>
      <c r="E174" s="863" t="s">
        <v>881</v>
      </c>
      <c r="F174" s="864">
        <v>201701</v>
      </c>
      <c r="G174" s="865">
        <v>-11.58</v>
      </c>
      <c r="I174" s="111" t="str">
        <f t="shared" si="7"/>
        <v/>
      </c>
      <c r="J174" s="99" t="str">
        <f t="shared" si="8"/>
        <v/>
      </c>
      <c r="K174" s="99" t="s">
        <v>189</v>
      </c>
      <c r="M174" s="112">
        <f t="shared" si="9"/>
        <v>2017</v>
      </c>
      <c r="O174" s="39"/>
      <c r="P174" s="39"/>
    </row>
    <row r="175" spans="2:16" s="559" customFormat="1">
      <c r="B175" s="863" t="s">
        <v>318</v>
      </c>
      <c r="C175" s="864" t="s">
        <v>993</v>
      </c>
      <c r="D175" s="423" t="s">
        <v>330</v>
      </c>
      <c r="E175" s="863" t="s">
        <v>994</v>
      </c>
      <c r="F175" s="864">
        <v>201701</v>
      </c>
      <c r="G175" s="865">
        <v>8.32</v>
      </c>
      <c r="I175" s="111" t="str">
        <f t="shared" si="7"/>
        <v/>
      </c>
      <c r="J175" s="99" t="str">
        <f t="shared" si="8"/>
        <v/>
      </c>
      <c r="K175" s="99" t="s">
        <v>189</v>
      </c>
      <c r="M175" s="112">
        <f t="shared" si="9"/>
        <v>2017</v>
      </c>
      <c r="O175" s="39"/>
      <c r="P175" s="39"/>
    </row>
    <row r="176" spans="2:16" s="559" customFormat="1">
      <c r="B176" s="863" t="s">
        <v>318</v>
      </c>
      <c r="C176" s="864" t="s">
        <v>996</v>
      </c>
      <c r="D176" s="423" t="s">
        <v>330</v>
      </c>
      <c r="E176" s="863" t="s">
        <v>997</v>
      </c>
      <c r="F176" s="864">
        <v>201701</v>
      </c>
      <c r="G176" s="865">
        <v>234.41</v>
      </c>
      <c r="I176" s="111" t="str">
        <f t="shared" si="7"/>
        <v/>
      </c>
      <c r="J176" s="99" t="str">
        <f t="shared" si="8"/>
        <v/>
      </c>
      <c r="K176" s="99" t="s">
        <v>189</v>
      </c>
      <c r="M176" s="112">
        <f t="shared" si="9"/>
        <v>2017</v>
      </c>
      <c r="O176" s="39"/>
      <c r="P176" s="39"/>
    </row>
    <row r="177" spans="2:16" s="559" customFormat="1">
      <c r="B177" s="863" t="s">
        <v>318</v>
      </c>
      <c r="C177" s="864" t="s">
        <v>1110</v>
      </c>
      <c r="D177" s="423" t="s">
        <v>330</v>
      </c>
      <c r="E177" s="863" t="s">
        <v>1111</v>
      </c>
      <c r="F177" s="864">
        <v>201701</v>
      </c>
      <c r="G177" s="865">
        <v>923.17</v>
      </c>
      <c r="I177" s="111" t="str">
        <f t="shared" si="7"/>
        <v/>
      </c>
      <c r="J177" s="99" t="str">
        <f t="shared" si="8"/>
        <v/>
      </c>
      <c r="K177" s="99" t="s">
        <v>189</v>
      </c>
      <c r="M177" s="112">
        <f t="shared" si="9"/>
        <v>2017</v>
      </c>
      <c r="O177" s="39"/>
      <c r="P177" s="39"/>
    </row>
    <row r="178" spans="2:16" s="559" customFormat="1">
      <c r="B178" s="863" t="s">
        <v>318</v>
      </c>
      <c r="C178" s="864" t="s">
        <v>1112</v>
      </c>
      <c r="D178" s="423" t="s">
        <v>330</v>
      </c>
      <c r="E178" s="863" t="s">
        <v>1113</v>
      </c>
      <c r="F178" s="864">
        <v>201701</v>
      </c>
      <c r="G178" s="865">
        <v>74.77</v>
      </c>
      <c r="I178" s="111" t="str">
        <f t="shared" si="7"/>
        <v/>
      </c>
      <c r="J178" s="99" t="str">
        <f t="shared" si="8"/>
        <v/>
      </c>
      <c r="K178" s="99" t="s">
        <v>189</v>
      </c>
      <c r="M178" s="112">
        <f t="shared" si="9"/>
        <v>2017</v>
      </c>
      <c r="O178" s="39"/>
      <c r="P178" s="39"/>
    </row>
    <row r="179" spans="2:16" s="559" customFormat="1">
      <c r="B179" s="863" t="s">
        <v>318</v>
      </c>
      <c r="C179" s="864" t="s">
        <v>1114</v>
      </c>
      <c r="D179" s="423" t="s">
        <v>330</v>
      </c>
      <c r="E179" s="863" t="s">
        <v>1115</v>
      </c>
      <c r="F179" s="864">
        <v>201701</v>
      </c>
      <c r="G179" s="865">
        <v>39.51</v>
      </c>
      <c r="I179" s="111" t="str">
        <f t="shared" si="7"/>
        <v/>
      </c>
      <c r="J179" s="99" t="str">
        <f t="shared" si="8"/>
        <v/>
      </c>
      <c r="K179" s="99" t="s">
        <v>189</v>
      </c>
      <c r="M179" s="112">
        <f t="shared" si="9"/>
        <v>2017</v>
      </c>
      <c r="O179" s="39"/>
      <c r="P179" s="39"/>
    </row>
    <row r="180" spans="2:16" s="559" customFormat="1">
      <c r="B180" s="863" t="s">
        <v>318</v>
      </c>
      <c r="C180" s="864" t="s">
        <v>1000</v>
      </c>
      <c r="D180" s="423" t="s">
        <v>343</v>
      </c>
      <c r="E180" s="863" t="s">
        <v>1001</v>
      </c>
      <c r="F180" s="864">
        <v>201701</v>
      </c>
      <c r="G180" s="865">
        <v>0.04</v>
      </c>
      <c r="I180" s="111" t="str">
        <f t="shared" si="7"/>
        <v/>
      </c>
      <c r="J180" s="99" t="str">
        <f t="shared" si="8"/>
        <v/>
      </c>
      <c r="K180" s="99" t="s">
        <v>189</v>
      </c>
      <c r="M180" s="112">
        <f t="shared" si="9"/>
        <v>2017</v>
      </c>
      <c r="O180" s="39"/>
      <c r="P180" s="39"/>
    </row>
    <row r="181" spans="2:16" s="559" customFormat="1">
      <c r="B181" s="863" t="s">
        <v>318</v>
      </c>
      <c r="C181" s="864" t="s">
        <v>1116</v>
      </c>
      <c r="D181" s="423" t="s">
        <v>330</v>
      </c>
      <c r="E181" s="863" t="s">
        <v>1117</v>
      </c>
      <c r="F181" s="864">
        <v>201701</v>
      </c>
      <c r="G181" s="865">
        <v>369.35</v>
      </c>
      <c r="I181" s="111" t="str">
        <f t="shared" si="7"/>
        <v/>
      </c>
      <c r="J181" s="99" t="str">
        <f t="shared" si="8"/>
        <v/>
      </c>
      <c r="K181" s="99" t="s">
        <v>189</v>
      </c>
      <c r="M181" s="112">
        <f t="shared" si="9"/>
        <v>2017</v>
      </c>
      <c r="O181" s="39"/>
      <c r="P181" s="39"/>
    </row>
    <row r="182" spans="2:16" s="559" customFormat="1">
      <c r="B182" s="863" t="s">
        <v>318</v>
      </c>
      <c r="C182" s="864" t="s">
        <v>1075</v>
      </c>
      <c r="D182" s="423" t="s">
        <v>331</v>
      </c>
      <c r="E182" s="863" t="s">
        <v>1076</v>
      </c>
      <c r="F182" s="864">
        <v>201701</v>
      </c>
      <c r="G182" s="865">
        <v>2031.99</v>
      </c>
      <c r="I182" s="111" t="str">
        <f t="shared" si="7"/>
        <v/>
      </c>
      <c r="J182" s="99" t="str">
        <f t="shared" si="8"/>
        <v/>
      </c>
      <c r="K182" s="99" t="s">
        <v>189</v>
      </c>
      <c r="M182" s="112">
        <f t="shared" si="9"/>
        <v>2017</v>
      </c>
      <c r="O182" s="39"/>
      <c r="P182" s="39"/>
    </row>
    <row r="183" spans="2:16" s="559" customFormat="1">
      <c r="B183" s="863" t="s">
        <v>318</v>
      </c>
      <c r="C183" s="864" t="s">
        <v>1049</v>
      </c>
      <c r="D183" s="423" t="s">
        <v>330</v>
      </c>
      <c r="E183" s="863" t="s">
        <v>1050</v>
      </c>
      <c r="F183" s="864">
        <v>201701</v>
      </c>
      <c r="G183" s="865">
        <v>34.29</v>
      </c>
      <c r="I183" s="111" t="str">
        <f t="shared" si="7"/>
        <v/>
      </c>
      <c r="J183" s="99" t="str">
        <f t="shared" si="8"/>
        <v/>
      </c>
      <c r="K183" s="99" t="s">
        <v>189</v>
      </c>
      <c r="M183" s="112">
        <f t="shared" si="9"/>
        <v>2017</v>
      </c>
      <c r="O183" s="39"/>
      <c r="P183" s="39"/>
    </row>
    <row r="184" spans="2:16" s="559" customFormat="1">
      <c r="B184" s="863" t="s">
        <v>318</v>
      </c>
      <c r="C184" s="864" t="s">
        <v>1077</v>
      </c>
      <c r="D184" s="423" t="s">
        <v>330</v>
      </c>
      <c r="E184" s="863" t="s">
        <v>1078</v>
      </c>
      <c r="F184" s="864">
        <v>201701</v>
      </c>
      <c r="G184" s="865">
        <v>371.2</v>
      </c>
      <c r="I184" s="111" t="str">
        <f t="shared" si="7"/>
        <v/>
      </c>
      <c r="J184" s="99" t="str">
        <f t="shared" si="8"/>
        <v/>
      </c>
      <c r="K184" s="99" t="s">
        <v>189</v>
      </c>
      <c r="M184" s="112">
        <f t="shared" si="9"/>
        <v>2017</v>
      </c>
      <c r="O184" s="39"/>
      <c r="P184" s="39"/>
    </row>
    <row r="185" spans="2:16" s="559" customFormat="1">
      <c r="B185" s="863" t="s">
        <v>318</v>
      </c>
      <c r="C185" s="864" t="s">
        <v>1079</v>
      </c>
      <c r="D185" s="423" t="s">
        <v>330</v>
      </c>
      <c r="E185" s="863" t="s">
        <v>1080</v>
      </c>
      <c r="F185" s="864">
        <v>201701</v>
      </c>
      <c r="G185" s="865">
        <v>1698.84</v>
      </c>
      <c r="I185" s="111" t="str">
        <f t="shared" si="7"/>
        <v/>
      </c>
      <c r="J185" s="99" t="str">
        <f t="shared" si="8"/>
        <v/>
      </c>
      <c r="K185" s="99" t="s">
        <v>189</v>
      </c>
      <c r="M185" s="112">
        <f t="shared" si="9"/>
        <v>2017</v>
      </c>
      <c r="O185" s="39"/>
      <c r="P185" s="39"/>
    </row>
    <row r="186" spans="2:16" s="559" customFormat="1">
      <c r="B186" s="863" t="s">
        <v>318</v>
      </c>
      <c r="C186" s="864" t="s">
        <v>1118</v>
      </c>
      <c r="D186" s="423" t="s">
        <v>330</v>
      </c>
      <c r="E186" s="863" t="s">
        <v>1119</v>
      </c>
      <c r="F186" s="864">
        <v>201701</v>
      </c>
      <c r="G186" s="865">
        <v>3025.82</v>
      </c>
      <c r="I186" s="111" t="str">
        <f t="shared" si="7"/>
        <v/>
      </c>
      <c r="J186" s="99" t="str">
        <f t="shared" si="8"/>
        <v/>
      </c>
      <c r="K186" s="99" t="s">
        <v>189</v>
      </c>
      <c r="M186" s="112">
        <f t="shared" si="9"/>
        <v>2017</v>
      </c>
      <c r="O186" s="39"/>
      <c r="P186" s="39"/>
    </row>
    <row r="187" spans="2:16" s="559" customFormat="1">
      <c r="B187" s="863" t="s">
        <v>318</v>
      </c>
      <c r="C187" s="864" t="s">
        <v>1053</v>
      </c>
      <c r="D187" s="423" t="s">
        <v>331</v>
      </c>
      <c r="E187" s="863" t="s">
        <v>1054</v>
      </c>
      <c r="F187" s="864">
        <v>201701</v>
      </c>
      <c r="G187" s="865">
        <v>-0.08</v>
      </c>
      <c r="I187" s="111" t="str">
        <f t="shared" si="7"/>
        <v/>
      </c>
      <c r="J187" s="99" t="str">
        <f t="shared" si="8"/>
        <v/>
      </c>
      <c r="K187" s="99" t="s">
        <v>189</v>
      </c>
      <c r="M187" s="112">
        <f t="shared" si="9"/>
        <v>2017</v>
      </c>
      <c r="O187" s="39"/>
      <c r="P187" s="39"/>
    </row>
    <row r="188" spans="2:16" s="559" customFormat="1">
      <c r="B188" s="863" t="s">
        <v>318</v>
      </c>
      <c r="C188" s="864" t="s">
        <v>1142</v>
      </c>
      <c r="D188" s="423" t="s">
        <v>331</v>
      </c>
      <c r="E188" s="863" t="s">
        <v>1143</v>
      </c>
      <c r="F188" s="864">
        <v>201701</v>
      </c>
      <c r="G188" s="865">
        <v>3262.84</v>
      </c>
      <c r="I188" s="111" t="str">
        <f t="shared" si="7"/>
        <v/>
      </c>
      <c r="J188" s="99" t="str">
        <f t="shared" si="8"/>
        <v/>
      </c>
      <c r="K188" s="99" t="s">
        <v>189</v>
      </c>
      <c r="M188" s="112">
        <f t="shared" si="9"/>
        <v>2017</v>
      </c>
      <c r="O188" s="39"/>
      <c r="P188" s="39"/>
    </row>
    <row r="189" spans="2:16" s="559" customFormat="1">
      <c r="B189" s="863" t="s">
        <v>318</v>
      </c>
      <c r="C189" s="864" t="s">
        <v>1140</v>
      </c>
      <c r="D189" s="423" t="s">
        <v>330</v>
      </c>
      <c r="E189" s="863" t="s">
        <v>1141</v>
      </c>
      <c r="F189" s="864">
        <v>201701</v>
      </c>
      <c r="G189" s="865">
        <v>7854.51</v>
      </c>
      <c r="I189" s="111" t="str">
        <f t="shared" ref="I189" si="10">IF(LEFT(C189,2)="69","Blanket","")</f>
        <v/>
      </c>
      <c r="J189" s="99" t="str">
        <f t="shared" ref="J189" si="11">IF(F189&gt;$J$20,"",IF(F189&gt;=$J$22,"In service",""))</f>
        <v/>
      </c>
      <c r="K189" s="99" t="s">
        <v>189</v>
      </c>
      <c r="M189" s="112">
        <f t="shared" ref="M189" si="12">IF(F189&gt;$M$20,0+2017,0+2016)</f>
        <v>2017</v>
      </c>
      <c r="O189" s="39"/>
      <c r="P189" s="39"/>
    </row>
    <row r="190" spans="2:16" s="559" customFormat="1" ht="15">
      <c r="B190" s="521"/>
      <c r="C190" s="424"/>
      <c r="D190" s="490"/>
      <c r="E190" s="745"/>
      <c r="F190" s="522"/>
      <c r="G190" s="746"/>
      <c r="I190" s="111"/>
      <c r="J190" s="99"/>
      <c r="K190" s="99"/>
      <c r="M190" s="112">
        <f t="shared" ref="M190:M192" si="13">IF(F190&gt;$M$20,0+2017,0+2016)</f>
        <v>2016</v>
      </c>
      <c r="O190" s="39"/>
      <c r="P190" s="39"/>
    </row>
    <row r="191" spans="2:16" s="559" customFormat="1" ht="15">
      <c r="B191" s="521"/>
      <c r="C191" s="424"/>
      <c r="D191" s="490"/>
      <c r="E191" s="766" t="s">
        <v>103</v>
      </c>
      <c r="F191" s="435">
        <v>201701</v>
      </c>
      <c r="G191" s="767">
        <f>+Additions!F636</f>
        <v>0</v>
      </c>
      <c r="I191" s="111"/>
      <c r="J191" s="99"/>
      <c r="K191" s="99" t="s">
        <v>189</v>
      </c>
      <c r="M191" s="112">
        <f t="shared" si="13"/>
        <v>2017</v>
      </c>
      <c r="O191" s="39"/>
      <c r="P191" s="39"/>
    </row>
    <row r="192" spans="2:16" ht="15">
      <c r="B192" s="332"/>
      <c r="C192" s="333"/>
      <c r="D192" s="257"/>
      <c r="E192" s="426" t="s">
        <v>103</v>
      </c>
      <c r="F192" s="435">
        <v>201702</v>
      </c>
      <c r="G192" s="767">
        <f>+Additions!F637</f>
        <v>1250000</v>
      </c>
      <c r="I192" s="111"/>
      <c r="J192" s="99"/>
      <c r="K192" s="99" t="s">
        <v>189</v>
      </c>
      <c r="M192" s="112">
        <f t="shared" si="13"/>
        <v>2017</v>
      </c>
    </row>
    <row r="193" spans="2:16">
      <c r="I193" s="111"/>
      <c r="J193" s="99"/>
      <c r="K193" s="99"/>
      <c r="M193" s="112"/>
    </row>
    <row r="194" spans="2:16">
      <c r="B194" s="113"/>
      <c r="C194" s="267"/>
      <c r="D194" s="267"/>
      <c r="E194" s="267"/>
      <c r="F194" s="100"/>
      <c r="G194" s="115">
        <v>0</v>
      </c>
      <c r="I194" s="116"/>
      <c r="J194" s="117"/>
      <c r="K194" s="117"/>
    </row>
    <row r="195" spans="2:16" ht="13.5" thickBot="1">
      <c r="C195" s="118"/>
      <c r="F195" s="119"/>
      <c r="G195" s="120">
        <f>SUM(G25:G194)</f>
        <v>2304437.9800000004</v>
      </c>
      <c r="I195" s="121"/>
      <c r="J195" s="100"/>
      <c r="K195" s="100"/>
    </row>
    <row r="196" spans="2:16" ht="13.5" thickTop="1">
      <c r="B196" s="103"/>
      <c r="C196" s="267"/>
      <c r="D196" s="267"/>
      <c r="E196" s="121"/>
      <c r="F196" s="100"/>
      <c r="G196" s="115"/>
      <c r="I196" s="121"/>
      <c r="J196" s="100"/>
      <c r="K196" s="100"/>
    </row>
    <row r="197" spans="2:16">
      <c r="B197" s="88" t="s">
        <v>432</v>
      </c>
      <c r="C197" s="102"/>
      <c r="D197" s="102"/>
      <c r="F197" s="122"/>
      <c r="G197" s="123"/>
      <c r="I197" s="121"/>
      <c r="J197" s="100"/>
      <c r="K197" s="100"/>
    </row>
    <row r="198" spans="2:16">
      <c r="B198" s="102"/>
      <c r="C198" s="102"/>
      <c r="D198" s="102"/>
      <c r="F198" s="122"/>
      <c r="G198" s="123"/>
      <c r="I198" s="121"/>
      <c r="J198" s="100"/>
      <c r="K198" s="100"/>
    </row>
    <row r="199" spans="2:16">
      <c r="B199" s="81" t="s">
        <v>86</v>
      </c>
      <c r="C199" s="81" t="s">
        <v>87</v>
      </c>
      <c r="D199" s="81" t="s">
        <v>88</v>
      </c>
      <c r="E199" s="81"/>
      <c r="F199" s="89" t="s">
        <v>89</v>
      </c>
      <c r="G199" s="90" t="s">
        <v>90</v>
      </c>
      <c r="I199" s="121"/>
      <c r="J199" s="100"/>
      <c r="K199" s="100"/>
    </row>
    <row r="200" spans="2:16">
      <c r="B200" s="86" t="s">
        <v>94</v>
      </c>
      <c r="C200" s="86" t="s">
        <v>95</v>
      </c>
      <c r="D200" s="86" t="s">
        <v>96</v>
      </c>
      <c r="E200" s="86" t="s">
        <v>97</v>
      </c>
      <c r="F200" s="91" t="s">
        <v>98</v>
      </c>
      <c r="G200" s="92" t="s">
        <v>99</v>
      </c>
      <c r="I200" s="124"/>
      <c r="J200" s="125"/>
      <c r="K200" s="125"/>
      <c r="M200" s="124"/>
    </row>
    <row r="201" spans="2:16">
      <c r="B201" s="521" t="s">
        <v>332</v>
      </c>
      <c r="C201" s="522" t="s">
        <v>333</v>
      </c>
      <c r="D201" s="423" t="s">
        <v>334</v>
      </c>
      <c r="E201" s="521" t="s">
        <v>335</v>
      </c>
      <c r="F201" s="522">
        <v>201611</v>
      </c>
      <c r="G201" s="523">
        <v>97763.71</v>
      </c>
      <c r="I201" s="111" t="str">
        <f t="shared" ref="I201:I203" si="14">IF(LEFT(C201,2)="69","Blanket","")</f>
        <v>Blanket</v>
      </c>
      <c r="J201" s="99" t="str">
        <f t="shared" ref="J201:J203" si="15">IF(F201&gt;$J$20,"",IF(F201&gt;=$J$22,"In service",""))</f>
        <v/>
      </c>
      <c r="K201" s="99" t="s">
        <v>189</v>
      </c>
      <c r="M201" s="112">
        <f t="shared" ref="M201:M215" si="16">IF(F201&gt;$M$20,0+2017,0+2016)</f>
        <v>2017</v>
      </c>
    </row>
    <row r="202" spans="2:16" ht="15">
      <c r="B202" s="521" t="s">
        <v>332</v>
      </c>
      <c r="C202" s="522" t="s">
        <v>336</v>
      </c>
      <c r="D202" s="424" t="s">
        <v>334</v>
      </c>
      <c r="E202" s="521" t="s">
        <v>337</v>
      </c>
      <c r="F202" s="522">
        <v>201611</v>
      </c>
      <c r="G202" s="523">
        <v>4140.63</v>
      </c>
      <c r="I202" s="111" t="str">
        <f t="shared" si="14"/>
        <v>Blanket</v>
      </c>
      <c r="J202" s="99" t="str">
        <f t="shared" si="15"/>
        <v/>
      </c>
      <c r="K202" s="99" t="s">
        <v>189</v>
      </c>
      <c r="M202" s="112">
        <f t="shared" si="16"/>
        <v>2017</v>
      </c>
    </row>
    <row r="203" spans="2:16" ht="15">
      <c r="B203" s="521" t="s">
        <v>332</v>
      </c>
      <c r="C203" s="522" t="s">
        <v>333</v>
      </c>
      <c r="D203" s="424" t="s">
        <v>334</v>
      </c>
      <c r="E203" s="521" t="s">
        <v>335</v>
      </c>
      <c r="F203" s="522">
        <v>201612</v>
      </c>
      <c r="G203" s="523">
        <v>132102.07</v>
      </c>
      <c r="I203" s="111" t="str">
        <f t="shared" si="14"/>
        <v>Blanket</v>
      </c>
      <c r="J203" s="99" t="str">
        <f t="shared" si="15"/>
        <v/>
      </c>
      <c r="K203" s="99" t="s">
        <v>189</v>
      </c>
      <c r="M203" s="112">
        <f t="shared" si="16"/>
        <v>2017</v>
      </c>
    </row>
    <row r="204" spans="2:16" s="34" customFormat="1" ht="15">
      <c r="B204" s="481" t="s">
        <v>332</v>
      </c>
      <c r="C204" s="428" t="s">
        <v>333</v>
      </c>
      <c r="D204" s="587" t="s">
        <v>334</v>
      </c>
      <c r="E204" s="747" t="s">
        <v>335</v>
      </c>
      <c r="F204" s="485">
        <v>201701</v>
      </c>
      <c r="G204" s="748">
        <v>63467.78</v>
      </c>
      <c r="I204" s="111" t="str">
        <f t="shared" ref="I204" si="17">IF(LEFT(C204,2)="69","Blanket","")</f>
        <v>Blanket</v>
      </c>
      <c r="J204" s="99" t="str">
        <f t="shared" ref="J204" si="18">IF(F204&gt;$J$20,"",IF(F204&gt;=$J$22,"In service",""))</f>
        <v/>
      </c>
      <c r="K204" s="99" t="s">
        <v>189</v>
      </c>
      <c r="L204" s="559"/>
      <c r="M204" s="112">
        <f t="shared" ref="M204" si="19">IF(F204&gt;$M$20,0+2017,0+2016)</f>
        <v>2017</v>
      </c>
      <c r="O204" s="39"/>
      <c r="P204" s="39"/>
    </row>
    <row r="205" spans="2:16" s="857" customFormat="1" ht="15">
      <c r="B205" s="854"/>
      <c r="C205" s="428"/>
      <c r="D205" s="856"/>
      <c r="E205" s="747"/>
      <c r="F205" s="858"/>
      <c r="G205" s="748"/>
      <c r="I205" s="111"/>
      <c r="J205" s="99"/>
      <c r="K205" s="99"/>
      <c r="L205" s="559"/>
      <c r="M205" s="112"/>
      <c r="O205" s="39"/>
      <c r="P205" s="39"/>
    </row>
    <row r="206" spans="2:16" s="857" customFormat="1" ht="15">
      <c r="B206" s="854"/>
      <c r="C206" s="428"/>
      <c r="D206" s="856"/>
      <c r="E206" s="747"/>
      <c r="F206" s="858"/>
      <c r="G206" s="748"/>
      <c r="I206" s="111"/>
      <c r="J206" s="99"/>
      <c r="K206" s="99"/>
      <c r="L206" s="559"/>
      <c r="M206" s="112"/>
      <c r="O206" s="39"/>
      <c r="P206" s="39"/>
    </row>
    <row r="207" spans="2:16" s="857" customFormat="1" ht="15">
      <c r="B207" s="854"/>
      <c r="C207" s="428"/>
      <c r="D207" s="856"/>
      <c r="E207" s="747"/>
      <c r="F207" s="858"/>
      <c r="G207" s="748"/>
      <c r="I207" s="111"/>
      <c r="J207" s="99"/>
      <c r="K207" s="99"/>
      <c r="L207" s="559"/>
      <c r="M207" s="112"/>
      <c r="O207" s="39"/>
      <c r="P207" s="39"/>
    </row>
    <row r="208" spans="2:16" s="34" customFormat="1" ht="15">
      <c r="B208" s="481"/>
      <c r="C208" s="428"/>
      <c r="D208" s="587"/>
      <c r="E208" s="766" t="s">
        <v>341</v>
      </c>
      <c r="F208" s="435">
        <v>201701</v>
      </c>
      <c r="G208" s="767">
        <f>+Additions!F650</f>
        <v>0</v>
      </c>
      <c r="I208" s="111" t="str">
        <f t="shared" ref="I208:I209" si="20">IF(LEFT(C208,2)="69","Blanket","")</f>
        <v/>
      </c>
      <c r="J208" s="99" t="str">
        <f t="shared" ref="J208:J209" si="21">IF(F208&gt;$J$20,"",IF(F208&gt;=$J$22,"In service",""))</f>
        <v/>
      </c>
      <c r="K208" s="99" t="s">
        <v>189</v>
      </c>
      <c r="M208" s="112">
        <f t="shared" si="16"/>
        <v>2017</v>
      </c>
      <c r="O208" s="39"/>
      <c r="P208" s="39"/>
    </row>
    <row r="209" spans="2:16" s="34" customFormat="1" ht="15">
      <c r="B209" s="481"/>
      <c r="C209" s="485"/>
      <c r="D209" s="428"/>
      <c r="E209" s="426" t="s">
        <v>341</v>
      </c>
      <c r="F209" s="435">
        <v>201702</v>
      </c>
      <c r="G209" s="767">
        <f>+Additions!F651</f>
        <v>150000</v>
      </c>
      <c r="I209" s="111" t="str">
        <f t="shared" si="20"/>
        <v/>
      </c>
      <c r="J209" s="99" t="str">
        <f t="shared" si="21"/>
        <v/>
      </c>
      <c r="K209" s="99" t="s">
        <v>189</v>
      </c>
      <c r="M209" s="112">
        <f t="shared" si="16"/>
        <v>2017</v>
      </c>
      <c r="O209" s="39"/>
      <c r="P209" s="39"/>
    </row>
    <row r="210" spans="2:16" s="34" customFormat="1">
      <c r="B210" s="481"/>
      <c r="C210" s="587"/>
      <c r="D210" s="485"/>
      <c r="E210" s="588"/>
      <c r="F210" s="485"/>
      <c r="G210" s="482"/>
      <c r="I210" s="755"/>
      <c r="J210" s="756"/>
      <c r="K210" s="756"/>
      <c r="M210" s="112">
        <f t="shared" si="16"/>
        <v>2016</v>
      </c>
      <c r="O210" s="39"/>
      <c r="P210" s="39"/>
    </row>
    <row r="211" spans="2:16" s="559" customFormat="1">
      <c r="B211" s="521" t="s">
        <v>322</v>
      </c>
      <c r="C211" s="522" t="s">
        <v>338</v>
      </c>
      <c r="D211" s="522" t="s">
        <v>339</v>
      </c>
      <c r="E211" s="521" t="s">
        <v>340</v>
      </c>
      <c r="F211" s="522">
        <v>201701</v>
      </c>
      <c r="G211" s="523">
        <v>2212.1999999999998</v>
      </c>
      <c r="I211" s="111" t="str">
        <f t="shared" ref="I211:I212" si="22">IF(LEFT(C211,2)="69","Blanket","")</f>
        <v>Blanket</v>
      </c>
      <c r="J211" s="99" t="str">
        <f t="shared" ref="J211:J212" si="23">IF(F211&gt;$J$20,"",IF(F211&gt;=$J$22,"In service",""))</f>
        <v/>
      </c>
      <c r="K211" s="99" t="s">
        <v>189</v>
      </c>
      <c r="M211" s="112">
        <f t="shared" ref="M211:M212" si="24">IF(F211&gt;$M$20,0+2017,0+2016)</f>
        <v>2017</v>
      </c>
      <c r="O211" s="39"/>
      <c r="P211" s="39"/>
    </row>
    <row r="212" spans="2:16" s="559" customFormat="1">
      <c r="B212" s="521"/>
      <c r="C212" s="522"/>
      <c r="D212" s="522"/>
      <c r="E212" s="521"/>
      <c r="F212" s="522"/>
      <c r="G212" s="523"/>
      <c r="I212" s="111" t="str">
        <f t="shared" si="22"/>
        <v/>
      </c>
      <c r="J212" s="99" t="str">
        <f t="shared" si="23"/>
        <v/>
      </c>
      <c r="K212" s="99" t="s">
        <v>189</v>
      </c>
      <c r="M212" s="112">
        <f t="shared" si="24"/>
        <v>2016</v>
      </c>
      <c r="O212" s="39"/>
      <c r="P212" s="39"/>
    </row>
    <row r="213" spans="2:16" s="559" customFormat="1">
      <c r="B213" s="521"/>
      <c r="C213" s="522"/>
      <c r="D213" s="522"/>
      <c r="E213" s="521"/>
      <c r="F213" s="522"/>
      <c r="G213" s="523"/>
      <c r="I213" s="111"/>
      <c r="J213" s="99"/>
      <c r="K213" s="99"/>
      <c r="M213" s="112"/>
      <c r="O213" s="39"/>
      <c r="P213" s="39"/>
    </row>
    <row r="214" spans="2:16">
      <c r="B214" s="492"/>
      <c r="C214" s="495"/>
      <c r="D214" s="460"/>
      <c r="E214" s="479"/>
      <c r="F214" s="460"/>
      <c r="G214" s="493"/>
      <c r="I214" s="111"/>
      <c r="J214" s="99"/>
      <c r="K214" s="99"/>
      <c r="L214" s="559"/>
      <c r="M214" s="112">
        <f t="shared" si="16"/>
        <v>2016</v>
      </c>
    </row>
    <row r="215" spans="2:16">
      <c r="B215" s="492"/>
      <c r="C215" s="495"/>
      <c r="D215" s="460"/>
      <c r="E215" s="479"/>
      <c r="F215" s="460"/>
      <c r="G215" s="493"/>
      <c r="I215" s="111"/>
      <c r="J215" s="99"/>
      <c r="K215" s="99"/>
      <c r="L215" s="559"/>
      <c r="M215" s="112">
        <f t="shared" si="16"/>
        <v>2016</v>
      </c>
    </row>
    <row r="216" spans="2:16">
      <c r="B216" s="267"/>
      <c r="C216" s="267"/>
      <c r="D216" s="267"/>
      <c r="E216" s="121"/>
      <c r="F216" s="128"/>
      <c r="G216" s="129"/>
      <c r="I216" s="121"/>
      <c r="J216" s="100"/>
      <c r="K216" s="100"/>
      <c r="L216" s="121"/>
      <c r="M216" s="128"/>
    </row>
    <row r="217" spans="2:16">
      <c r="B217" s="267"/>
      <c r="C217" s="267"/>
      <c r="D217" s="267"/>
      <c r="E217" s="267"/>
      <c r="F217" s="100"/>
      <c r="G217" s="129"/>
      <c r="I217" s="121"/>
      <c r="J217" s="100"/>
      <c r="K217" s="100"/>
    </row>
    <row r="218" spans="2:16" ht="13.5" thickBot="1">
      <c r="B218" s="102"/>
      <c r="C218" s="102"/>
      <c r="D218" s="102"/>
      <c r="E218" s="102"/>
      <c r="F218" s="94" t="s">
        <v>107</v>
      </c>
      <c r="G218" s="130">
        <f>SUM(G201:G217)</f>
        <v>449686.39000000007</v>
      </c>
      <c r="I218" s="121"/>
      <c r="J218" s="100"/>
      <c r="K218" s="100"/>
    </row>
    <row r="219" spans="2:16" ht="13.5" thickTop="1">
      <c r="B219" s="102"/>
      <c r="C219" s="102"/>
      <c r="D219" s="102"/>
      <c r="F219" s="94"/>
      <c r="G219" s="103"/>
      <c r="I219" s="121"/>
      <c r="J219" s="100"/>
      <c r="K219" s="100"/>
    </row>
    <row r="220" spans="2:16">
      <c r="B220" s="102"/>
      <c r="C220" s="102"/>
      <c r="D220" s="102"/>
      <c r="F220" s="94"/>
      <c r="G220" s="103"/>
      <c r="I220" s="121"/>
      <c r="J220" s="100"/>
      <c r="K220" s="100"/>
    </row>
    <row r="221" spans="2:16">
      <c r="B221" s="102"/>
      <c r="C221" s="102"/>
      <c r="D221" s="102"/>
      <c r="E221" s="102"/>
      <c r="F221" s="94"/>
      <c r="G221" s="103"/>
      <c r="I221" s="121"/>
      <c r="J221" s="100"/>
      <c r="K221" s="100"/>
    </row>
    <row r="222" spans="2:16">
      <c r="B222" s="102"/>
      <c r="C222" s="102"/>
      <c r="D222" s="102"/>
      <c r="F222" s="94"/>
      <c r="G222" s="103"/>
      <c r="I222" s="121"/>
      <c r="J222" s="100"/>
      <c r="K222" s="100"/>
    </row>
    <row r="223" spans="2:16" ht="13.5" thickBot="1">
      <c r="B223" s="95" t="s">
        <v>108</v>
      </c>
      <c r="C223" s="102"/>
      <c r="D223" s="102"/>
      <c r="F223" s="94"/>
      <c r="G223" s="130">
        <f>+G195+G218</f>
        <v>2754124.3700000006</v>
      </c>
      <c r="I223" s="121"/>
      <c r="J223" s="100"/>
      <c r="K223" s="100"/>
    </row>
    <row r="224" spans="2:16" ht="13.5" thickTop="1">
      <c r="B224" s="102"/>
      <c r="C224" s="102"/>
      <c r="D224" s="102"/>
      <c r="F224" s="94"/>
      <c r="G224" s="103"/>
      <c r="I224" s="121"/>
      <c r="J224" s="100"/>
      <c r="K224" s="100"/>
    </row>
    <row r="225" spans="2:13">
      <c r="B225" s="95" t="s">
        <v>109</v>
      </c>
      <c r="C225" s="102"/>
      <c r="D225" s="102"/>
      <c r="F225" s="94"/>
      <c r="G225" s="103"/>
      <c r="I225" s="121"/>
      <c r="J225" s="100"/>
      <c r="K225" s="100"/>
    </row>
    <row r="226" spans="2:13">
      <c r="B226" s="102"/>
      <c r="C226" s="102"/>
      <c r="D226" s="102"/>
      <c r="F226" s="94"/>
      <c r="G226" s="103"/>
      <c r="I226" s="121"/>
      <c r="J226" s="100"/>
      <c r="K226" s="100"/>
    </row>
    <row r="227" spans="2:13">
      <c r="B227" s="88"/>
      <c r="C227" s="102"/>
      <c r="D227" s="102"/>
      <c r="F227" s="122"/>
      <c r="G227" s="123"/>
      <c r="I227" s="121"/>
      <c r="J227" s="100"/>
      <c r="K227" s="100"/>
    </row>
    <row r="228" spans="2:13">
      <c r="B228" s="102"/>
      <c r="C228" s="102"/>
      <c r="D228" s="102"/>
      <c r="F228" s="122"/>
      <c r="G228" s="123"/>
      <c r="I228" s="121"/>
      <c r="J228" s="100"/>
      <c r="K228" s="100"/>
    </row>
    <row r="229" spans="2:13">
      <c r="B229" s="81" t="s">
        <v>86</v>
      </c>
      <c r="C229" s="81" t="s">
        <v>87</v>
      </c>
      <c r="D229" s="81" t="s">
        <v>88</v>
      </c>
      <c r="E229" s="81"/>
      <c r="F229" s="89" t="s">
        <v>89</v>
      </c>
      <c r="G229" s="90" t="s">
        <v>90</v>
      </c>
      <c r="I229" s="121"/>
      <c r="J229" s="100"/>
      <c r="K229" s="100"/>
    </row>
    <row r="230" spans="2:13">
      <c r="B230" s="86" t="s">
        <v>94</v>
      </c>
      <c r="C230" s="96" t="s">
        <v>95</v>
      </c>
      <c r="D230" s="96" t="s">
        <v>96</v>
      </c>
      <c r="E230" s="96" t="s">
        <v>97</v>
      </c>
      <c r="F230" s="97" t="s">
        <v>98</v>
      </c>
      <c r="G230" s="98" t="s">
        <v>99</v>
      </c>
      <c r="I230" s="124"/>
      <c r="J230" s="125"/>
      <c r="K230" s="125"/>
      <c r="M230" s="124"/>
    </row>
    <row r="231" spans="2:13">
      <c r="B231" s="521" t="s">
        <v>405</v>
      </c>
      <c r="C231" s="522" t="s">
        <v>548</v>
      </c>
      <c r="D231" s="522"/>
      <c r="E231" s="521" t="s">
        <v>549</v>
      </c>
      <c r="F231" s="522">
        <v>201611</v>
      </c>
      <c r="G231" s="523">
        <v>-732.84</v>
      </c>
      <c r="I231" s="126" t="str">
        <f t="shared" ref="I231" si="25">IF(LEFT(C231,2)="69","Blanket","")</f>
        <v>Blanket</v>
      </c>
      <c r="J231" s="93" t="str">
        <f t="shared" ref="J231" si="26">IF(F231&gt;$J$20,"",IF(F231&gt;=$J$22,"In service",""))</f>
        <v/>
      </c>
      <c r="K231" s="99" t="s">
        <v>189</v>
      </c>
      <c r="L231" s="127"/>
      <c r="M231" s="112">
        <f t="shared" ref="M231:M313" si="27">IF(F231&gt;$M$20,0+2017,0+2016)</f>
        <v>2017</v>
      </c>
    </row>
    <row r="232" spans="2:13">
      <c r="B232" s="399" t="s">
        <v>405</v>
      </c>
      <c r="C232" s="522" t="s">
        <v>397</v>
      </c>
      <c r="D232" s="522"/>
      <c r="E232" s="399" t="s">
        <v>398</v>
      </c>
      <c r="F232" s="522">
        <v>201611</v>
      </c>
      <c r="G232" s="431">
        <v>36833.01</v>
      </c>
      <c r="I232" s="126" t="str">
        <f t="shared" ref="I232:I372" si="28">IF(LEFT(C232,2)="69","Blanket","")</f>
        <v>Blanket</v>
      </c>
      <c r="J232" s="93" t="str">
        <f t="shared" ref="J232:J372" si="29">IF(F232&gt;$J$20,"",IF(F232&gt;=$J$22,"In service",""))</f>
        <v/>
      </c>
      <c r="K232" s="99" t="s">
        <v>189</v>
      </c>
      <c r="L232" s="127"/>
      <c r="M232" s="112">
        <f t="shared" si="27"/>
        <v>2017</v>
      </c>
    </row>
    <row r="233" spans="2:13">
      <c r="B233" s="521" t="s">
        <v>405</v>
      </c>
      <c r="C233" s="522" t="s">
        <v>401</v>
      </c>
      <c r="D233" s="522"/>
      <c r="E233" s="399" t="s">
        <v>402</v>
      </c>
      <c r="F233" s="522">
        <v>201611</v>
      </c>
      <c r="G233" s="431">
        <v>3003.12</v>
      </c>
      <c r="I233" s="126" t="str">
        <f t="shared" si="28"/>
        <v>Blanket</v>
      </c>
      <c r="J233" s="93" t="str">
        <f t="shared" si="29"/>
        <v/>
      </c>
      <c r="K233" s="99" t="s">
        <v>189</v>
      </c>
      <c r="L233" s="127"/>
      <c r="M233" s="112">
        <f t="shared" si="27"/>
        <v>2017</v>
      </c>
    </row>
    <row r="234" spans="2:13">
      <c r="B234" s="521" t="s">
        <v>405</v>
      </c>
      <c r="C234" s="522" t="s">
        <v>403</v>
      </c>
      <c r="D234" s="522"/>
      <c r="E234" s="521" t="s">
        <v>404</v>
      </c>
      <c r="F234" s="522">
        <v>201611</v>
      </c>
      <c r="G234" s="523">
        <v>9061.08</v>
      </c>
      <c r="I234" s="126" t="str">
        <f t="shared" si="28"/>
        <v>Blanket</v>
      </c>
      <c r="J234" s="93" t="str">
        <f t="shared" si="29"/>
        <v/>
      </c>
      <c r="K234" s="99" t="s">
        <v>189</v>
      </c>
      <c r="L234" s="127"/>
      <c r="M234" s="112">
        <f t="shared" si="27"/>
        <v>2017</v>
      </c>
    </row>
    <row r="235" spans="2:13">
      <c r="B235" s="521" t="s">
        <v>405</v>
      </c>
      <c r="C235" s="522" t="s">
        <v>951</v>
      </c>
      <c r="D235" s="522"/>
      <c r="E235" s="521" t="s">
        <v>952</v>
      </c>
      <c r="F235" s="522">
        <v>201611</v>
      </c>
      <c r="G235" s="523">
        <v>-68.84</v>
      </c>
      <c r="I235" s="126" t="str">
        <f t="shared" si="28"/>
        <v/>
      </c>
      <c r="J235" s="93" t="str">
        <f t="shared" si="29"/>
        <v/>
      </c>
      <c r="K235" s="99" t="s">
        <v>189</v>
      </c>
      <c r="L235" s="127"/>
      <c r="M235" s="112">
        <f t="shared" si="27"/>
        <v>2017</v>
      </c>
    </row>
    <row r="236" spans="2:13">
      <c r="B236" s="521" t="s">
        <v>405</v>
      </c>
      <c r="C236" s="522" t="s">
        <v>1106</v>
      </c>
      <c r="D236" s="522"/>
      <c r="E236" s="521" t="s">
        <v>1107</v>
      </c>
      <c r="F236" s="522">
        <v>201612</v>
      </c>
      <c r="G236" s="523">
        <v>11004.77</v>
      </c>
      <c r="I236" s="126" t="str">
        <f t="shared" si="28"/>
        <v/>
      </c>
      <c r="J236" s="93" t="str">
        <f t="shared" si="29"/>
        <v/>
      </c>
      <c r="K236" s="99" t="s">
        <v>189</v>
      </c>
      <c r="L236" s="127"/>
      <c r="M236" s="112">
        <f t="shared" si="27"/>
        <v>2017</v>
      </c>
    </row>
    <row r="237" spans="2:13">
      <c r="B237" s="521" t="s">
        <v>405</v>
      </c>
      <c r="C237" s="522" t="s">
        <v>401</v>
      </c>
      <c r="D237" s="522"/>
      <c r="E237" s="521" t="s">
        <v>402</v>
      </c>
      <c r="F237" s="522">
        <v>201612</v>
      </c>
      <c r="G237" s="523">
        <v>1109.4000000000001</v>
      </c>
      <c r="I237" s="126" t="str">
        <f t="shared" si="28"/>
        <v>Blanket</v>
      </c>
      <c r="J237" s="93" t="str">
        <f t="shared" si="29"/>
        <v/>
      </c>
      <c r="K237" s="99" t="s">
        <v>189</v>
      </c>
      <c r="L237" s="127"/>
      <c r="M237" s="112">
        <f t="shared" si="27"/>
        <v>2017</v>
      </c>
    </row>
    <row r="238" spans="2:13">
      <c r="B238" s="521" t="s">
        <v>405</v>
      </c>
      <c r="C238" s="522" t="s">
        <v>403</v>
      </c>
      <c r="D238" s="522"/>
      <c r="E238" s="399" t="s">
        <v>404</v>
      </c>
      <c r="F238" s="522">
        <v>201612</v>
      </c>
      <c r="G238" s="431">
        <v>7594.28</v>
      </c>
      <c r="I238" s="126" t="str">
        <f t="shared" si="28"/>
        <v>Blanket</v>
      </c>
      <c r="J238" s="93" t="str">
        <f t="shared" si="29"/>
        <v/>
      </c>
      <c r="K238" s="99" t="s">
        <v>189</v>
      </c>
      <c r="L238" s="127"/>
      <c r="M238" s="112">
        <f t="shared" si="27"/>
        <v>2017</v>
      </c>
    </row>
    <row r="239" spans="2:13">
      <c r="B239" s="521" t="s">
        <v>405</v>
      </c>
      <c r="C239" s="522" t="s">
        <v>548</v>
      </c>
      <c r="D239" s="522"/>
      <c r="E239" s="521" t="s">
        <v>549</v>
      </c>
      <c r="F239" s="522">
        <v>201612</v>
      </c>
      <c r="G239" s="523">
        <v>601.65</v>
      </c>
      <c r="I239" s="126" t="str">
        <f t="shared" si="28"/>
        <v>Blanket</v>
      </c>
      <c r="J239" s="93" t="str">
        <f t="shared" si="29"/>
        <v/>
      </c>
      <c r="K239" s="99" t="s">
        <v>189</v>
      </c>
      <c r="L239" s="127"/>
      <c r="M239" s="112">
        <f t="shared" si="27"/>
        <v>2017</v>
      </c>
    </row>
    <row r="240" spans="2:13">
      <c r="B240" s="521" t="s">
        <v>405</v>
      </c>
      <c r="C240" s="522" t="s">
        <v>397</v>
      </c>
      <c r="D240" s="522"/>
      <c r="E240" s="521" t="s">
        <v>398</v>
      </c>
      <c r="F240" s="522">
        <v>201612</v>
      </c>
      <c r="G240" s="523">
        <v>11043.42</v>
      </c>
      <c r="I240" s="126" t="str">
        <f t="shared" si="28"/>
        <v>Blanket</v>
      </c>
      <c r="J240" s="93" t="str">
        <f t="shared" si="29"/>
        <v/>
      </c>
      <c r="K240" s="99" t="s">
        <v>189</v>
      </c>
      <c r="L240" s="127"/>
      <c r="M240" s="112">
        <f t="shared" si="27"/>
        <v>2017</v>
      </c>
    </row>
    <row r="241" spans="2:16">
      <c r="B241" s="521" t="s">
        <v>405</v>
      </c>
      <c r="C241" s="522" t="s">
        <v>951</v>
      </c>
      <c r="D241" s="522"/>
      <c r="E241" s="399" t="s">
        <v>952</v>
      </c>
      <c r="F241" s="522">
        <v>201612</v>
      </c>
      <c r="G241" s="431">
        <v>-28.29</v>
      </c>
      <c r="I241" s="126" t="str">
        <f t="shared" si="28"/>
        <v/>
      </c>
      <c r="J241" s="93" t="str">
        <f t="shared" si="29"/>
        <v/>
      </c>
      <c r="K241" s="99" t="s">
        <v>189</v>
      </c>
      <c r="L241" s="127"/>
      <c r="M241" s="112">
        <f t="shared" si="27"/>
        <v>2017</v>
      </c>
    </row>
    <row r="242" spans="2:16" s="559" customFormat="1">
      <c r="B242" s="863" t="s">
        <v>405</v>
      </c>
      <c r="C242" s="864" t="s">
        <v>397</v>
      </c>
      <c r="D242" s="864"/>
      <c r="E242" s="839" t="s">
        <v>398</v>
      </c>
      <c r="F242" s="864">
        <v>201701</v>
      </c>
      <c r="G242" s="431">
        <v>13663.72</v>
      </c>
      <c r="I242" s="590" t="str">
        <f t="shared" ref="I242:I248" si="30">IF(LEFT(C242,2)="69","Blanket","")</f>
        <v>Blanket</v>
      </c>
      <c r="J242" s="93" t="str">
        <f t="shared" ref="J242:J248" si="31">IF(F242&gt;$J$20,"",IF(F242&gt;=$J$22,"In service",""))</f>
        <v/>
      </c>
      <c r="K242" s="99" t="s">
        <v>189</v>
      </c>
      <c r="L242" s="591"/>
      <c r="M242" s="112">
        <f t="shared" ref="M242:M248" si="32">IF(F242&gt;$M$20,0+2017,0+2016)</f>
        <v>2017</v>
      </c>
      <c r="O242" s="39"/>
      <c r="P242" s="39"/>
    </row>
    <row r="243" spans="2:16" s="559" customFormat="1">
      <c r="B243" s="863" t="s">
        <v>405</v>
      </c>
      <c r="C243" s="864" t="s">
        <v>406</v>
      </c>
      <c r="D243" s="864"/>
      <c r="E243" s="839" t="s">
        <v>407</v>
      </c>
      <c r="F243" s="864">
        <v>201701</v>
      </c>
      <c r="G243" s="431">
        <v>213.7</v>
      </c>
      <c r="I243" s="590" t="str">
        <f t="shared" si="30"/>
        <v>Blanket</v>
      </c>
      <c r="J243" s="93" t="str">
        <f t="shared" si="31"/>
        <v/>
      </c>
      <c r="K243" s="99" t="s">
        <v>189</v>
      </c>
      <c r="L243" s="591"/>
      <c r="M243" s="112">
        <f t="shared" si="32"/>
        <v>2017</v>
      </c>
      <c r="O243" s="39"/>
      <c r="P243" s="39"/>
    </row>
    <row r="244" spans="2:16" s="559" customFormat="1">
      <c r="B244" s="863" t="s">
        <v>405</v>
      </c>
      <c r="C244" s="864" t="s">
        <v>548</v>
      </c>
      <c r="D244" s="864"/>
      <c r="E244" s="839" t="s">
        <v>549</v>
      </c>
      <c r="F244" s="864">
        <v>201701</v>
      </c>
      <c r="G244" s="431">
        <v>-153.30000000000001</v>
      </c>
      <c r="I244" s="590" t="str">
        <f t="shared" si="30"/>
        <v>Blanket</v>
      </c>
      <c r="J244" s="93" t="str">
        <f t="shared" si="31"/>
        <v/>
      </c>
      <c r="K244" s="99" t="s">
        <v>189</v>
      </c>
      <c r="L244" s="591"/>
      <c r="M244" s="112">
        <f t="shared" si="32"/>
        <v>2017</v>
      </c>
      <c r="O244" s="39"/>
      <c r="P244" s="39"/>
    </row>
    <row r="245" spans="2:16" s="559" customFormat="1">
      <c r="B245" s="863" t="s">
        <v>405</v>
      </c>
      <c r="C245" s="864" t="s">
        <v>401</v>
      </c>
      <c r="D245" s="864"/>
      <c r="E245" s="839" t="s">
        <v>402</v>
      </c>
      <c r="F245" s="864">
        <v>201701</v>
      </c>
      <c r="G245" s="431">
        <v>2073.13</v>
      </c>
      <c r="I245" s="590" t="str">
        <f t="shared" si="30"/>
        <v>Blanket</v>
      </c>
      <c r="J245" s="93" t="str">
        <f t="shared" si="31"/>
        <v/>
      </c>
      <c r="K245" s="99" t="s">
        <v>189</v>
      </c>
      <c r="L245" s="591"/>
      <c r="M245" s="112">
        <f t="shared" si="32"/>
        <v>2017</v>
      </c>
      <c r="O245" s="39"/>
      <c r="P245" s="39"/>
    </row>
    <row r="246" spans="2:16" s="559" customFormat="1">
      <c r="B246" s="863" t="s">
        <v>405</v>
      </c>
      <c r="C246" s="864" t="s">
        <v>403</v>
      </c>
      <c r="D246" s="864"/>
      <c r="E246" s="839" t="s">
        <v>404</v>
      </c>
      <c r="F246" s="864">
        <v>201701</v>
      </c>
      <c r="G246" s="431">
        <v>7143.2</v>
      </c>
      <c r="I246" s="590" t="str">
        <f t="shared" si="30"/>
        <v>Blanket</v>
      </c>
      <c r="J246" s="93" t="str">
        <f t="shared" si="31"/>
        <v/>
      </c>
      <c r="K246" s="99" t="s">
        <v>189</v>
      </c>
      <c r="L246" s="591"/>
      <c r="M246" s="112">
        <f t="shared" si="32"/>
        <v>2017</v>
      </c>
      <c r="O246" s="39"/>
      <c r="P246" s="39"/>
    </row>
    <row r="247" spans="2:16" s="559" customFormat="1">
      <c r="B247" s="863" t="s">
        <v>405</v>
      </c>
      <c r="C247" s="864" t="s">
        <v>951</v>
      </c>
      <c r="D247" s="864"/>
      <c r="E247" s="839" t="s">
        <v>952</v>
      </c>
      <c r="F247" s="864">
        <v>201701</v>
      </c>
      <c r="G247" s="431">
        <v>-36133.08</v>
      </c>
      <c r="I247" s="590" t="str">
        <f t="shared" si="30"/>
        <v/>
      </c>
      <c r="J247" s="93" t="str">
        <f t="shared" si="31"/>
        <v/>
      </c>
      <c r="K247" s="99" t="s">
        <v>189</v>
      </c>
      <c r="L247" s="591"/>
      <c r="M247" s="112">
        <f t="shared" si="32"/>
        <v>2017</v>
      </c>
      <c r="O247" s="39"/>
      <c r="P247" s="39"/>
    </row>
    <row r="248" spans="2:16" s="559" customFormat="1">
      <c r="B248" s="863" t="s">
        <v>405</v>
      </c>
      <c r="C248" s="864" t="s">
        <v>1106</v>
      </c>
      <c r="D248" s="864"/>
      <c r="E248" s="839" t="s">
        <v>1107</v>
      </c>
      <c r="F248" s="864">
        <v>201701</v>
      </c>
      <c r="G248" s="431">
        <v>386.69</v>
      </c>
      <c r="I248" s="590" t="str">
        <f t="shared" si="30"/>
        <v/>
      </c>
      <c r="J248" s="93" t="str">
        <f t="shared" si="31"/>
        <v/>
      </c>
      <c r="K248" s="99" t="s">
        <v>189</v>
      </c>
      <c r="L248" s="591"/>
      <c r="M248" s="112">
        <f t="shared" si="32"/>
        <v>2017</v>
      </c>
      <c r="O248" s="39"/>
      <c r="P248" s="39"/>
    </row>
    <row r="249" spans="2:16" s="559" customFormat="1">
      <c r="B249" s="863"/>
      <c r="C249" s="864"/>
      <c r="D249" s="864"/>
      <c r="E249" s="839"/>
      <c r="F249" s="864"/>
      <c r="G249" s="431"/>
      <c r="I249" s="590"/>
      <c r="J249" s="93"/>
      <c r="K249" s="99"/>
      <c r="L249" s="591"/>
      <c r="M249" s="112"/>
      <c r="O249" s="39"/>
      <c r="P249" s="39"/>
    </row>
    <row r="250" spans="2:16">
      <c r="B250" s="521"/>
      <c r="C250" s="522"/>
      <c r="D250" s="522"/>
      <c r="E250" s="521"/>
      <c r="F250" s="522"/>
      <c r="G250" s="523"/>
      <c r="I250" s="126" t="str">
        <f t="shared" si="28"/>
        <v/>
      </c>
      <c r="J250" s="93" t="str">
        <f t="shared" si="29"/>
        <v/>
      </c>
      <c r="K250" s="99" t="s">
        <v>189</v>
      </c>
      <c r="L250" s="127"/>
      <c r="M250" s="112">
        <f t="shared" si="27"/>
        <v>2016</v>
      </c>
    </row>
    <row r="251" spans="2:16">
      <c r="B251" s="521" t="s">
        <v>346</v>
      </c>
      <c r="C251" s="522" t="s">
        <v>880</v>
      </c>
      <c r="D251" s="522"/>
      <c r="E251" s="521" t="s">
        <v>881</v>
      </c>
      <c r="F251" s="522">
        <v>201611</v>
      </c>
      <c r="G251" s="523">
        <v>-101474.25</v>
      </c>
      <c r="I251" s="126" t="str">
        <f t="shared" si="28"/>
        <v/>
      </c>
      <c r="J251" s="93" t="str">
        <f t="shared" si="29"/>
        <v/>
      </c>
      <c r="K251" s="99" t="s">
        <v>189</v>
      </c>
      <c r="L251" s="127"/>
      <c r="M251" s="112">
        <f t="shared" si="27"/>
        <v>2017</v>
      </c>
    </row>
    <row r="252" spans="2:16">
      <c r="B252" s="399" t="s">
        <v>346</v>
      </c>
      <c r="C252" s="522" t="s">
        <v>979</v>
      </c>
      <c r="D252" s="522"/>
      <c r="E252" s="399" t="s">
        <v>980</v>
      </c>
      <c r="F252" s="522">
        <v>201611</v>
      </c>
      <c r="G252" s="431">
        <v>27.42</v>
      </c>
      <c r="I252" s="126" t="str">
        <f t="shared" si="28"/>
        <v/>
      </c>
      <c r="J252" s="93" t="str">
        <f t="shared" si="29"/>
        <v/>
      </c>
      <c r="K252" s="99" t="s">
        <v>189</v>
      </c>
      <c r="L252" s="127"/>
      <c r="M252" s="112">
        <f t="shared" si="27"/>
        <v>2017</v>
      </c>
    </row>
    <row r="253" spans="2:16">
      <c r="B253" s="521" t="s">
        <v>346</v>
      </c>
      <c r="C253" s="522" t="s">
        <v>973</v>
      </c>
      <c r="D253" s="522"/>
      <c r="E253" s="399" t="s">
        <v>974</v>
      </c>
      <c r="F253" s="522">
        <v>201611</v>
      </c>
      <c r="G253" s="431">
        <v>-1.88</v>
      </c>
      <c r="I253" s="126" t="str">
        <f t="shared" si="28"/>
        <v/>
      </c>
      <c r="J253" s="93" t="str">
        <f t="shared" si="29"/>
        <v/>
      </c>
      <c r="K253" s="99" t="s">
        <v>189</v>
      </c>
      <c r="L253" s="127"/>
      <c r="M253" s="112">
        <f t="shared" si="27"/>
        <v>2017</v>
      </c>
    </row>
    <row r="254" spans="2:16">
      <c r="B254" s="521" t="s">
        <v>346</v>
      </c>
      <c r="C254" s="522" t="s">
        <v>1057</v>
      </c>
      <c r="D254" s="522"/>
      <c r="E254" s="521" t="s">
        <v>1058</v>
      </c>
      <c r="F254" s="522">
        <v>201611</v>
      </c>
      <c r="G254" s="523">
        <v>540.54</v>
      </c>
      <c r="I254" s="126" t="str">
        <f t="shared" si="28"/>
        <v/>
      </c>
      <c r="J254" s="93" t="str">
        <f t="shared" si="29"/>
        <v/>
      </c>
      <c r="K254" s="99" t="s">
        <v>189</v>
      </c>
      <c r="L254" s="127"/>
      <c r="M254" s="112">
        <f t="shared" si="27"/>
        <v>2017</v>
      </c>
    </row>
    <row r="255" spans="2:16">
      <c r="B255" s="472" t="s">
        <v>346</v>
      </c>
      <c r="C255" s="490" t="s">
        <v>1077</v>
      </c>
      <c r="D255" s="490"/>
      <c r="E255" s="472" t="s">
        <v>1078</v>
      </c>
      <c r="F255" s="490">
        <v>201611</v>
      </c>
      <c r="G255" s="474">
        <v>-364.26</v>
      </c>
      <c r="I255" s="126" t="str">
        <f t="shared" si="28"/>
        <v/>
      </c>
      <c r="J255" s="93" t="str">
        <f t="shared" si="29"/>
        <v/>
      </c>
      <c r="K255" s="99" t="s">
        <v>189</v>
      </c>
      <c r="L255" s="127"/>
      <c r="M255" s="112">
        <f t="shared" si="27"/>
        <v>2017</v>
      </c>
    </row>
    <row r="256" spans="2:16">
      <c r="B256" s="399" t="s">
        <v>346</v>
      </c>
      <c r="C256" s="522" t="s">
        <v>389</v>
      </c>
      <c r="D256" s="522"/>
      <c r="E256" s="399" t="s">
        <v>390</v>
      </c>
      <c r="F256" s="522">
        <v>201611</v>
      </c>
      <c r="G256" s="431">
        <v>1.78</v>
      </c>
      <c r="I256" s="126" t="str">
        <f t="shared" si="28"/>
        <v>Blanket</v>
      </c>
      <c r="J256" s="93" t="str">
        <f t="shared" si="29"/>
        <v/>
      </c>
      <c r="K256" s="99" t="s">
        <v>189</v>
      </c>
      <c r="L256" s="127"/>
      <c r="M256" s="112">
        <f t="shared" si="27"/>
        <v>2017</v>
      </c>
    </row>
    <row r="257" spans="2:16">
      <c r="B257" s="521" t="s">
        <v>346</v>
      </c>
      <c r="C257" s="522" t="s">
        <v>367</v>
      </c>
      <c r="D257" s="522"/>
      <c r="E257" s="399" t="s">
        <v>368</v>
      </c>
      <c r="F257" s="522">
        <v>201611</v>
      </c>
      <c r="G257" s="431">
        <v>10836.2</v>
      </c>
      <c r="I257" s="126" t="str">
        <f t="shared" si="28"/>
        <v>Blanket</v>
      </c>
      <c r="J257" s="93" t="str">
        <f t="shared" si="29"/>
        <v/>
      </c>
      <c r="K257" s="99" t="s">
        <v>189</v>
      </c>
      <c r="L257" s="127"/>
      <c r="M257" s="112">
        <f t="shared" si="27"/>
        <v>2017</v>
      </c>
    </row>
    <row r="258" spans="2:16">
      <c r="B258" s="521" t="s">
        <v>346</v>
      </c>
      <c r="C258" s="522" t="s">
        <v>357</v>
      </c>
      <c r="D258" s="522"/>
      <c r="E258" s="521" t="s">
        <v>358</v>
      </c>
      <c r="F258" s="522">
        <v>201611</v>
      </c>
      <c r="G258" s="523">
        <v>3519.42</v>
      </c>
      <c r="I258" s="126" t="str">
        <f t="shared" si="28"/>
        <v>Blanket</v>
      </c>
      <c r="J258" s="93" t="str">
        <f t="shared" si="29"/>
        <v/>
      </c>
      <c r="K258" s="99" t="s">
        <v>189</v>
      </c>
      <c r="L258" s="127"/>
      <c r="M258" s="112">
        <f t="shared" si="27"/>
        <v>2017</v>
      </c>
    </row>
    <row r="259" spans="2:16">
      <c r="B259" s="521" t="s">
        <v>346</v>
      </c>
      <c r="C259" s="522" t="s">
        <v>731</v>
      </c>
      <c r="D259" s="522"/>
      <c r="E259" s="521" t="s">
        <v>732</v>
      </c>
      <c r="F259" s="522">
        <v>201611</v>
      </c>
      <c r="G259" s="523">
        <v>-25.09</v>
      </c>
      <c r="I259" s="126" t="str">
        <f t="shared" si="28"/>
        <v>Blanket</v>
      </c>
      <c r="J259" s="93" t="str">
        <f t="shared" si="29"/>
        <v/>
      </c>
      <c r="K259" s="99" t="s">
        <v>189</v>
      </c>
      <c r="L259" s="127"/>
      <c r="M259" s="112">
        <f t="shared" si="27"/>
        <v>2017</v>
      </c>
    </row>
    <row r="260" spans="2:16">
      <c r="B260" s="521" t="s">
        <v>346</v>
      </c>
      <c r="C260" s="522" t="s">
        <v>1043</v>
      </c>
      <c r="D260" s="522"/>
      <c r="E260" s="521" t="s">
        <v>1044</v>
      </c>
      <c r="F260" s="522">
        <v>201611</v>
      </c>
      <c r="G260" s="523">
        <v>37.950000000000003</v>
      </c>
      <c r="I260" s="126" t="str">
        <f t="shared" ref="I260:I327" si="33">IF(LEFT(C260,2)="69","Blanket","")</f>
        <v/>
      </c>
      <c r="J260" s="93" t="str">
        <f t="shared" ref="J260:J298" si="34">IF(F260&gt;$J$20,"",IF(F260&gt;=$J$22,"In service",""))</f>
        <v/>
      </c>
      <c r="K260" s="99" t="s">
        <v>189</v>
      </c>
      <c r="L260" s="127"/>
      <c r="M260" s="112">
        <f t="shared" si="27"/>
        <v>2017</v>
      </c>
    </row>
    <row r="261" spans="2:16">
      <c r="B261" s="521" t="s">
        <v>346</v>
      </c>
      <c r="C261" s="522" t="s">
        <v>967</v>
      </c>
      <c r="D261" s="522"/>
      <c r="E261" s="521" t="s">
        <v>968</v>
      </c>
      <c r="F261" s="522">
        <v>201611</v>
      </c>
      <c r="G261" s="523">
        <v>52.48</v>
      </c>
      <c r="I261" s="126" t="str">
        <f t="shared" si="33"/>
        <v/>
      </c>
      <c r="J261" s="93" t="str">
        <f t="shared" si="34"/>
        <v/>
      </c>
      <c r="K261" s="99" t="s">
        <v>189</v>
      </c>
      <c r="L261" s="127"/>
      <c r="M261" s="112">
        <f t="shared" si="27"/>
        <v>2017</v>
      </c>
    </row>
    <row r="262" spans="2:16">
      <c r="B262" s="521" t="s">
        <v>346</v>
      </c>
      <c r="C262" s="522" t="s">
        <v>1006</v>
      </c>
      <c r="D262" s="522"/>
      <c r="E262" s="399" t="s">
        <v>1007</v>
      </c>
      <c r="F262" s="522">
        <v>201611</v>
      </c>
      <c r="G262" s="431">
        <v>-11.64</v>
      </c>
      <c r="I262" s="126" t="str">
        <f t="shared" si="33"/>
        <v/>
      </c>
      <c r="J262" s="93" t="str">
        <f t="shared" si="34"/>
        <v/>
      </c>
      <c r="K262" s="99" t="s">
        <v>189</v>
      </c>
      <c r="L262" s="127"/>
      <c r="M262" s="112">
        <f t="shared" si="27"/>
        <v>2017</v>
      </c>
    </row>
    <row r="263" spans="2:16">
      <c r="B263" s="521" t="s">
        <v>346</v>
      </c>
      <c r="C263" s="522" t="s">
        <v>862</v>
      </c>
      <c r="D263" s="522"/>
      <c r="E263" s="521" t="s">
        <v>863</v>
      </c>
      <c r="F263" s="522">
        <v>201611</v>
      </c>
      <c r="G263" s="523">
        <v>-12.13</v>
      </c>
      <c r="I263" s="126" t="str">
        <f t="shared" si="33"/>
        <v/>
      </c>
      <c r="J263" s="93" t="str">
        <f t="shared" si="34"/>
        <v/>
      </c>
      <c r="K263" s="99" t="s">
        <v>189</v>
      </c>
      <c r="L263" s="127"/>
      <c r="M263" s="112">
        <f t="shared" si="27"/>
        <v>2017</v>
      </c>
    </row>
    <row r="264" spans="2:16" s="559" customFormat="1">
      <c r="B264" s="521" t="s">
        <v>346</v>
      </c>
      <c r="C264" s="522" t="s">
        <v>379</v>
      </c>
      <c r="D264" s="522"/>
      <c r="E264" s="521" t="s">
        <v>380</v>
      </c>
      <c r="F264" s="522">
        <v>201611</v>
      </c>
      <c r="G264" s="523">
        <v>-1435.18</v>
      </c>
      <c r="I264" s="590" t="str">
        <f t="shared" ref="I264:I297" si="35">IF(LEFT(C264,2)="69","Blanket","")</f>
        <v>Blanket</v>
      </c>
      <c r="J264" s="93" t="str">
        <f t="shared" ref="J264:J297" si="36">IF(F264&gt;$J$20,"",IF(F264&gt;=$J$22,"In service",""))</f>
        <v/>
      </c>
      <c r="K264" s="99" t="s">
        <v>189</v>
      </c>
      <c r="L264" s="591"/>
      <c r="M264" s="112">
        <f t="shared" si="27"/>
        <v>2017</v>
      </c>
      <c r="O264" s="39"/>
      <c r="P264" s="39"/>
    </row>
    <row r="265" spans="2:16" s="559" customFormat="1">
      <c r="B265" s="521" t="s">
        <v>346</v>
      </c>
      <c r="C265" s="522" t="s">
        <v>375</v>
      </c>
      <c r="D265" s="522"/>
      <c r="E265" s="521" t="s">
        <v>376</v>
      </c>
      <c r="F265" s="522">
        <v>201611</v>
      </c>
      <c r="G265" s="523">
        <v>-9439</v>
      </c>
      <c r="I265" s="590" t="str">
        <f t="shared" si="35"/>
        <v>Blanket</v>
      </c>
      <c r="J265" s="93" t="str">
        <f t="shared" si="36"/>
        <v/>
      </c>
      <c r="K265" s="99" t="s">
        <v>189</v>
      </c>
      <c r="L265" s="591"/>
      <c r="M265" s="112">
        <f t="shared" si="27"/>
        <v>2017</v>
      </c>
      <c r="O265" s="39"/>
      <c r="P265" s="39"/>
    </row>
    <row r="266" spans="2:16" s="559" customFormat="1">
      <c r="B266" s="521" t="s">
        <v>346</v>
      </c>
      <c r="C266" s="522" t="s">
        <v>359</v>
      </c>
      <c r="D266" s="522"/>
      <c r="E266" s="521" t="s">
        <v>360</v>
      </c>
      <c r="F266" s="522">
        <v>201611</v>
      </c>
      <c r="G266" s="523">
        <v>6.3</v>
      </c>
      <c r="I266" s="590" t="str">
        <f t="shared" si="35"/>
        <v>Blanket</v>
      </c>
      <c r="J266" s="93" t="str">
        <f t="shared" si="36"/>
        <v/>
      </c>
      <c r="K266" s="99" t="s">
        <v>189</v>
      </c>
      <c r="L266" s="591"/>
      <c r="M266" s="112">
        <f t="shared" si="27"/>
        <v>2017</v>
      </c>
      <c r="O266" s="39"/>
      <c r="P266" s="39"/>
    </row>
    <row r="267" spans="2:16" s="559" customFormat="1">
      <c r="B267" s="521" t="s">
        <v>346</v>
      </c>
      <c r="C267" s="522" t="s">
        <v>347</v>
      </c>
      <c r="D267" s="522"/>
      <c r="E267" s="521" t="s">
        <v>348</v>
      </c>
      <c r="F267" s="522">
        <v>201611</v>
      </c>
      <c r="G267" s="523">
        <v>678141.71</v>
      </c>
      <c r="I267" s="590" t="str">
        <f t="shared" si="35"/>
        <v>Blanket</v>
      </c>
      <c r="J267" s="93" t="str">
        <f t="shared" si="36"/>
        <v/>
      </c>
      <c r="K267" s="99" t="s">
        <v>189</v>
      </c>
      <c r="L267" s="591"/>
      <c r="M267" s="112">
        <f t="shared" si="27"/>
        <v>2017</v>
      </c>
      <c r="O267" s="39"/>
      <c r="P267" s="39"/>
    </row>
    <row r="268" spans="2:16" s="559" customFormat="1">
      <c r="B268" s="521" t="s">
        <v>346</v>
      </c>
      <c r="C268" s="522" t="s">
        <v>856</v>
      </c>
      <c r="D268" s="522"/>
      <c r="E268" s="521" t="s">
        <v>857</v>
      </c>
      <c r="F268" s="522">
        <v>201611</v>
      </c>
      <c r="G268" s="523">
        <v>-0.3</v>
      </c>
      <c r="I268" s="590" t="str">
        <f t="shared" si="35"/>
        <v/>
      </c>
      <c r="J268" s="93" t="str">
        <f t="shared" si="36"/>
        <v/>
      </c>
      <c r="K268" s="99" t="s">
        <v>189</v>
      </c>
      <c r="L268" s="591"/>
      <c r="M268" s="112">
        <f t="shared" si="27"/>
        <v>2017</v>
      </c>
      <c r="O268" s="39"/>
      <c r="P268" s="39"/>
    </row>
    <row r="269" spans="2:16" s="559" customFormat="1">
      <c r="B269" s="521" t="s">
        <v>346</v>
      </c>
      <c r="C269" s="522" t="s">
        <v>872</v>
      </c>
      <c r="D269" s="522"/>
      <c r="E269" s="521" t="s">
        <v>873</v>
      </c>
      <c r="F269" s="522">
        <v>201611</v>
      </c>
      <c r="G269" s="523">
        <v>-97591.05</v>
      </c>
      <c r="I269" s="590" t="str">
        <f t="shared" si="35"/>
        <v/>
      </c>
      <c r="J269" s="93" t="str">
        <f t="shared" si="36"/>
        <v/>
      </c>
      <c r="K269" s="99" t="s">
        <v>189</v>
      </c>
      <c r="L269" s="591"/>
      <c r="M269" s="112">
        <f t="shared" si="27"/>
        <v>2017</v>
      </c>
      <c r="O269" s="39"/>
      <c r="P269" s="39"/>
    </row>
    <row r="270" spans="2:16" s="559" customFormat="1">
      <c r="B270" s="521" t="s">
        <v>346</v>
      </c>
      <c r="C270" s="522" t="s">
        <v>1045</v>
      </c>
      <c r="D270" s="522"/>
      <c r="E270" s="521" t="s">
        <v>1046</v>
      </c>
      <c r="F270" s="522">
        <v>201611</v>
      </c>
      <c r="G270" s="523">
        <v>20.28</v>
      </c>
      <c r="I270" s="590" t="str">
        <f t="shared" ref="I270" si="37">IF(LEFT(C270,2)="69","Blanket","")</f>
        <v/>
      </c>
      <c r="J270" s="93" t="str">
        <f t="shared" ref="J270" si="38">IF(F270&gt;$J$20,"",IF(F270&gt;=$J$22,"In service",""))</f>
        <v/>
      </c>
      <c r="K270" s="99" t="s">
        <v>189</v>
      </c>
      <c r="L270" s="591"/>
      <c r="M270" s="112">
        <f t="shared" si="27"/>
        <v>2017</v>
      </c>
      <c r="O270" s="39"/>
      <c r="P270" s="39"/>
    </row>
    <row r="271" spans="2:16" s="559" customFormat="1">
      <c r="B271" s="521" t="s">
        <v>346</v>
      </c>
      <c r="C271" s="522" t="s">
        <v>963</v>
      </c>
      <c r="D271" s="522"/>
      <c r="E271" s="521" t="s">
        <v>964</v>
      </c>
      <c r="F271" s="522">
        <v>201611</v>
      </c>
      <c r="G271" s="523">
        <v>40.82</v>
      </c>
      <c r="I271" s="590" t="str">
        <f t="shared" ref="I271" si="39">IF(LEFT(C271,2)="69","Blanket","")</f>
        <v/>
      </c>
      <c r="J271" s="93" t="str">
        <f t="shared" ref="J271" si="40">IF(F271&gt;$J$20,"",IF(F271&gt;=$J$22,"In service",""))</f>
        <v/>
      </c>
      <c r="K271" s="99" t="s">
        <v>189</v>
      </c>
      <c r="L271" s="591"/>
      <c r="M271" s="112">
        <f t="shared" si="27"/>
        <v>2017</v>
      </c>
      <c r="O271" s="39"/>
      <c r="P271" s="39"/>
    </row>
    <row r="272" spans="2:16" s="559" customFormat="1">
      <c r="B272" s="521" t="s">
        <v>346</v>
      </c>
      <c r="C272" s="522" t="s">
        <v>991</v>
      </c>
      <c r="D272" s="521"/>
      <c r="E272" s="521" t="s">
        <v>992</v>
      </c>
      <c r="F272" s="522">
        <v>201611</v>
      </c>
      <c r="G272" s="523">
        <v>-23955.51</v>
      </c>
      <c r="I272" s="590" t="str">
        <f t="shared" ref="I272:I296" si="41">IF(LEFT(C272,2)="69","Blanket","")</f>
        <v/>
      </c>
      <c r="J272" s="93" t="str">
        <f t="shared" ref="J272:J296" si="42">IF(F272&gt;$J$20,"",IF(F272&gt;=$J$22,"In service",""))</f>
        <v/>
      </c>
      <c r="K272" s="99" t="s">
        <v>189</v>
      </c>
      <c r="L272" s="591"/>
      <c r="M272" s="112">
        <f t="shared" si="27"/>
        <v>2017</v>
      </c>
      <c r="O272" s="39"/>
      <c r="P272" s="39"/>
    </row>
    <row r="273" spans="2:16" s="559" customFormat="1">
      <c r="B273" s="521" t="s">
        <v>346</v>
      </c>
      <c r="C273" s="522" t="s">
        <v>975</v>
      </c>
      <c r="D273" s="521"/>
      <c r="E273" s="521" t="s">
        <v>976</v>
      </c>
      <c r="F273" s="522">
        <v>201611</v>
      </c>
      <c r="G273" s="523">
        <v>60.01</v>
      </c>
      <c r="I273" s="590"/>
      <c r="J273" s="93"/>
      <c r="K273" s="99" t="s">
        <v>189</v>
      </c>
      <c r="L273" s="591"/>
      <c r="M273" s="112">
        <f t="shared" si="27"/>
        <v>2017</v>
      </c>
      <c r="O273" s="39"/>
      <c r="P273" s="39"/>
    </row>
    <row r="274" spans="2:16" s="559" customFormat="1">
      <c r="B274" s="521" t="s">
        <v>346</v>
      </c>
      <c r="C274" s="522" t="s">
        <v>1079</v>
      </c>
      <c r="D274" s="521"/>
      <c r="E274" s="521" t="s">
        <v>1080</v>
      </c>
      <c r="F274" s="522">
        <v>201611</v>
      </c>
      <c r="G274" s="523">
        <v>-2084.75</v>
      </c>
      <c r="I274" s="590"/>
      <c r="J274" s="93"/>
      <c r="K274" s="99" t="s">
        <v>189</v>
      </c>
      <c r="L274" s="591"/>
      <c r="M274" s="112">
        <f t="shared" si="27"/>
        <v>2017</v>
      </c>
      <c r="O274" s="39"/>
      <c r="P274" s="39"/>
    </row>
    <row r="275" spans="2:16" s="559" customFormat="1">
      <c r="B275" s="521" t="s">
        <v>346</v>
      </c>
      <c r="C275" s="522" t="s">
        <v>842</v>
      </c>
      <c r="D275" s="521"/>
      <c r="E275" s="521" t="s">
        <v>843</v>
      </c>
      <c r="F275" s="522">
        <v>201611</v>
      </c>
      <c r="G275" s="523">
        <v>0.04</v>
      </c>
      <c r="I275" s="590"/>
      <c r="J275" s="93"/>
      <c r="K275" s="99" t="s">
        <v>189</v>
      </c>
      <c r="L275" s="591"/>
      <c r="M275" s="112">
        <f t="shared" si="27"/>
        <v>2017</v>
      </c>
      <c r="O275" s="39"/>
      <c r="P275" s="39"/>
    </row>
    <row r="276" spans="2:16" s="559" customFormat="1">
      <c r="B276" s="521" t="s">
        <v>346</v>
      </c>
      <c r="C276" s="522" t="s">
        <v>872</v>
      </c>
      <c r="D276" s="521"/>
      <c r="E276" s="521" t="s">
        <v>873</v>
      </c>
      <c r="F276" s="522">
        <v>201611</v>
      </c>
      <c r="G276" s="523">
        <v>96070.98</v>
      </c>
      <c r="I276" s="590"/>
      <c r="J276" s="93"/>
      <c r="K276" s="99" t="s">
        <v>189</v>
      </c>
      <c r="L276" s="591"/>
      <c r="M276" s="112">
        <f t="shared" si="27"/>
        <v>2017</v>
      </c>
      <c r="O276" s="39"/>
      <c r="P276" s="39"/>
    </row>
    <row r="277" spans="2:16" s="559" customFormat="1">
      <c r="B277" s="521" t="s">
        <v>346</v>
      </c>
      <c r="C277" s="522" t="s">
        <v>991</v>
      </c>
      <c r="D277" s="521"/>
      <c r="E277" s="521" t="s">
        <v>992</v>
      </c>
      <c r="F277" s="522">
        <v>201611</v>
      </c>
      <c r="G277" s="523">
        <v>24271.49</v>
      </c>
      <c r="I277" s="590"/>
      <c r="J277" s="93"/>
      <c r="K277" s="99" t="s">
        <v>189</v>
      </c>
      <c r="L277" s="591"/>
      <c r="M277" s="112">
        <f t="shared" si="27"/>
        <v>2017</v>
      </c>
      <c r="O277" s="39"/>
      <c r="P277" s="39"/>
    </row>
    <row r="278" spans="2:16" s="559" customFormat="1">
      <c r="B278" s="521" t="s">
        <v>346</v>
      </c>
      <c r="C278" s="522" t="s">
        <v>395</v>
      </c>
      <c r="D278" s="521"/>
      <c r="E278" s="521" t="s">
        <v>396</v>
      </c>
      <c r="F278" s="522">
        <v>201611</v>
      </c>
      <c r="G278" s="523">
        <v>-43565.09</v>
      </c>
      <c r="I278" s="590"/>
      <c r="J278" s="93"/>
      <c r="K278" s="99" t="s">
        <v>189</v>
      </c>
      <c r="L278" s="591"/>
      <c r="M278" s="112">
        <f t="shared" si="27"/>
        <v>2017</v>
      </c>
      <c r="O278" s="39"/>
      <c r="P278" s="39"/>
    </row>
    <row r="279" spans="2:16" s="559" customFormat="1">
      <c r="B279" s="521" t="s">
        <v>346</v>
      </c>
      <c r="C279" s="522" t="s">
        <v>629</v>
      </c>
      <c r="D279" s="521"/>
      <c r="E279" s="521" t="s">
        <v>630</v>
      </c>
      <c r="F279" s="522">
        <v>201611</v>
      </c>
      <c r="G279" s="523">
        <v>1.65</v>
      </c>
      <c r="I279" s="590"/>
      <c r="J279" s="93"/>
      <c r="K279" s="99" t="s">
        <v>189</v>
      </c>
      <c r="L279" s="591"/>
      <c r="M279" s="112">
        <f t="shared" si="27"/>
        <v>2017</v>
      </c>
      <c r="O279" s="39"/>
      <c r="P279" s="39"/>
    </row>
    <row r="280" spans="2:16" s="559" customFormat="1">
      <c r="B280" s="521" t="s">
        <v>346</v>
      </c>
      <c r="C280" s="522" t="s">
        <v>876</v>
      </c>
      <c r="D280" s="521"/>
      <c r="E280" s="521" t="s">
        <v>877</v>
      </c>
      <c r="F280" s="522">
        <v>201611</v>
      </c>
      <c r="G280" s="523">
        <v>-66.17</v>
      </c>
      <c r="I280" s="590"/>
      <c r="J280" s="93"/>
      <c r="K280" s="99" t="s">
        <v>189</v>
      </c>
      <c r="L280" s="591"/>
      <c r="M280" s="112">
        <f t="shared" si="27"/>
        <v>2017</v>
      </c>
      <c r="O280" s="39"/>
      <c r="P280" s="39"/>
    </row>
    <row r="281" spans="2:16" s="559" customFormat="1">
      <c r="B281" s="521" t="s">
        <v>346</v>
      </c>
      <c r="C281" s="522" t="s">
        <v>800</v>
      </c>
      <c r="D281" s="521"/>
      <c r="E281" s="521" t="s">
        <v>830</v>
      </c>
      <c r="F281" s="522">
        <v>201611</v>
      </c>
      <c r="G281" s="523">
        <v>25.05</v>
      </c>
      <c r="I281" s="590"/>
      <c r="J281" s="93"/>
      <c r="K281" s="99" t="s">
        <v>189</v>
      </c>
      <c r="L281" s="591"/>
      <c r="M281" s="112">
        <f t="shared" ref="M281:M287" si="43">IF(F281&gt;$M$20,0+2017,0+2016)</f>
        <v>2017</v>
      </c>
      <c r="O281" s="39"/>
      <c r="P281" s="39"/>
    </row>
    <row r="282" spans="2:16" s="559" customFormat="1">
      <c r="B282" s="521" t="s">
        <v>346</v>
      </c>
      <c r="C282" s="522" t="s">
        <v>852</v>
      </c>
      <c r="D282" s="521"/>
      <c r="E282" s="521" t="s">
        <v>853</v>
      </c>
      <c r="F282" s="522">
        <v>201611</v>
      </c>
      <c r="G282" s="523">
        <v>-58524.02</v>
      </c>
      <c r="I282" s="590"/>
      <c r="J282" s="93"/>
      <c r="K282" s="99" t="s">
        <v>189</v>
      </c>
      <c r="L282" s="591"/>
      <c r="M282" s="112">
        <f t="shared" si="43"/>
        <v>2017</v>
      </c>
      <c r="O282" s="39"/>
      <c r="P282" s="39"/>
    </row>
    <row r="283" spans="2:16" s="559" customFormat="1">
      <c r="B283" s="521" t="s">
        <v>346</v>
      </c>
      <c r="C283" s="522" t="s">
        <v>385</v>
      </c>
      <c r="D283" s="521"/>
      <c r="E283" s="521" t="s">
        <v>386</v>
      </c>
      <c r="F283" s="522">
        <v>201611</v>
      </c>
      <c r="G283" s="523">
        <v>190255.3</v>
      </c>
      <c r="I283" s="590"/>
      <c r="J283" s="93"/>
      <c r="K283" s="99" t="s">
        <v>189</v>
      </c>
      <c r="L283" s="591"/>
      <c r="M283" s="112">
        <f t="shared" si="43"/>
        <v>2017</v>
      </c>
      <c r="O283" s="39"/>
      <c r="P283" s="39"/>
    </row>
    <row r="284" spans="2:16" s="559" customFormat="1">
      <c r="B284" s="521" t="s">
        <v>346</v>
      </c>
      <c r="C284" s="522" t="s">
        <v>874</v>
      </c>
      <c r="D284" s="521"/>
      <c r="E284" s="521" t="s">
        <v>875</v>
      </c>
      <c r="F284" s="522">
        <v>201611</v>
      </c>
      <c r="G284" s="523">
        <v>112796.06</v>
      </c>
      <c r="I284" s="590"/>
      <c r="J284" s="93"/>
      <c r="K284" s="99" t="s">
        <v>189</v>
      </c>
      <c r="L284" s="591"/>
      <c r="M284" s="112">
        <f t="shared" si="43"/>
        <v>2017</v>
      </c>
      <c r="O284" s="39"/>
      <c r="P284" s="39"/>
    </row>
    <row r="285" spans="2:16" s="559" customFormat="1">
      <c r="B285" s="521" t="s">
        <v>346</v>
      </c>
      <c r="C285" s="522" t="s">
        <v>361</v>
      </c>
      <c r="D285" s="521"/>
      <c r="E285" s="521" t="s">
        <v>362</v>
      </c>
      <c r="F285" s="522">
        <v>201611</v>
      </c>
      <c r="G285" s="523">
        <v>3325.07</v>
      </c>
      <c r="I285" s="590"/>
      <c r="J285" s="93"/>
      <c r="K285" s="99" t="s">
        <v>189</v>
      </c>
      <c r="L285" s="591"/>
      <c r="M285" s="112">
        <f t="shared" si="43"/>
        <v>2017</v>
      </c>
      <c r="O285" s="39"/>
      <c r="P285" s="39"/>
    </row>
    <row r="286" spans="2:16" s="559" customFormat="1">
      <c r="B286" s="521" t="s">
        <v>346</v>
      </c>
      <c r="C286" s="522" t="s">
        <v>349</v>
      </c>
      <c r="D286" s="521"/>
      <c r="E286" s="521" t="s">
        <v>350</v>
      </c>
      <c r="F286" s="522">
        <v>201611</v>
      </c>
      <c r="G286" s="523">
        <v>-325.16000000000003</v>
      </c>
      <c r="I286" s="590"/>
      <c r="J286" s="93"/>
      <c r="K286" s="99" t="s">
        <v>189</v>
      </c>
      <c r="L286" s="591"/>
      <c r="M286" s="112">
        <f t="shared" si="43"/>
        <v>2017</v>
      </c>
      <c r="O286" s="39"/>
      <c r="P286" s="39"/>
    </row>
    <row r="287" spans="2:16" s="559" customFormat="1">
      <c r="B287" s="521" t="s">
        <v>346</v>
      </c>
      <c r="C287" s="522" t="s">
        <v>874</v>
      </c>
      <c r="D287" s="521"/>
      <c r="E287" s="521" t="s">
        <v>875</v>
      </c>
      <c r="F287" s="522">
        <v>201611</v>
      </c>
      <c r="G287" s="523">
        <v>-113235.02</v>
      </c>
      <c r="I287" s="590"/>
      <c r="J287" s="93"/>
      <c r="K287" s="99" t="s">
        <v>189</v>
      </c>
      <c r="L287" s="591"/>
      <c r="M287" s="112">
        <f t="shared" si="43"/>
        <v>2017</v>
      </c>
      <c r="O287" s="39"/>
      <c r="P287" s="39"/>
    </row>
    <row r="288" spans="2:16" s="559" customFormat="1">
      <c r="B288" s="521" t="s">
        <v>346</v>
      </c>
      <c r="C288" s="522" t="s">
        <v>870</v>
      </c>
      <c r="D288" s="521"/>
      <c r="E288" s="521" t="s">
        <v>871</v>
      </c>
      <c r="F288" s="522">
        <v>201611</v>
      </c>
      <c r="G288" s="523">
        <v>-15006.66</v>
      </c>
      <c r="I288" s="590"/>
      <c r="J288" s="93"/>
      <c r="K288" s="99" t="s">
        <v>189</v>
      </c>
      <c r="L288" s="591"/>
      <c r="M288" s="112">
        <f t="shared" ref="M288:M291" si="44">IF(F288&gt;$M$20,0+2017,0+2016)</f>
        <v>2017</v>
      </c>
      <c r="O288" s="39"/>
      <c r="P288" s="39"/>
    </row>
    <row r="289" spans="2:16" s="559" customFormat="1">
      <c r="B289" s="521" t="s">
        <v>346</v>
      </c>
      <c r="C289" s="522" t="s">
        <v>981</v>
      </c>
      <c r="D289" s="521"/>
      <c r="E289" s="521" t="s">
        <v>1014</v>
      </c>
      <c r="F289" s="522">
        <v>201611</v>
      </c>
      <c r="G289" s="523">
        <v>1000.37</v>
      </c>
      <c r="I289" s="590"/>
      <c r="J289" s="93"/>
      <c r="K289" s="99" t="s">
        <v>189</v>
      </c>
      <c r="L289" s="591"/>
      <c r="M289" s="112">
        <f t="shared" si="44"/>
        <v>2017</v>
      </c>
      <c r="O289" s="39"/>
      <c r="P289" s="39"/>
    </row>
    <row r="290" spans="2:16" s="559" customFormat="1">
      <c r="B290" s="521" t="s">
        <v>346</v>
      </c>
      <c r="C290" s="522" t="s">
        <v>977</v>
      </c>
      <c r="D290" s="521"/>
      <c r="E290" s="521" t="s">
        <v>978</v>
      </c>
      <c r="F290" s="522">
        <v>201611</v>
      </c>
      <c r="G290" s="523">
        <v>72.63</v>
      </c>
      <c r="I290" s="590"/>
      <c r="J290" s="93"/>
      <c r="K290" s="99" t="s">
        <v>189</v>
      </c>
      <c r="L290" s="591"/>
      <c r="M290" s="112">
        <f t="shared" si="44"/>
        <v>2017</v>
      </c>
      <c r="O290" s="39"/>
      <c r="P290" s="39"/>
    </row>
    <row r="291" spans="2:16" s="559" customFormat="1">
      <c r="B291" s="521" t="s">
        <v>346</v>
      </c>
      <c r="C291" s="522" t="s">
        <v>1049</v>
      </c>
      <c r="D291" s="521"/>
      <c r="E291" s="521" t="s">
        <v>1050</v>
      </c>
      <c r="F291" s="522">
        <v>201611</v>
      </c>
      <c r="G291" s="523">
        <v>63.23</v>
      </c>
      <c r="I291" s="590"/>
      <c r="J291" s="93"/>
      <c r="K291" s="99" t="s">
        <v>189</v>
      </c>
      <c r="L291" s="591"/>
      <c r="M291" s="112">
        <f t="shared" si="44"/>
        <v>2017</v>
      </c>
      <c r="O291" s="39"/>
      <c r="P291" s="39"/>
    </row>
    <row r="292" spans="2:16" s="559" customFormat="1">
      <c r="B292" s="521" t="s">
        <v>346</v>
      </c>
      <c r="C292" s="522" t="s">
        <v>393</v>
      </c>
      <c r="D292" s="521"/>
      <c r="E292" s="521" t="s">
        <v>394</v>
      </c>
      <c r="F292" s="522">
        <v>201611</v>
      </c>
      <c r="G292" s="523">
        <v>-12280.45</v>
      </c>
      <c r="I292" s="590"/>
      <c r="J292" s="93"/>
      <c r="K292" s="99" t="s">
        <v>189</v>
      </c>
      <c r="L292" s="591"/>
      <c r="M292" s="112">
        <f t="shared" si="27"/>
        <v>2017</v>
      </c>
      <c r="O292" s="39"/>
      <c r="P292" s="39"/>
    </row>
    <row r="293" spans="2:16" s="559" customFormat="1">
      <c r="B293" s="521" t="s">
        <v>346</v>
      </c>
      <c r="C293" s="522" t="s">
        <v>391</v>
      </c>
      <c r="D293" s="521"/>
      <c r="E293" s="521" t="s">
        <v>392</v>
      </c>
      <c r="F293" s="522">
        <v>201611</v>
      </c>
      <c r="G293" s="523">
        <v>1100.07</v>
      </c>
      <c r="I293" s="590" t="str">
        <f t="shared" si="41"/>
        <v>Blanket</v>
      </c>
      <c r="J293" s="93" t="str">
        <f t="shared" si="42"/>
        <v/>
      </c>
      <c r="K293" s="99" t="s">
        <v>189</v>
      </c>
      <c r="L293" s="591"/>
      <c r="M293" s="112">
        <f t="shared" si="27"/>
        <v>2017</v>
      </c>
      <c r="O293" s="39"/>
      <c r="P293" s="39"/>
    </row>
    <row r="294" spans="2:16" s="559" customFormat="1">
      <c r="B294" s="521" t="s">
        <v>346</v>
      </c>
      <c r="C294" s="522" t="s">
        <v>852</v>
      </c>
      <c r="D294" s="521"/>
      <c r="E294" s="521" t="s">
        <v>853</v>
      </c>
      <c r="F294" s="522">
        <v>201611</v>
      </c>
      <c r="G294" s="523">
        <v>53675.199999999997</v>
      </c>
      <c r="I294" s="590" t="str">
        <f t="shared" si="41"/>
        <v/>
      </c>
      <c r="J294" s="93" t="str">
        <f t="shared" si="42"/>
        <v/>
      </c>
      <c r="K294" s="99" t="s">
        <v>189</v>
      </c>
      <c r="L294" s="591"/>
      <c r="M294" s="112">
        <f t="shared" si="27"/>
        <v>2017</v>
      </c>
      <c r="O294" s="39"/>
      <c r="P294" s="39"/>
    </row>
    <row r="295" spans="2:16" s="559" customFormat="1">
      <c r="B295" s="521" t="s">
        <v>346</v>
      </c>
      <c r="C295" s="522" t="s">
        <v>365</v>
      </c>
      <c r="D295" s="521"/>
      <c r="E295" s="521" t="s">
        <v>366</v>
      </c>
      <c r="F295" s="522">
        <v>201611</v>
      </c>
      <c r="G295" s="523">
        <v>-664.84</v>
      </c>
      <c r="I295" s="590" t="str">
        <f t="shared" si="41"/>
        <v>Blanket</v>
      </c>
      <c r="J295" s="93" t="str">
        <f t="shared" si="42"/>
        <v/>
      </c>
      <c r="K295" s="99" t="s">
        <v>189</v>
      </c>
      <c r="L295" s="591"/>
      <c r="M295" s="112">
        <f t="shared" si="27"/>
        <v>2017</v>
      </c>
      <c r="O295" s="39"/>
      <c r="P295" s="39"/>
    </row>
    <row r="296" spans="2:16" s="559" customFormat="1">
      <c r="B296" s="521" t="s">
        <v>346</v>
      </c>
      <c r="C296" s="522" t="s">
        <v>353</v>
      </c>
      <c r="D296" s="521"/>
      <c r="E296" s="521" t="s">
        <v>354</v>
      </c>
      <c r="F296" s="522">
        <v>201611</v>
      </c>
      <c r="G296" s="523">
        <v>-2477.5</v>
      </c>
      <c r="I296" s="590" t="str">
        <f t="shared" si="41"/>
        <v>Blanket</v>
      </c>
      <c r="J296" s="93" t="str">
        <f t="shared" si="42"/>
        <v/>
      </c>
      <c r="K296" s="99" t="s">
        <v>189</v>
      </c>
      <c r="L296" s="591"/>
      <c r="M296" s="112">
        <f t="shared" si="27"/>
        <v>2017</v>
      </c>
      <c r="O296" s="39"/>
      <c r="P296" s="39"/>
    </row>
    <row r="297" spans="2:16" s="559" customFormat="1">
      <c r="B297" s="521" t="s">
        <v>346</v>
      </c>
      <c r="C297" s="522" t="s">
        <v>351</v>
      </c>
      <c r="D297" s="522"/>
      <c r="E297" s="521" t="s">
        <v>352</v>
      </c>
      <c r="F297" s="522">
        <v>201611</v>
      </c>
      <c r="G297" s="523">
        <v>1227.44</v>
      </c>
      <c r="I297" s="590" t="str">
        <f t="shared" si="35"/>
        <v>Blanket</v>
      </c>
      <c r="J297" s="93" t="str">
        <f t="shared" si="36"/>
        <v/>
      </c>
      <c r="K297" s="99" t="s">
        <v>189</v>
      </c>
      <c r="L297" s="591"/>
      <c r="M297" s="112">
        <f t="shared" si="27"/>
        <v>2017</v>
      </c>
      <c r="O297" s="39"/>
      <c r="P297" s="39"/>
    </row>
    <row r="298" spans="2:16">
      <c r="B298" s="426" t="s">
        <v>346</v>
      </c>
      <c r="C298" s="579" t="s">
        <v>1033</v>
      </c>
      <c r="D298" s="435"/>
      <c r="E298" s="598" t="s">
        <v>1034</v>
      </c>
      <c r="F298" s="435">
        <v>201611</v>
      </c>
      <c r="G298" s="427">
        <v>-84.21</v>
      </c>
      <c r="I298" s="126" t="str">
        <f t="shared" si="33"/>
        <v/>
      </c>
      <c r="J298" s="93" t="str">
        <f t="shared" si="34"/>
        <v/>
      </c>
      <c r="K298" s="99" t="s">
        <v>189</v>
      </c>
      <c r="L298" s="127"/>
      <c r="M298" s="112">
        <f t="shared" si="27"/>
        <v>2017</v>
      </c>
    </row>
    <row r="299" spans="2:16">
      <c r="B299" s="521" t="s">
        <v>346</v>
      </c>
      <c r="C299" s="522" t="s">
        <v>987</v>
      </c>
      <c r="D299" s="522"/>
      <c r="E299" s="521" t="s">
        <v>988</v>
      </c>
      <c r="F299" s="522">
        <v>201611</v>
      </c>
      <c r="G299" s="523">
        <v>2.2200000000000002</v>
      </c>
      <c r="I299" s="126" t="str">
        <f t="shared" si="33"/>
        <v/>
      </c>
      <c r="J299" s="93" t="str">
        <f t="shared" ref="J299:J329" si="45">IF(F299&gt;$J$20,"",IF(F299&gt;=$J$22,"In service",""))</f>
        <v/>
      </c>
      <c r="K299" s="99" t="s">
        <v>189</v>
      </c>
      <c r="L299" s="127"/>
      <c r="M299" s="112">
        <f t="shared" si="27"/>
        <v>2017</v>
      </c>
    </row>
    <row r="300" spans="2:16">
      <c r="B300" s="521" t="s">
        <v>346</v>
      </c>
      <c r="C300" s="522" t="s">
        <v>955</v>
      </c>
      <c r="D300" s="522"/>
      <c r="E300" s="521" t="s">
        <v>956</v>
      </c>
      <c r="F300" s="522">
        <v>201611</v>
      </c>
      <c r="G300" s="523">
        <v>630.47</v>
      </c>
      <c r="I300" s="126" t="str">
        <f t="shared" si="33"/>
        <v/>
      </c>
      <c r="J300" s="93" t="str">
        <f t="shared" si="45"/>
        <v/>
      </c>
      <c r="K300" s="99" t="s">
        <v>189</v>
      </c>
      <c r="L300" s="127"/>
      <c r="M300" s="112">
        <f t="shared" si="27"/>
        <v>2017</v>
      </c>
    </row>
    <row r="301" spans="2:16">
      <c r="B301" s="521" t="s">
        <v>346</v>
      </c>
      <c r="C301" s="522" t="s">
        <v>846</v>
      </c>
      <c r="D301" s="522"/>
      <c r="E301" s="521" t="s">
        <v>847</v>
      </c>
      <c r="F301" s="522">
        <v>201611</v>
      </c>
      <c r="G301" s="523">
        <v>-176973.57</v>
      </c>
      <c r="I301" s="126" t="str">
        <f t="shared" si="33"/>
        <v/>
      </c>
      <c r="J301" s="93" t="str">
        <f t="shared" si="45"/>
        <v/>
      </c>
      <c r="K301" s="99" t="s">
        <v>189</v>
      </c>
      <c r="L301" s="127"/>
      <c r="M301" s="112">
        <f t="shared" si="27"/>
        <v>2017</v>
      </c>
    </row>
    <row r="302" spans="2:16">
      <c r="B302" s="399" t="s">
        <v>346</v>
      </c>
      <c r="C302" s="522" t="s">
        <v>887</v>
      </c>
      <c r="D302" s="522"/>
      <c r="E302" s="399" t="s">
        <v>888</v>
      </c>
      <c r="F302" s="522">
        <v>201611</v>
      </c>
      <c r="G302" s="431">
        <v>35.270000000000003</v>
      </c>
      <c r="I302" s="126" t="str">
        <f t="shared" si="33"/>
        <v/>
      </c>
      <c r="J302" s="93" t="str">
        <f t="shared" si="45"/>
        <v/>
      </c>
      <c r="K302" s="99" t="s">
        <v>189</v>
      </c>
      <c r="L302" s="127"/>
      <c r="M302" s="112">
        <f t="shared" si="27"/>
        <v>2017</v>
      </c>
    </row>
    <row r="303" spans="2:16">
      <c r="B303" s="521" t="s">
        <v>346</v>
      </c>
      <c r="C303" s="522" t="s">
        <v>805</v>
      </c>
      <c r="D303" s="522"/>
      <c r="E303" s="399" t="s">
        <v>806</v>
      </c>
      <c r="F303" s="522">
        <v>201611</v>
      </c>
      <c r="G303" s="431">
        <v>-4.68</v>
      </c>
      <c r="I303" s="126" t="str">
        <f t="shared" si="33"/>
        <v/>
      </c>
      <c r="J303" s="93" t="str">
        <f t="shared" si="45"/>
        <v/>
      </c>
      <c r="K303" s="99" t="s">
        <v>189</v>
      </c>
      <c r="L303" s="127"/>
      <c r="M303" s="112">
        <f t="shared" si="27"/>
        <v>2017</v>
      </c>
    </row>
    <row r="304" spans="2:16">
      <c r="B304" s="521" t="s">
        <v>346</v>
      </c>
      <c r="C304" s="522" t="s">
        <v>891</v>
      </c>
      <c r="D304" s="522"/>
      <c r="E304" s="521" t="s">
        <v>892</v>
      </c>
      <c r="F304" s="522">
        <v>201611</v>
      </c>
      <c r="G304" s="523">
        <v>7601.59</v>
      </c>
      <c r="I304" s="126" t="str">
        <f t="shared" si="33"/>
        <v/>
      </c>
      <c r="J304" s="93" t="str">
        <f t="shared" si="45"/>
        <v/>
      </c>
      <c r="K304" s="99" t="s">
        <v>189</v>
      </c>
      <c r="L304" s="127"/>
      <c r="M304" s="112">
        <f t="shared" si="27"/>
        <v>2017</v>
      </c>
    </row>
    <row r="305" spans="2:13">
      <c r="B305" s="521" t="s">
        <v>346</v>
      </c>
      <c r="C305" s="522" t="s">
        <v>868</v>
      </c>
      <c r="D305" s="522"/>
      <c r="E305" s="521" t="s">
        <v>869</v>
      </c>
      <c r="F305" s="522">
        <v>201611</v>
      </c>
      <c r="G305" s="523">
        <v>275834.86</v>
      </c>
      <c r="I305" s="126" t="str">
        <f t="shared" si="33"/>
        <v/>
      </c>
      <c r="J305" s="93" t="str">
        <f t="shared" si="45"/>
        <v/>
      </c>
      <c r="K305" s="99" t="s">
        <v>189</v>
      </c>
      <c r="L305" s="127"/>
      <c r="M305" s="112">
        <f t="shared" si="27"/>
        <v>2017</v>
      </c>
    </row>
    <row r="306" spans="2:13">
      <c r="B306" s="399" t="s">
        <v>346</v>
      </c>
      <c r="C306" s="522" t="s">
        <v>822</v>
      </c>
      <c r="D306" s="522"/>
      <c r="E306" s="399" t="s">
        <v>823</v>
      </c>
      <c r="F306" s="522">
        <v>201611</v>
      </c>
      <c r="G306" s="431">
        <v>0</v>
      </c>
      <c r="I306" s="126" t="str">
        <f t="shared" si="33"/>
        <v/>
      </c>
      <c r="J306" s="93" t="str">
        <f t="shared" si="45"/>
        <v/>
      </c>
      <c r="K306" s="99" t="s">
        <v>189</v>
      </c>
      <c r="L306" s="127"/>
      <c r="M306" s="112">
        <f t="shared" si="27"/>
        <v>2017</v>
      </c>
    </row>
    <row r="307" spans="2:13">
      <c r="B307" s="521" t="s">
        <v>346</v>
      </c>
      <c r="C307" s="522" t="s">
        <v>868</v>
      </c>
      <c r="D307" s="522"/>
      <c r="E307" s="399" t="s">
        <v>869</v>
      </c>
      <c r="F307" s="522">
        <v>201611</v>
      </c>
      <c r="G307" s="431">
        <v>-312277.46000000002</v>
      </c>
      <c r="I307" s="126" t="str">
        <f t="shared" si="33"/>
        <v/>
      </c>
      <c r="J307" s="93" t="str">
        <f t="shared" si="45"/>
        <v/>
      </c>
      <c r="K307" s="99" t="s">
        <v>189</v>
      </c>
      <c r="L307" s="127"/>
      <c r="M307" s="112">
        <f t="shared" si="27"/>
        <v>2017</v>
      </c>
    </row>
    <row r="308" spans="2:13">
      <c r="B308" s="521" t="s">
        <v>346</v>
      </c>
      <c r="C308" s="522" t="s">
        <v>889</v>
      </c>
      <c r="D308" s="522"/>
      <c r="E308" s="521" t="s">
        <v>890</v>
      </c>
      <c r="F308" s="522">
        <v>201611</v>
      </c>
      <c r="G308" s="523">
        <v>2.0099999999999998</v>
      </c>
      <c r="I308" s="126" t="str">
        <f t="shared" si="33"/>
        <v/>
      </c>
      <c r="J308" s="93" t="str">
        <f t="shared" si="45"/>
        <v/>
      </c>
      <c r="K308" s="99" t="s">
        <v>189</v>
      </c>
      <c r="L308" s="127"/>
      <c r="M308" s="112">
        <f t="shared" si="27"/>
        <v>2017</v>
      </c>
    </row>
    <row r="309" spans="2:13">
      <c r="B309" s="521" t="s">
        <v>346</v>
      </c>
      <c r="C309" s="522" t="s">
        <v>1041</v>
      </c>
      <c r="D309" s="522"/>
      <c r="E309" s="521" t="s">
        <v>1042</v>
      </c>
      <c r="F309" s="522">
        <v>201611</v>
      </c>
      <c r="G309" s="523">
        <v>3987.63</v>
      </c>
      <c r="I309" s="126" t="str">
        <f t="shared" si="33"/>
        <v/>
      </c>
      <c r="J309" s="93" t="str">
        <f t="shared" si="45"/>
        <v/>
      </c>
      <c r="K309" s="99" t="s">
        <v>189</v>
      </c>
      <c r="L309" s="127"/>
      <c r="M309" s="112">
        <f t="shared" si="27"/>
        <v>2017</v>
      </c>
    </row>
    <row r="310" spans="2:13">
      <c r="B310" s="399" t="s">
        <v>346</v>
      </c>
      <c r="C310" s="522" t="s">
        <v>1039</v>
      </c>
      <c r="D310" s="522"/>
      <c r="E310" s="399" t="s">
        <v>1040</v>
      </c>
      <c r="F310" s="522">
        <v>201611</v>
      </c>
      <c r="G310" s="431">
        <v>5209.9799999999996</v>
      </c>
      <c r="I310" s="126" t="str">
        <f t="shared" si="33"/>
        <v/>
      </c>
      <c r="J310" s="93" t="str">
        <f t="shared" si="45"/>
        <v/>
      </c>
      <c r="K310" s="99" t="s">
        <v>189</v>
      </c>
      <c r="L310" s="127"/>
      <c r="M310" s="112">
        <f t="shared" si="27"/>
        <v>2017</v>
      </c>
    </row>
    <row r="311" spans="2:13">
      <c r="B311" s="521" t="s">
        <v>346</v>
      </c>
      <c r="C311" s="522" t="s">
        <v>996</v>
      </c>
      <c r="D311" s="522"/>
      <c r="E311" s="521" t="s">
        <v>997</v>
      </c>
      <c r="F311" s="522">
        <v>201611</v>
      </c>
      <c r="G311" s="523">
        <v>1529.42</v>
      </c>
      <c r="I311" s="126" t="str">
        <f t="shared" si="33"/>
        <v/>
      </c>
      <c r="J311" s="93" t="str">
        <f t="shared" si="45"/>
        <v/>
      </c>
      <c r="K311" s="99" t="s">
        <v>189</v>
      </c>
      <c r="L311" s="127"/>
      <c r="M311" s="112">
        <f t="shared" si="27"/>
        <v>2017</v>
      </c>
    </row>
    <row r="312" spans="2:13">
      <c r="B312" s="521" t="s">
        <v>346</v>
      </c>
      <c r="C312" s="522" t="s">
        <v>1055</v>
      </c>
      <c r="D312" s="522"/>
      <c r="E312" s="521" t="s">
        <v>1056</v>
      </c>
      <c r="F312" s="522">
        <v>201611</v>
      </c>
      <c r="G312" s="523">
        <v>14.53</v>
      </c>
      <c r="I312" s="126" t="str">
        <f t="shared" si="33"/>
        <v/>
      </c>
      <c r="J312" s="93" t="str">
        <f t="shared" si="45"/>
        <v/>
      </c>
      <c r="K312" s="99" t="s">
        <v>189</v>
      </c>
      <c r="L312" s="127"/>
      <c r="M312" s="112">
        <f t="shared" si="27"/>
        <v>2017</v>
      </c>
    </row>
    <row r="313" spans="2:13">
      <c r="B313" s="521" t="s">
        <v>346</v>
      </c>
      <c r="C313" s="522" t="s">
        <v>880</v>
      </c>
      <c r="D313" s="522"/>
      <c r="E313" s="399" t="s">
        <v>881</v>
      </c>
      <c r="F313" s="522">
        <v>201611</v>
      </c>
      <c r="G313" s="431">
        <v>79413.95</v>
      </c>
      <c r="I313" s="126" t="str">
        <f t="shared" si="33"/>
        <v/>
      </c>
      <c r="J313" s="93" t="str">
        <f t="shared" si="45"/>
        <v/>
      </c>
      <c r="K313" s="99" t="s">
        <v>189</v>
      </c>
      <c r="L313" s="127"/>
      <c r="M313" s="112">
        <f t="shared" si="27"/>
        <v>2017</v>
      </c>
    </row>
    <row r="314" spans="2:13">
      <c r="B314" s="521" t="s">
        <v>346</v>
      </c>
      <c r="C314" s="522" t="s">
        <v>846</v>
      </c>
      <c r="D314" s="522"/>
      <c r="E314" s="521" t="s">
        <v>847</v>
      </c>
      <c r="F314" s="522">
        <v>201611</v>
      </c>
      <c r="G314" s="523">
        <v>165035.4</v>
      </c>
      <c r="I314" s="126" t="str">
        <f t="shared" si="33"/>
        <v/>
      </c>
      <c r="J314" s="93" t="str">
        <f t="shared" si="45"/>
        <v/>
      </c>
      <c r="K314" s="99" t="s">
        <v>189</v>
      </c>
      <c r="L314" s="127"/>
      <c r="M314" s="112">
        <f t="shared" ref="M314:M376" si="46">IF(F314&gt;$M$20,0+2017,0+2016)</f>
        <v>2017</v>
      </c>
    </row>
    <row r="315" spans="2:13">
      <c r="B315" s="521" t="s">
        <v>346</v>
      </c>
      <c r="C315" s="522" t="s">
        <v>377</v>
      </c>
      <c r="D315" s="522"/>
      <c r="E315" s="521" t="s">
        <v>378</v>
      </c>
      <c r="F315" s="522">
        <v>201611</v>
      </c>
      <c r="G315" s="523">
        <v>93289.17</v>
      </c>
      <c r="I315" s="126" t="str">
        <f t="shared" si="33"/>
        <v>Blanket</v>
      </c>
      <c r="J315" s="93" t="str">
        <f t="shared" si="45"/>
        <v/>
      </c>
      <c r="K315" s="99" t="s">
        <v>189</v>
      </c>
      <c r="L315" s="127"/>
      <c r="M315" s="112">
        <f t="shared" si="46"/>
        <v>2017</v>
      </c>
    </row>
    <row r="316" spans="2:13">
      <c r="B316" s="399" t="s">
        <v>346</v>
      </c>
      <c r="C316" s="522" t="s">
        <v>401</v>
      </c>
      <c r="D316" s="522"/>
      <c r="E316" s="399" t="s">
        <v>402</v>
      </c>
      <c r="F316" s="522">
        <v>201611</v>
      </c>
      <c r="G316" s="431">
        <v>0</v>
      </c>
      <c r="I316" s="126" t="str">
        <f t="shared" si="33"/>
        <v>Blanket</v>
      </c>
      <c r="J316" s="93" t="str">
        <f t="shared" si="45"/>
        <v/>
      </c>
      <c r="K316" s="99" t="s">
        <v>189</v>
      </c>
      <c r="L316" s="127"/>
      <c r="M316" s="112">
        <f t="shared" si="46"/>
        <v>2017</v>
      </c>
    </row>
    <row r="317" spans="2:13">
      <c r="B317" s="521" t="s">
        <v>346</v>
      </c>
      <c r="C317" s="522" t="s">
        <v>993</v>
      </c>
      <c r="D317" s="522"/>
      <c r="E317" s="399" t="s">
        <v>994</v>
      </c>
      <c r="F317" s="522">
        <v>201611</v>
      </c>
      <c r="G317" s="431">
        <v>3027.85</v>
      </c>
      <c r="I317" s="126" t="str">
        <f t="shared" si="33"/>
        <v/>
      </c>
      <c r="J317" s="93" t="str">
        <f t="shared" si="45"/>
        <v/>
      </c>
      <c r="K317" s="99" t="s">
        <v>189</v>
      </c>
      <c r="L317" s="127"/>
      <c r="M317" s="112">
        <f t="shared" si="46"/>
        <v>2017</v>
      </c>
    </row>
    <row r="318" spans="2:13">
      <c r="B318" s="521" t="s">
        <v>346</v>
      </c>
      <c r="C318" s="522" t="s">
        <v>983</v>
      </c>
      <c r="D318" s="522"/>
      <c r="E318" s="521" t="s">
        <v>984</v>
      </c>
      <c r="F318" s="522">
        <v>201611</v>
      </c>
      <c r="G318" s="523">
        <v>48.42</v>
      </c>
      <c r="I318" s="126" t="str">
        <f t="shared" si="33"/>
        <v/>
      </c>
      <c r="J318" s="93" t="str">
        <f t="shared" si="45"/>
        <v/>
      </c>
      <c r="K318" s="99" t="s">
        <v>189</v>
      </c>
      <c r="L318" s="127"/>
      <c r="M318" s="112">
        <f t="shared" si="46"/>
        <v>2017</v>
      </c>
    </row>
    <row r="319" spans="2:13">
      <c r="B319" s="521" t="s">
        <v>346</v>
      </c>
      <c r="C319" s="522" t="s">
        <v>951</v>
      </c>
      <c r="D319" s="522"/>
      <c r="E319" s="521" t="s">
        <v>952</v>
      </c>
      <c r="F319" s="522">
        <v>201611</v>
      </c>
      <c r="G319" s="523">
        <v>-357.31</v>
      </c>
      <c r="I319" s="126" t="str">
        <f t="shared" si="33"/>
        <v/>
      </c>
      <c r="J319" s="93" t="str">
        <f t="shared" si="45"/>
        <v/>
      </c>
      <c r="K319" s="99" t="s">
        <v>189</v>
      </c>
      <c r="L319" s="127"/>
      <c r="M319" s="112">
        <f t="shared" si="46"/>
        <v>2017</v>
      </c>
    </row>
    <row r="320" spans="2:13">
      <c r="B320" s="399" t="s">
        <v>346</v>
      </c>
      <c r="C320" s="522" t="s">
        <v>947</v>
      </c>
      <c r="D320" s="522"/>
      <c r="E320" s="399" t="s">
        <v>948</v>
      </c>
      <c r="F320" s="522">
        <v>201611</v>
      </c>
      <c r="G320" s="431">
        <v>-83.94</v>
      </c>
      <c r="I320" s="126" t="str">
        <f t="shared" si="33"/>
        <v/>
      </c>
      <c r="J320" s="93" t="str">
        <f t="shared" si="45"/>
        <v/>
      </c>
      <c r="K320" s="99" t="s">
        <v>189</v>
      </c>
      <c r="L320" s="127"/>
      <c r="M320" s="112">
        <f t="shared" si="46"/>
        <v>2017</v>
      </c>
    </row>
    <row r="321" spans="2:13">
      <c r="B321" s="521" t="s">
        <v>346</v>
      </c>
      <c r="C321" s="522" t="s">
        <v>682</v>
      </c>
      <c r="D321" s="522"/>
      <c r="E321" s="399" t="s">
        <v>683</v>
      </c>
      <c r="F321" s="522">
        <v>201611</v>
      </c>
      <c r="G321" s="431">
        <v>6964.23</v>
      </c>
      <c r="I321" s="126" t="str">
        <f t="shared" si="33"/>
        <v/>
      </c>
      <c r="J321" s="93" t="str">
        <f t="shared" si="45"/>
        <v/>
      </c>
      <c r="K321" s="99" t="s">
        <v>189</v>
      </c>
      <c r="L321" s="127"/>
      <c r="M321" s="112">
        <f t="shared" si="46"/>
        <v>2017</v>
      </c>
    </row>
    <row r="322" spans="2:13">
      <c r="B322" s="521" t="s">
        <v>346</v>
      </c>
      <c r="C322" s="522" t="s">
        <v>870</v>
      </c>
      <c r="D322" s="522"/>
      <c r="E322" s="521" t="s">
        <v>871</v>
      </c>
      <c r="F322" s="522">
        <v>201611</v>
      </c>
      <c r="G322" s="523">
        <v>16827.009999999998</v>
      </c>
      <c r="I322" s="126" t="str">
        <f t="shared" si="33"/>
        <v/>
      </c>
      <c r="J322" s="93" t="str">
        <f t="shared" si="45"/>
        <v/>
      </c>
      <c r="K322" s="99" t="s">
        <v>189</v>
      </c>
      <c r="L322" s="127"/>
      <c r="M322" s="112">
        <f t="shared" si="46"/>
        <v>2017</v>
      </c>
    </row>
    <row r="323" spans="2:13">
      <c r="B323" s="521" t="s">
        <v>346</v>
      </c>
      <c r="C323" s="522" t="s">
        <v>387</v>
      </c>
      <c r="D323" s="522"/>
      <c r="E323" s="521" t="s">
        <v>388</v>
      </c>
      <c r="F323" s="522">
        <v>201611</v>
      </c>
      <c r="G323" s="523">
        <v>226706.24</v>
      </c>
      <c r="I323" s="126" t="str">
        <f t="shared" si="33"/>
        <v>Blanket</v>
      </c>
      <c r="J323" s="93" t="str">
        <f t="shared" si="45"/>
        <v/>
      </c>
      <c r="K323" s="99" t="s">
        <v>189</v>
      </c>
      <c r="L323" s="127"/>
      <c r="M323" s="112">
        <f t="shared" si="46"/>
        <v>2017</v>
      </c>
    </row>
    <row r="324" spans="2:13">
      <c r="B324" s="399" t="s">
        <v>346</v>
      </c>
      <c r="C324" s="522" t="s">
        <v>371</v>
      </c>
      <c r="D324" s="522"/>
      <c r="E324" s="399" t="s">
        <v>372</v>
      </c>
      <c r="F324" s="522">
        <v>201611</v>
      </c>
      <c r="G324" s="431">
        <v>767.97</v>
      </c>
      <c r="I324" s="126" t="str">
        <f t="shared" si="33"/>
        <v>Blanket</v>
      </c>
      <c r="J324" s="93" t="str">
        <f t="shared" si="45"/>
        <v/>
      </c>
      <c r="K324" s="99" t="s">
        <v>189</v>
      </c>
      <c r="L324" s="127"/>
      <c r="M324" s="112">
        <f t="shared" si="46"/>
        <v>2017</v>
      </c>
    </row>
    <row r="325" spans="2:13">
      <c r="B325" s="521" t="s">
        <v>346</v>
      </c>
      <c r="C325" s="522" t="s">
        <v>369</v>
      </c>
      <c r="D325" s="522"/>
      <c r="E325" s="399" t="s">
        <v>370</v>
      </c>
      <c r="F325" s="522">
        <v>201611</v>
      </c>
      <c r="G325" s="431">
        <v>-3524.91</v>
      </c>
      <c r="I325" s="126" t="str">
        <f t="shared" si="33"/>
        <v>Blanket</v>
      </c>
      <c r="J325" s="93" t="str">
        <f t="shared" si="45"/>
        <v/>
      </c>
      <c r="K325" s="99" t="s">
        <v>189</v>
      </c>
      <c r="L325" s="127"/>
      <c r="M325" s="112">
        <f t="shared" si="46"/>
        <v>2017</v>
      </c>
    </row>
    <row r="326" spans="2:13">
      <c r="B326" s="521" t="s">
        <v>346</v>
      </c>
      <c r="C326" s="522" t="s">
        <v>355</v>
      </c>
      <c r="D326" s="522"/>
      <c r="E326" s="521" t="s">
        <v>356</v>
      </c>
      <c r="F326" s="522">
        <v>201611</v>
      </c>
      <c r="G326" s="523">
        <v>74335.39</v>
      </c>
      <c r="I326" s="126" t="str">
        <f t="shared" si="33"/>
        <v>Blanket</v>
      </c>
      <c r="J326" s="93" t="str">
        <f t="shared" si="45"/>
        <v/>
      </c>
      <c r="K326" s="99" t="s">
        <v>189</v>
      </c>
      <c r="L326" s="127"/>
      <c r="M326" s="112">
        <f t="shared" si="46"/>
        <v>2017</v>
      </c>
    </row>
    <row r="327" spans="2:13">
      <c r="B327" s="521" t="s">
        <v>346</v>
      </c>
      <c r="C327" s="522" t="s">
        <v>878</v>
      </c>
      <c r="D327" s="522"/>
      <c r="E327" s="521" t="s">
        <v>879</v>
      </c>
      <c r="F327" s="522">
        <v>201612</v>
      </c>
      <c r="G327" s="523">
        <v>-717.19</v>
      </c>
      <c r="I327" s="126" t="str">
        <f t="shared" si="33"/>
        <v/>
      </c>
      <c r="J327" s="93" t="str">
        <f t="shared" si="45"/>
        <v/>
      </c>
      <c r="K327" s="99" t="s">
        <v>189</v>
      </c>
      <c r="L327" s="127"/>
      <c r="M327" s="112">
        <f t="shared" si="46"/>
        <v>2017</v>
      </c>
    </row>
    <row r="328" spans="2:13">
      <c r="B328" s="521" t="s">
        <v>346</v>
      </c>
      <c r="C328" s="522" t="s">
        <v>1114</v>
      </c>
      <c r="D328" s="522"/>
      <c r="E328" s="399" t="s">
        <v>1115</v>
      </c>
      <c r="F328" s="522">
        <v>201612</v>
      </c>
      <c r="G328" s="431">
        <v>100041.53</v>
      </c>
      <c r="I328" s="590" t="str">
        <f t="shared" ref="I328" si="47">IF(LEFT(C328,2)="69","Blanket","")</f>
        <v/>
      </c>
      <c r="J328" s="93" t="str">
        <f t="shared" si="45"/>
        <v/>
      </c>
      <c r="K328" s="99" t="s">
        <v>189</v>
      </c>
      <c r="L328" s="591"/>
      <c r="M328" s="112">
        <f t="shared" si="46"/>
        <v>2017</v>
      </c>
    </row>
    <row r="329" spans="2:13">
      <c r="B329" s="521" t="s">
        <v>346</v>
      </c>
      <c r="C329" s="522" t="s">
        <v>1043</v>
      </c>
      <c r="D329" s="522"/>
      <c r="E329" s="521" t="s">
        <v>1044</v>
      </c>
      <c r="F329" s="522">
        <v>201612</v>
      </c>
      <c r="G329" s="523">
        <v>-1.02</v>
      </c>
      <c r="I329" s="126" t="str">
        <f t="shared" ref="I329" si="48">IF(LEFT(C329,2)="69","Blanket","")</f>
        <v/>
      </c>
      <c r="J329" s="93" t="str">
        <f t="shared" si="45"/>
        <v/>
      </c>
      <c r="K329" s="99" t="s">
        <v>189</v>
      </c>
      <c r="L329" s="127"/>
      <c r="M329" s="112">
        <f t="shared" si="46"/>
        <v>2017</v>
      </c>
    </row>
    <row r="330" spans="2:13">
      <c r="B330" s="521" t="s">
        <v>346</v>
      </c>
      <c r="C330" s="522" t="s">
        <v>1057</v>
      </c>
      <c r="D330" s="522"/>
      <c r="E330" s="521" t="s">
        <v>1058</v>
      </c>
      <c r="F330" s="522">
        <v>201612</v>
      </c>
      <c r="G330" s="523">
        <v>743.1</v>
      </c>
      <c r="I330" s="126" t="str">
        <f t="shared" si="28"/>
        <v/>
      </c>
      <c r="J330" s="93" t="str">
        <f t="shared" si="29"/>
        <v/>
      </c>
      <c r="K330" s="99" t="s">
        <v>189</v>
      </c>
      <c r="L330" s="127"/>
      <c r="M330" s="112">
        <f t="shared" si="46"/>
        <v>2017</v>
      </c>
    </row>
    <row r="331" spans="2:13">
      <c r="B331" s="521" t="s">
        <v>346</v>
      </c>
      <c r="C331" s="522" t="s">
        <v>856</v>
      </c>
      <c r="D331" s="522"/>
      <c r="E331" s="521" t="s">
        <v>857</v>
      </c>
      <c r="F331" s="522">
        <v>201612</v>
      </c>
      <c r="G331" s="523">
        <v>-96997.75</v>
      </c>
      <c r="I331" s="126" t="str">
        <f t="shared" si="28"/>
        <v/>
      </c>
      <c r="J331" s="93" t="str">
        <f t="shared" si="29"/>
        <v/>
      </c>
      <c r="K331" s="99" t="s">
        <v>189</v>
      </c>
      <c r="L331" s="127"/>
      <c r="M331" s="112">
        <f t="shared" si="46"/>
        <v>2017</v>
      </c>
    </row>
    <row r="332" spans="2:13">
      <c r="B332" s="399" t="s">
        <v>346</v>
      </c>
      <c r="C332" s="522" t="s">
        <v>862</v>
      </c>
      <c r="D332" s="522"/>
      <c r="E332" s="399" t="s">
        <v>863</v>
      </c>
      <c r="F332" s="522">
        <v>201612</v>
      </c>
      <c r="G332" s="431">
        <v>-256209.41</v>
      </c>
      <c r="I332" s="126" t="str">
        <f t="shared" si="28"/>
        <v/>
      </c>
      <c r="J332" s="93" t="str">
        <f t="shared" si="29"/>
        <v/>
      </c>
      <c r="K332" s="99" t="s">
        <v>189</v>
      </c>
      <c r="L332" s="127"/>
      <c r="M332" s="112">
        <f t="shared" si="46"/>
        <v>2017</v>
      </c>
    </row>
    <row r="333" spans="2:13">
      <c r="B333" s="521" t="s">
        <v>346</v>
      </c>
      <c r="C333" s="522" t="s">
        <v>880</v>
      </c>
      <c r="D333" s="522"/>
      <c r="E333" s="399" t="s">
        <v>881</v>
      </c>
      <c r="F333" s="522">
        <v>201612</v>
      </c>
      <c r="G333" s="431">
        <v>740.14</v>
      </c>
      <c r="I333" s="126" t="str">
        <f t="shared" si="28"/>
        <v/>
      </c>
      <c r="J333" s="93" t="str">
        <f t="shared" si="29"/>
        <v/>
      </c>
      <c r="K333" s="99" t="s">
        <v>189</v>
      </c>
      <c r="L333" s="127"/>
      <c r="M333" s="112">
        <f t="shared" si="46"/>
        <v>2017</v>
      </c>
    </row>
    <row r="334" spans="2:13">
      <c r="B334" s="521" t="s">
        <v>346</v>
      </c>
      <c r="C334" s="522" t="s">
        <v>872</v>
      </c>
      <c r="D334" s="522"/>
      <c r="E334" s="521" t="s">
        <v>873</v>
      </c>
      <c r="F334" s="522">
        <v>201612</v>
      </c>
      <c r="G334" s="523">
        <v>-54.3</v>
      </c>
      <c r="I334" s="126" t="str">
        <f t="shared" si="28"/>
        <v/>
      </c>
      <c r="J334" s="93" t="str">
        <f t="shared" si="29"/>
        <v/>
      </c>
      <c r="K334" s="99" t="s">
        <v>189</v>
      </c>
      <c r="L334" s="127"/>
      <c r="M334" s="112">
        <f t="shared" si="46"/>
        <v>2017</v>
      </c>
    </row>
    <row r="335" spans="2:13">
      <c r="B335" s="521" t="s">
        <v>346</v>
      </c>
      <c r="C335" s="522" t="s">
        <v>834</v>
      </c>
      <c r="D335" s="522"/>
      <c r="E335" s="521" t="s">
        <v>835</v>
      </c>
      <c r="F335" s="522">
        <v>201612</v>
      </c>
      <c r="G335" s="523">
        <v>271653.49</v>
      </c>
      <c r="I335" s="126" t="str">
        <f t="shared" si="28"/>
        <v/>
      </c>
      <c r="J335" s="93" t="str">
        <f t="shared" si="29"/>
        <v/>
      </c>
      <c r="K335" s="99" t="s">
        <v>189</v>
      </c>
      <c r="L335" s="127"/>
      <c r="M335" s="112">
        <f t="shared" si="46"/>
        <v>2017</v>
      </c>
    </row>
    <row r="336" spans="2:13">
      <c r="B336" s="399" t="s">
        <v>346</v>
      </c>
      <c r="C336" s="522" t="s">
        <v>379</v>
      </c>
      <c r="D336" s="522"/>
      <c r="E336" s="399" t="s">
        <v>380</v>
      </c>
      <c r="F336" s="522">
        <v>201612</v>
      </c>
      <c r="G336" s="431">
        <v>1025.3699999999999</v>
      </c>
      <c r="I336" s="126" t="str">
        <f t="shared" si="28"/>
        <v>Blanket</v>
      </c>
      <c r="J336" s="93" t="str">
        <f t="shared" si="29"/>
        <v/>
      </c>
      <c r="K336" s="99" t="s">
        <v>189</v>
      </c>
      <c r="L336" s="127"/>
      <c r="M336" s="112">
        <f t="shared" si="46"/>
        <v>2017</v>
      </c>
    </row>
    <row r="337" spans="2:13">
      <c r="B337" s="521" t="s">
        <v>346</v>
      </c>
      <c r="C337" s="522" t="s">
        <v>365</v>
      </c>
      <c r="D337" s="522"/>
      <c r="E337" s="399" t="s">
        <v>366</v>
      </c>
      <c r="F337" s="522">
        <v>201612</v>
      </c>
      <c r="G337" s="431">
        <v>-531.98</v>
      </c>
      <c r="I337" s="126" t="str">
        <f t="shared" si="28"/>
        <v>Blanket</v>
      </c>
      <c r="J337" s="93" t="str">
        <f t="shared" si="29"/>
        <v/>
      </c>
      <c r="K337" s="99" t="s">
        <v>189</v>
      </c>
      <c r="L337" s="127"/>
      <c r="M337" s="112">
        <f t="shared" si="46"/>
        <v>2017</v>
      </c>
    </row>
    <row r="338" spans="2:13">
      <c r="B338" s="521" t="s">
        <v>346</v>
      </c>
      <c r="C338" s="522" t="s">
        <v>822</v>
      </c>
      <c r="D338" s="522"/>
      <c r="E338" s="521" t="s">
        <v>823</v>
      </c>
      <c r="F338" s="522">
        <v>201612</v>
      </c>
      <c r="G338" s="523">
        <v>-27.23</v>
      </c>
      <c r="I338" s="126" t="str">
        <f t="shared" si="28"/>
        <v/>
      </c>
      <c r="J338" s="93" t="str">
        <f t="shared" si="29"/>
        <v/>
      </c>
      <c r="K338" s="99" t="s">
        <v>189</v>
      </c>
      <c r="L338" s="127"/>
      <c r="M338" s="112">
        <f t="shared" si="46"/>
        <v>2017</v>
      </c>
    </row>
    <row r="339" spans="2:13">
      <c r="B339" s="521" t="s">
        <v>346</v>
      </c>
      <c r="C339" s="522" t="s">
        <v>361</v>
      </c>
      <c r="D339" s="522"/>
      <c r="E339" s="521" t="s">
        <v>362</v>
      </c>
      <c r="F339" s="522">
        <v>201612</v>
      </c>
      <c r="G339" s="523">
        <v>849.77</v>
      </c>
      <c r="I339" s="126" t="str">
        <f t="shared" si="28"/>
        <v>Blanket</v>
      </c>
      <c r="J339" s="93" t="str">
        <f t="shared" si="29"/>
        <v/>
      </c>
      <c r="K339" s="99" t="s">
        <v>189</v>
      </c>
      <c r="L339" s="127"/>
      <c r="M339" s="112">
        <f t="shared" si="46"/>
        <v>2017</v>
      </c>
    </row>
    <row r="340" spans="2:13">
      <c r="B340" s="521" t="s">
        <v>346</v>
      </c>
      <c r="C340" s="522" t="s">
        <v>347</v>
      </c>
      <c r="D340" s="522"/>
      <c r="E340" s="521" t="s">
        <v>348</v>
      </c>
      <c r="F340" s="522">
        <v>201612</v>
      </c>
      <c r="G340" s="523">
        <v>855867.63</v>
      </c>
      <c r="I340" s="126" t="str">
        <f t="shared" si="28"/>
        <v>Blanket</v>
      </c>
      <c r="J340" s="93" t="str">
        <f t="shared" si="29"/>
        <v/>
      </c>
      <c r="K340" s="99" t="s">
        <v>189</v>
      </c>
      <c r="L340" s="127"/>
      <c r="M340" s="112">
        <f t="shared" si="46"/>
        <v>2017</v>
      </c>
    </row>
    <row r="341" spans="2:13">
      <c r="B341" s="521" t="s">
        <v>346</v>
      </c>
      <c r="C341" s="522" t="s">
        <v>731</v>
      </c>
      <c r="D341" s="522"/>
      <c r="E341" s="521" t="s">
        <v>732</v>
      </c>
      <c r="F341" s="522">
        <v>201612</v>
      </c>
      <c r="G341" s="523">
        <v>932.75</v>
      </c>
      <c r="I341" s="126" t="str">
        <f t="shared" si="28"/>
        <v>Blanket</v>
      </c>
      <c r="J341" s="93" t="str">
        <f t="shared" si="29"/>
        <v/>
      </c>
      <c r="K341" s="99" t="s">
        <v>189</v>
      </c>
      <c r="L341" s="127"/>
      <c r="M341" s="112">
        <f t="shared" si="46"/>
        <v>2017</v>
      </c>
    </row>
    <row r="342" spans="2:13">
      <c r="B342" s="399" t="s">
        <v>346</v>
      </c>
      <c r="C342" s="522" t="s">
        <v>1116</v>
      </c>
      <c r="D342" s="522"/>
      <c r="E342" s="399" t="s">
        <v>1117</v>
      </c>
      <c r="F342" s="522">
        <v>201612</v>
      </c>
      <c r="G342" s="431">
        <v>10122.799999999999</v>
      </c>
      <c r="I342" s="126" t="str">
        <f t="shared" si="28"/>
        <v/>
      </c>
      <c r="J342" s="93" t="str">
        <f t="shared" si="29"/>
        <v/>
      </c>
      <c r="K342" s="99" t="s">
        <v>189</v>
      </c>
      <c r="L342" s="127"/>
      <c r="M342" s="112">
        <f t="shared" si="46"/>
        <v>2017</v>
      </c>
    </row>
    <row r="343" spans="2:13">
      <c r="B343" s="521" t="s">
        <v>346</v>
      </c>
      <c r="C343" s="522" t="s">
        <v>1039</v>
      </c>
      <c r="D343" s="522"/>
      <c r="E343" s="399" t="s">
        <v>1040</v>
      </c>
      <c r="F343" s="522">
        <v>201612</v>
      </c>
      <c r="G343" s="431">
        <v>1439.87</v>
      </c>
      <c r="I343" s="126" t="str">
        <f t="shared" si="28"/>
        <v/>
      </c>
      <c r="J343" s="93" t="str">
        <f t="shared" si="29"/>
        <v/>
      </c>
      <c r="K343" s="99" t="s">
        <v>189</v>
      </c>
      <c r="L343" s="127"/>
      <c r="M343" s="112">
        <f t="shared" si="46"/>
        <v>2017</v>
      </c>
    </row>
    <row r="344" spans="2:13">
      <c r="B344" s="521" t="s">
        <v>346</v>
      </c>
      <c r="C344" s="522" t="s">
        <v>993</v>
      </c>
      <c r="D344" s="522"/>
      <c r="E344" s="521" t="s">
        <v>994</v>
      </c>
      <c r="F344" s="522">
        <v>201612</v>
      </c>
      <c r="G344" s="523">
        <v>136.18</v>
      </c>
      <c r="I344" s="126" t="str">
        <f t="shared" si="28"/>
        <v/>
      </c>
      <c r="J344" s="93" t="str">
        <f t="shared" si="29"/>
        <v/>
      </c>
      <c r="K344" s="99" t="s">
        <v>189</v>
      </c>
      <c r="L344" s="127"/>
      <c r="M344" s="112">
        <f t="shared" si="46"/>
        <v>2017</v>
      </c>
    </row>
    <row r="345" spans="2:13">
      <c r="B345" s="521" t="s">
        <v>346</v>
      </c>
      <c r="C345" s="522" t="s">
        <v>953</v>
      </c>
      <c r="D345" s="522"/>
      <c r="E345" s="521" t="s">
        <v>954</v>
      </c>
      <c r="F345" s="522">
        <v>201612</v>
      </c>
      <c r="G345" s="523">
        <v>-126629.14</v>
      </c>
      <c r="I345" s="126" t="str">
        <f t="shared" si="28"/>
        <v/>
      </c>
      <c r="J345" s="93" t="str">
        <f t="shared" si="29"/>
        <v/>
      </c>
      <c r="K345" s="99" t="s">
        <v>189</v>
      </c>
      <c r="L345" s="127"/>
      <c r="M345" s="112">
        <f t="shared" si="46"/>
        <v>2017</v>
      </c>
    </row>
    <row r="346" spans="2:13">
      <c r="B346" s="399" t="s">
        <v>346</v>
      </c>
      <c r="C346" s="522" t="s">
        <v>1055</v>
      </c>
      <c r="D346" s="522"/>
      <c r="E346" s="399" t="s">
        <v>1056</v>
      </c>
      <c r="F346" s="522">
        <v>201612</v>
      </c>
      <c r="G346" s="431">
        <v>-1.21</v>
      </c>
      <c r="I346" s="126" t="str">
        <f t="shared" si="28"/>
        <v/>
      </c>
      <c r="J346" s="93" t="str">
        <f t="shared" si="29"/>
        <v/>
      </c>
      <c r="K346" s="99" t="s">
        <v>189</v>
      </c>
      <c r="L346" s="127"/>
      <c r="M346" s="112">
        <f t="shared" si="46"/>
        <v>2017</v>
      </c>
    </row>
    <row r="347" spans="2:13">
      <c r="B347" s="521" t="s">
        <v>346</v>
      </c>
      <c r="C347" s="522" t="s">
        <v>862</v>
      </c>
      <c r="D347" s="522"/>
      <c r="E347" s="399" t="s">
        <v>863</v>
      </c>
      <c r="F347" s="522">
        <v>201612</v>
      </c>
      <c r="G347" s="431">
        <v>209466.97</v>
      </c>
      <c r="I347" s="126" t="str">
        <f t="shared" si="28"/>
        <v/>
      </c>
      <c r="J347" s="93" t="str">
        <f t="shared" si="29"/>
        <v/>
      </c>
      <c r="K347" s="99" t="s">
        <v>189</v>
      </c>
      <c r="L347" s="127"/>
      <c r="M347" s="112">
        <f t="shared" si="46"/>
        <v>2017</v>
      </c>
    </row>
    <row r="348" spans="2:13">
      <c r="B348" s="521" t="s">
        <v>346</v>
      </c>
      <c r="C348" s="522" t="s">
        <v>391</v>
      </c>
      <c r="D348" s="522"/>
      <c r="E348" s="521" t="s">
        <v>392</v>
      </c>
      <c r="F348" s="522">
        <v>201612</v>
      </c>
      <c r="G348" s="523">
        <v>141.19999999999999</v>
      </c>
      <c r="I348" s="126" t="str">
        <f t="shared" si="28"/>
        <v>Blanket</v>
      </c>
      <c r="J348" s="93" t="str">
        <f t="shared" si="29"/>
        <v/>
      </c>
      <c r="K348" s="99" t="s">
        <v>189</v>
      </c>
      <c r="L348" s="127"/>
      <c r="M348" s="112">
        <f t="shared" si="46"/>
        <v>2017</v>
      </c>
    </row>
    <row r="349" spans="2:13">
      <c r="B349" s="521" t="s">
        <v>346</v>
      </c>
      <c r="C349" s="522" t="s">
        <v>377</v>
      </c>
      <c r="D349" s="522"/>
      <c r="E349" s="521" t="s">
        <v>378</v>
      </c>
      <c r="F349" s="522">
        <v>201612</v>
      </c>
      <c r="G349" s="523">
        <v>91879.39</v>
      </c>
      <c r="I349" s="126" t="str">
        <f t="shared" si="28"/>
        <v>Blanket</v>
      </c>
      <c r="J349" s="93" t="str">
        <f t="shared" si="29"/>
        <v/>
      </c>
      <c r="K349" s="99" t="s">
        <v>189</v>
      </c>
      <c r="L349" s="127"/>
      <c r="M349" s="112">
        <f t="shared" si="46"/>
        <v>2017</v>
      </c>
    </row>
    <row r="350" spans="2:13">
      <c r="B350" s="399" t="s">
        <v>346</v>
      </c>
      <c r="C350" s="522" t="s">
        <v>371</v>
      </c>
      <c r="D350" s="522"/>
      <c r="E350" s="399" t="s">
        <v>372</v>
      </c>
      <c r="F350" s="522">
        <v>201612</v>
      </c>
      <c r="G350" s="431">
        <v>25.94</v>
      </c>
      <c r="I350" s="126" t="str">
        <f t="shared" si="28"/>
        <v>Blanket</v>
      </c>
      <c r="J350" s="93" t="str">
        <f t="shared" si="29"/>
        <v/>
      </c>
      <c r="K350" s="99" t="s">
        <v>189</v>
      </c>
      <c r="L350" s="127"/>
      <c r="M350" s="112">
        <f t="shared" si="46"/>
        <v>2017</v>
      </c>
    </row>
    <row r="351" spans="2:13">
      <c r="B351" s="521" t="s">
        <v>346</v>
      </c>
      <c r="C351" s="522" t="s">
        <v>1045</v>
      </c>
      <c r="D351" s="522"/>
      <c r="E351" s="399" t="s">
        <v>1046</v>
      </c>
      <c r="F351" s="522">
        <v>201612</v>
      </c>
      <c r="G351" s="431">
        <v>-89.07</v>
      </c>
      <c r="I351" s="126" t="str">
        <f t="shared" si="28"/>
        <v/>
      </c>
      <c r="J351" s="93" t="str">
        <f t="shared" si="29"/>
        <v/>
      </c>
      <c r="K351" s="99" t="s">
        <v>189</v>
      </c>
      <c r="L351" s="127"/>
      <c r="M351" s="112">
        <f t="shared" si="46"/>
        <v>2017</v>
      </c>
    </row>
    <row r="352" spans="2:13">
      <c r="B352" s="521" t="s">
        <v>346</v>
      </c>
      <c r="C352" s="522" t="s">
        <v>996</v>
      </c>
      <c r="D352" s="522"/>
      <c r="E352" s="521" t="s">
        <v>997</v>
      </c>
      <c r="F352" s="522">
        <v>201612</v>
      </c>
      <c r="G352" s="523">
        <v>2164.46</v>
      </c>
      <c r="I352" s="126" t="str">
        <f t="shared" si="28"/>
        <v/>
      </c>
      <c r="J352" s="93" t="str">
        <f t="shared" si="29"/>
        <v/>
      </c>
      <c r="K352" s="99" t="s">
        <v>189</v>
      </c>
      <c r="L352" s="127"/>
      <c r="M352" s="112">
        <f t="shared" si="46"/>
        <v>2017</v>
      </c>
    </row>
    <row r="353" spans="2:13">
      <c r="B353" s="521" t="s">
        <v>346</v>
      </c>
      <c r="C353" s="522" t="s">
        <v>985</v>
      </c>
      <c r="D353" s="522"/>
      <c r="E353" s="521" t="s">
        <v>986</v>
      </c>
      <c r="F353" s="522">
        <v>201612</v>
      </c>
      <c r="G353" s="523">
        <v>2033.7</v>
      </c>
      <c r="I353" s="126" t="str">
        <f t="shared" si="28"/>
        <v/>
      </c>
      <c r="J353" s="93" t="str">
        <f t="shared" si="29"/>
        <v/>
      </c>
      <c r="K353" s="99" t="s">
        <v>189</v>
      </c>
      <c r="L353" s="127"/>
      <c r="M353" s="112">
        <f t="shared" si="46"/>
        <v>2017</v>
      </c>
    </row>
    <row r="354" spans="2:13">
      <c r="B354" s="521" t="s">
        <v>346</v>
      </c>
      <c r="C354" s="522" t="s">
        <v>979</v>
      </c>
      <c r="D354" s="522"/>
      <c r="E354" s="521" t="s">
        <v>980</v>
      </c>
      <c r="F354" s="522">
        <v>201612</v>
      </c>
      <c r="G354" s="523">
        <v>2758.35</v>
      </c>
      <c r="I354" s="126" t="str">
        <f t="shared" si="28"/>
        <v/>
      </c>
      <c r="J354" s="93" t="str">
        <f t="shared" si="29"/>
        <v/>
      </c>
      <c r="K354" s="99" t="s">
        <v>189</v>
      </c>
      <c r="L354" s="127"/>
      <c r="M354" s="112">
        <f t="shared" si="46"/>
        <v>2017</v>
      </c>
    </row>
    <row r="355" spans="2:13">
      <c r="B355" s="521" t="s">
        <v>346</v>
      </c>
      <c r="C355" s="522" t="s">
        <v>951</v>
      </c>
      <c r="D355" s="522"/>
      <c r="E355" s="399" t="s">
        <v>952</v>
      </c>
      <c r="F355" s="522">
        <v>201612</v>
      </c>
      <c r="G355" s="431">
        <v>-146.88</v>
      </c>
      <c r="I355" s="126" t="str">
        <f t="shared" si="28"/>
        <v/>
      </c>
      <c r="J355" s="93" t="str">
        <f t="shared" si="29"/>
        <v/>
      </c>
      <c r="K355" s="99" t="s">
        <v>189</v>
      </c>
      <c r="L355" s="127"/>
      <c r="M355" s="112">
        <f t="shared" si="46"/>
        <v>2017</v>
      </c>
    </row>
    <row r="356" spans="2:13">
      <c r="B356" s="521" t="s">
        <v>346</v>
      </c>
      <c r="C356" s="522" t="s">
        <v>805</v>
      </c>
      <c r="D356" s="522"/>
      <c r="E356" s="521" t="s">
        <v>806</v>
      </c>
      <c r="F356" s="522">
        <v>201612</v>
      </c>
      <c r="G356" s="523">
        <v>1.34</v>
      </c>
      <c r="I356" s="126" t="str">
        <f t="shared" si="28"/>
        <v/>
      </c>
      <c r="J356" s="93" t="str">
        <f t="shared" si="29"/>
        <v/>
      </c>
      <c r="K356" s="99" t="s">
        <v>189</v>
      </c>
      <c r="L356" s="127"/>
      <c r="M356" s="112">
        <f t="shared" si="46"/>
        <v>2017</v>
      </c>
    </row>
    <row r="357" spans="2:13">
      <c r="B357" s="521" t="s">
        <v>346</v>
      </c>
      <c r="C357" s="522" t="s">
        <v>803</v>
      </c>
      <c r="D357" s="522"/>
      <c r="E357" s="521" t="s">
        <v>804</v>
      </c>
      <c r="F357" s="522">
        <v>201612</v>
      </c>
      <c r="G357" s="523">
        <v>-75.89</v>
      </c>
      <c r="I357" s="126" t="str">
        <f t="shared" si="28"/>
        <v/>
      </c>
      <c r="J357" s="93" t="str">
        <f t="shared" si="29"/>
        <v/>
      </c>
      <c r="K357" s="99" t="s">
        <v>189</v>
      </c>
      <c r="L357" s="127"/>
      <c r="M357" s="112">
        <f t="shared" si="46"/>
        <v>2017</v>
      </c>
    </row>
    <row r="358" spans="2:13">
      <c r="B358" s="399" t="s">
        <v>346</v>
      </c>
      <c r="C358" s="522" t="s">
        <v>385</v>
      </c>
      <c r="D358" s="522"/>
      <c r="E358" s="399" t="s">
        <v>386</v>
      </c>
      <c r="F358" s="522">
        <v>201612</v>
      </c>
      <c r="G358" s="431">
        <v>215340.92</v>
      </c>
      <c r="I358" s="126" t="str">
        <f t="shared" si="28"/>
        <v>Blanket</v>
      </c>
      <c r="J358" s="93" t="str">
        <f t="shared" si="29"/>
        <v/>
      </c>
      <c r="K358" s="99" t="s">
        <v>189</v>
      </c>
      <c r="L358" s="127"/>
      <c r="M358" s="112">
        <f t="shared" si="46"/>
        <v>2017</v>
      </c>
    </row>
    <row r="359" spans="2:13">
      <c r="B359" s="521" t="s">
        <v>346</v>
      </c>
      <c r="C359" s="522" t="s">
        <v>349</v>
      </c>
      <c r="D359" s="522"/>
      <c r="E359" s="399" t="s">
        <v>350</v>
      </c>
      <c r="F359" s="522">
        <v>201612</v>
      </c>
      <c r="G359" s="431">
        <v>5569.28</v>
      </c>
      <c r="I359" s="126" t="str">
        <f t="shared" si="28"/>
        <v>Blanket</v>
      </c>
      <c r="J359" s="93" t="str">
        <f t="shared" si="29"/>
        <v/>
      </c>
      <c r="K359" s="99" t="s">
        <v>189</v>
      </c>
      <c r="L359" s="127"/>
      <c r="M359" s="112">
        <f t="shared" si="46"/>
        <v>2017</v>
      </c>
    </row>
    <row r="360" spans="2:13">
      <c r="B360" s="521" t="s">
        <v>346</v>
      </c>
      <c r="C360" s="522" t="s">
        <v>854</v>
      </c>
      <c r="D360" s="522"/>
      <c r="E360" s="521" t="s">
        <v>855</v>
      </c>
      <c r="F360" s="522">
        <v>201612</v>
      </c>
      <c r="G360" s="523">
        <v>169857.13</v>
      </c>
      <c r="I360" s="126" t="str">
        <f t="shared" si="28"/>
        <v/>
      </c>
      <c r="J360" s="93" t="str">
        <f t="shared" si="29"/>
        <v/>
      </c>
      <c r="K360" s="99" t="s">
        <v>189</v>
      </c>
      <c r="L360" s="127"/>
      <c r="M360" s="112">
        <f t="shared" si="46"/>
        <v>2017</v>
      </c>
    </row>
    <row r="361" spans="2:13">
      <c r="B361" s="521" t="s">
        <v>346</v>
      </c>
      <c r="C361" s="522" t="s">
        <v>899</v>
      </c>
      <c r="D361" s="522"/>
      <c r="E361" s="521" t="s">
        <v>900</v>
      </c>
      <c r="F361" s="522">
        <v>201612</v>
      </c>
      <c r="G361" s="523">
        <v>2125.7399999999998</v>
      </c>
      <c r="I361" s="126" t="str">
        <f t="shared" si="28"/>
        <v/>
      </c>
      <c r="J361" s="93" t="str">
        <f t="shared" si="29"/>
        <v/>
      </c>
      <c r="K361" s="99" t="s">
        <v>189</v>
      </c>
      <c r="L361" s="127"/>
      <c r="M361" s="112">
        <f t="shared" si="46"/>
        <v>2017</v>
      </c>
    </row>
    <row r="362" spans="2:13">
      <c r="B362" s="399" t="s">
        <v>346</v>
      </c>
      <c r="C362" s="522" t="s">
        <v>856</v>
      </c>
      <c r="D362" s="522"/>
      <c r="E362" s="399" t="s">
        <v>857</v>
      </c>
      <c r="F362" s="522">
        <v>201612</v>
      </c>
      <c r="G362" s="431">
        <v>0.3</v>
      </c>
      <c r="I362" s="126" t="str">
        <f t="shared" si="28"/>
        <v/>
      </c>
      <c r="J362" s="93" t="str">
        <f t="shared" si="29"/>
        <v/>
      </c>
      <c r="K362" s="99" t="s">
        <v>189</v>
      </c>
      <c r="L362" s="127"/>
      <c r="M362" s="112">
        <f t="shared" si="46"/>
        <v>2017</v>
      </c>
    </row>
    <row r="363" spans="2:13">
      <c r="B363" s="521" t="s">
        <v>346</v>
      </c>
      <c r="C363" s="522" t="s">
        <v>1118</v>
      </c>
      <c r="D363" s="522"/>
      <c r="E363" s="399" t="s">
        <v>1119</v>
      </c>
      <c r="F363" s="522">
        <v>201612</v>
      </c>
      <c r="G363" s="431">
        <v>28110.13</v>
      </c>
      <c r="I363" s="126" t="str">
        <f t="shared" si="28"/>
        <v/>
      </c>
      <c r="J363" s="93" t="str">
        <f t="shared" si="29"/>
        <v/>
      </c>
      <c r="K363" s="99" t="s">
        <v>189</v>
      </c>
      <c r="L363" s="127"/>
      <c r="M363" s="112">
        <f t="shared" si="46"/>
        <v>2017</v>
      </c>
    </row>
    <row r="364" spans="2:13">
      <c r="B364" s="521" t="s">
        <v>346</v>
      </c>
      <c r="C364" s="522" t="s">
        <v>1110</v>
      </c>
      <c r="D364" s="522"/>
      <c r="E364" s="521" t="s">
        <v>1111</v>
      </c>
      <c r="F364" s="522">
        <v>201612</v>
      </c>
      <c r="G364" s="523">
        <v>137988.35</v>
      </c>
      <c r="I364" s="126" t="str">
        <f t="shared" si="28"/>
        <v/>
      </c>
      <c r="J364" s="93" t="str">
        <f t="shared" si="29"/>
        <v/>
      </c>
      <c r="K364" s="99" t="s">
        <v>189</v>
      </c>
      <c r="L364" s="127"/>
      <c r="M364" s="112">
        <f t="shared" si="46"/>
        <v>2017</v>
      </c>
    </row>
    <row r="365" spans="2:13">
      <c r="B365" s="521" t="s">
        <v>346</v>
      </c>
      <c r="C365" s="522" t="s">
        <v>967</v>
      </c>
      <c r="D365" s="522"/>
      <c r="E365" s="521" t="s">
        <v>968</v>
      </c>
      <c r="F365" s="522">
        <v>201612</v>
      </c>
      <c r="G365" s="523">
        <v>141.36000000000001</v>
      </c>
      <c r="I365" s="126" t="str">
        <f t="shared" si="28"/>
        <v/>
      </c>
      <c r="J365" s="93" t="str">
        <f t="shared" si="29"/>
        <v/>
      </c>
      <c r="K365" s="99" t="s">
        <v>189</v>
      </c>
      <c r="L365" s="127"/>
      <c r="M365" s="112">
        <f t="shared" si="46"/>
        <v>2017</v>
      </c>
    </row>
    <row r="366" spans="2:13">
      <c r="B366" s="399" t="s">
        <v>346</v>
      </c>
      <c r="C366" s="522" t="s">
        <v>983</v>
      </c>
      <c r="D366" s="522"/>
      <c r="E366" s="399" t="s">
        <v>984</v>
      </c>
      <c r="F366" s="522">
        <v>201612</v>
      </c>
      <c r="G366" s="431">
        <v>110.14</v>
      </c>
      <c r="I366" s="126" t="str">
        <f t="shared" si="28"/>
        <v/>
      </c>
      <c r="J366" s="93" t="str">
        <f t="shared" si="29"/>
        <v/>
      </c>
      <c r="K366" s="99" t="s">
        <v>189</v>
      </c>
      <c r="L366" s="127"/>
      <c r="M366" s="112">
        <f t="shared" si="46"/>
        <v>2017</v>
      </c>
    </row>
    <row r="367" spans="2:13">
      <c r="B367" s="521" t="s">
        <v>346</v>
      </c>
      <c r="C367" s="522" t="s">
        <v>981</v>
      </c>
      <c r="D367" s="522"/>
      <c r="E367" s="399" t="s">
        <v>1014</v>
      </c>
      <c r="F367" s="522">
        <v>201612</v>
      </c>
      <c r="G367" s="431">
        <v>548.98</v>
      </c>
      <c r="I367" s="126" t="str">
        <f t="shared" si="28"/>
        <v/>
      </c>
      <c r="J367" s="93" t="str">
        <f t="shared" si="29"/>
        <v/>
      </c>
      <c r="K367" s="99" t="s">
        <v>189</v>
      </c>
      <c r="L367" s="127"/>
      <c r="M367" s="112">
        <f t="shared" si="46"/>
        <v>2017</v>
      </c>
    </row>
    <row r="368" spans="2:13">
      <c r="B368" s="521" t="s">
        <v>346</v>
      </c>
      <c r="C368" s="522" t="s">
        <v>977</v>
      </c>
      <c r="D368" s="522"/>
      <c r="E368" s="521" t="s">
        <v>978</v>
      </c>
      <c r="F368" s="522">
        <v>201612</v>
      </c>
      <c r="G368" s="523">
        <v>7.43</v>
      </c>
      <c r="I368" s="126" t="str">
        <f t="shared" si="28"/>
        <v/>
      </c>
      <c r="J368" s="93" t="str">
        <f t="shared" si="29"/>
        <v/>
      </c>
      <c r="K368" s="99" t="s">
        <v>189</v>
      </c>
      <c r="L368" s="127"/>
      <c r="M368" s="112">
        <f t="shared" si="46"/>
        <v>2017</v>
      </c>
    </row>
    <row r="369" spans="2:13">
      <c r="B369" s="399" t="s">
        <v>346</v>
      </c>
      <c r="C369" s="522" t="s">
        <v>1004</v>
      </c>
      <c r="D369" s="522"/>
      <c r="E369" s="399" t="s">
        <v>1005</v>
      </c>
      <c r="F369" s="522">
        <v>201612</v>
      </c>
      <c r="G369" s="431">
        <v>-733.77</v>
      </c>
      <c r="I369" s="126" t="str">
        <f t="shared" si="28"/>
        <v/>
      </c>
      <c r="J369" s="93" t="str">
        <f t="shared" si="29"/>
        <v/>
      </c>
      <c r="K369" s="99" t="s">
        <v>189</v>
      </c>
      <c r="L369" s="127"/>
      <c r="M369" s="112">
        <f t="shared" si="46"/>
        <v>2017</v>
      </c>
    </row>
    <row r="370" spans="2:13">
      <c r="B370" s="521" t="s">
        <v>346</v>
      </c>
      <c r="C370" s="522" t="s">
        <v>1079</v>
      </c>
      <c r="D370" s="522"/>
      <c r="E370" s="521" t="s">
        <v>1080</v>
      </c>
      <c r="F370" s="522">
        <v>201612</v>
      </c>
      <c r="G370" s="523">
        <v>2234.33</v>
      </c>
      <c r="I370" s="126" t="str">
        <f t="shared" si="28"/>
        <v/>
      </c>
      <c r="J370" s="93" t="str">
        <f t="shared" si="29"/>
        <v/>
      </c>
      <c r="K370" s="99" t="s">
        <v>189</v>
      </c>
      <c r="L370" s="127"/>
      <c r="M370" s="112">
        <f t="shared" si="46"/>
        <v>2017</v>
      </c>
    </row>
    <row r="371" spans="2:13">
      <c r="B371" s="399" t="s">
        <v>346</v>
      </c>
      <c r="C371" s="522" t="s">
        <v>1077</v>
      </c>
      <c r="D371" s="522"/>
      <c r="E371" s="399" t="s">
        <v>1078</v>
      </c>
      <c r="F371" s="522">
        <v>201612</v>
      </c>
      <c r="G371" s="431">
        <v>456.09</v>
      </c>
      <c r="I371" s="126" t="str">
        <f t="shared" si="28"/>
        <v/>
      </c>
      <c r="J371" s="93" t="str">
        <f t="shared" si="29"/>
        <v/>
      </c>
      <c r="K371" s="99" t="s">
        <v>189</v>
      </c>
      <c r="L371" s="127"/>
      <c r="M371" s="112">
        <f t="shared" si="46"/>
        <v>2017</v>
      </c>
    </row>
    <row r="372" spans="2:13">
      <c r="B372" s="521" t="s">
        <v>346</v>
      </c>
      <c r="C372" s="522" t="s">
        <v>800</v>
      </c>
      <c r="D372" s="522"/>
      <c r="E372" s="399" t="s">
        <v>830</v>
      </c>
      <c r="F372" s="522">
        <v>201612</v>
      </c>
      <c r="G372" s="431">
        <v>-3775.97</v>
      </c>
      <c r="I372" s="126" t="str">
        <f t="shared" si="28"/>
        <v/>
      </c>
      <c r="J372" s="93" t="str">
        <f t="shared" si="29"/>
        <v/>
      </c>
      <c r="K372" s="99" t="s">
        <v>189</v>
      </c>
      <c r="L372" s="127"/>
      <c r="M372" s="112">
        <f t="shared" si="46"/>
        <v>2017</v>
      </c>
    </row>
    <row r="373" spans="2:13">
      <c r="B373" s="521" t="s">
        <v>346</v>
      </c>
      <c r="C373" s="522" t="s">
        <v>874</v>
      </c>
      <c r="D373" s="522"/>
      <c r="E373" s="521" t="s">
        <v>875</v>
      </c>
      <c r="F373" s="522">
        <v>201612</v>
      </c>
      <c r="G373" s="523">
        <v>106.87</v>
      </c>
      <c r="I373" s="126" t="str">
        <f t="shared" ref="I373:I429" si="49">IF(LEFT(C373,2)="69","Blanket","")</f>
        <v/>
      </c>
      <c r="J373" s="93" t="str">
        <f t="shared" ref="J373:J429" si="50">IF(F373&gt;$J$20,"",IF(F373&gt;=$J$22,"In service",""))</f>
        <v/>
      </c>
      <c r="K373" s="99" t="s">
        <v>189</v>
      </c>
      <c r="L373" s="127"/>
      <c r="M373" s="112">
        <f t="shared" si="46"/>
        <v>2017</v>
      </c>
    </row>
    <row r="374" spans="2:13">
      <c r="B374" s="521" t="s">
        <v>346</v>
      </c>
      <c r="C374" s="522" t="s">
        <v>800</v>
      </c>
      <c r="D374" s="522"/>
      <c r="E374" s="521" t="s">
        <v>830</v>
      </c>
      <c r="F374" s="522">
        <v>201612</v>
      </c>
      <c r="G374" s="523">
        <v>10212.290000000001</v>
      </c>
      <c r="I374" s="126" t="str">
        <f t="shared" si="49"/>
        <v/>
      </c>
      <c r="J374" s="93" t="str">
        <f t="shared" si="50"/>
        <v/>
      </c>
      <c r="K374" s="99" t="s">
        <v>189</v>
      </c>
      <c r="L374" s="127"/>
      <c r="M374" s="112">
        <f t="shared" si="46"/>
        <v>2017</v>
      </c>
    </row>
    <row r="375" spans="2:13">
      <c r="B375" s="521" t="s">
        <v>346</v>
      </c>
      <c r="C375" s="522" t="s">
        <v>393</v>
      </c>
      <c r="D375" s="522"/>
      <c r="E375" s="521" t="s">
        <v>394</v>
      </c>
      <c r="F375" s="522">
        <v>201612</v>
      </c>
      <c r="G375" s="523">
        <v>-9944.59</v>
      </c>
      <c r="I375" s="126" t="str">
        <f t="shared" si="49"/>
        <v>Blanket</v>
      </c>
      <c r="J375" s="93" t="str">
        <f t="shared" si="50"/>
        <v/>
      </c>
      <c r="K375" s="99" t="s">
        <v>189</v>
      </c>
      <c r="L375" s="127"/>
      <c r="M375" s="112">
        <f t="shared" si="46"/>
        <v>2017</v>
      </c>
    </row>
    <row r="376" spans="2:13">
      <c r="B376" s="399" t="s">
        <v>346</v>
      </c>
      <c r="C376" s="522" t="s">
        <v>383</v>
      </c>
      <c r="D376" s="522"/>
      <c r="E376" s="399" t="s">
        <v>384</v>
      </c>
      <c r="F376" s="522">
        <v>201612</v>
      </c>
      <c r="G376" s="431">
        <v>-600</v>
      </c>
      <c r="I376" s="126" t="str">
        <f t="shared" si="49"/>
        <v>Blanket</v>
      </c>
      <c r="J376" s="93" t="str">
        <f t="shared" si="50"/>
        <v/>
      </c>
      <c r="K376" s="99" t="s">
        <v>189</v>
      </c>
      <c r="L376" s="127"/>
      <c r="M376" s="112">
        <f t="shared" si="46"/>
        <v>2017</v>
      </c>
    </row>
    <row r="377" spans="2:13">
      <c r="B377" s="521" t="s">
        <v>346</v>
      </c>
      <c r="C377" s="522" t="s">
        <v>375</v>
      </c>
      <c r="D377" s="522"/>
      <c r="E377" s="399" t="s">
        <v>376</v>
      </c>
      <c r="F377" s="522">
        <v>201612</v>
      </c>
      <c r="G377" s="431">
        <v>-9195.1299999999992</v>
      </c>
      <c r="I377" s="126" t="str">
        <f t="shared" si="49"/>
        <v>Blanket</v>
      </c>
      <c r="J377" s="93" t="str">
        <f t="shared" si="50"/>
        <v/>
      </c>
      <c r="K377" s="99" t="s">
        <v>189</v>
      </c>
      <c r="L377" s="127"/>
      <c r="M377" s="112">
        <f t="shared" ref="M377:M429" si="51">IF(F377&gt;$M$20,0+2017,0+2016)</f>
        <v>2017</v>
      </c>
    </row>
    <row r="378" spans="2:13">
      <c r="B378" s="521" t="s">
        <v>346</v>
      </c>
      <c r="C378" s="522" t="s">
        <v>367</v>
      </c>
      <c r="D378" s="522"/>
      <c r="E378" s="521" t="s">
        <v>368</v>
      </c>
      <c r="F378" s="522">
        <v>201612</v>
      </c>
      <c r="G378" s="523">
        <v>4530.68</v>
      </c>
      <c r="I378" s="126" t="str">
        <f t="shared" si="49"/>
        <v>Blanket</v>
      </c>
      <c r="J378" s="93" t="str">
        <f t="shared" si="50"/>
        <v/>
      </c>
      <c r="K378" s="99" t="s">
        <v>189</v>
      </c>
      <c r="L378" s="127"/>
      <c r="M378" s="112">
        <f t="shared" si="51"/>
        <v>2017</v>
      </c>
    </row>
    <row r="379" spans="2:13">
      <c r="B379" s="521" t="s">
        <v>346</v>
      </c>
      <c r="C379" s="522" t="s">
        <v>801</v>
      </c>
      <c r="D379" s="522"/>
      <c r="E379" s="521" t="s">
        <v>802</v>
      </c>
      <c r="F379" s="522">
        <v>201612</v>
      </c>
      <c r="G379" s="523">
        <v>-22.46</v>
      </c>
      <c r="I379" s="126" t="str">
        <f t="shared" si="49"/>
        <v/>
      </c>
      <c r="J379" s="93" t="str">
        <f t="shared" si="50"/>
        <v/>
      </c>
      <c r="K379" s="99" t="s">
        <v>189</v>
      </c>
      <c r="L379" s="127"/>
      <c r="M379" s="112">
        <f t="shared" si="51"/>
        <v>2017</v>
      </c>
    </row>
    <row r="380" spans="2:13">
      <c r="B380" s="399" t="s">
        <v>346</v>
      </c>
      <c r="C380" s="522" t="s">
        <v>359</v>
      </c>
      <c r="D380" s="522"/>
      <c r="E380" s="399" t="s">
        <v>360</v>
      </c>
      <c r="F380" s="522">
        <v>201612</v>
      </c>
      <c r="G380" s="431">
        <v>-2.63</v>
      </c>
      <c r="I380" s="126" t="str">
        <f t="shared" si="49"/>
        <v>Blanket</v>
      </c>
      <c r="J380" s="93" t="str">
        <f t="shared" si="50"/>
        <v/>
      </c>
      <c r="K380" s="99" t="s">
        <v>189</v>
      </c>
      <c r="L380" s="127"/>
      <c r="M380" s="112">
        <f t="shared" si="51"/>
        <v>2017</v>
      </c>
    </row>
    <row r="381" spans="2:13">
      <c r="B381" s="521" t="s">
        <v>346</v>
      </c>
      <c r="C381" s="522" t="s">
        <v>1033</v>
      </c>
      <c r="D381" s="522"/>
      <c r="E381" s="399" t="s">
        <v>1034</v>
      </c>
      <c r="F381" s="522">
        <v>201612</v>
      </c>
      <c r="G381" s="431">
        <v>1114.1300000000001</v>
      </c>
      <c r="I381" s="126" t="str">
        <f t="shared" si="49"/>
        <v/>
      </c>
      <c r="J381" s="93" t="str">
        <f t="shared" si="50"/>
        <v/>
      </c>
      <c r="K381" s="99" t="s">
        <v>189</v>
      </c>
      <c r="L381" s="127"/>
      <c r="M381" s="112">
        <f t="shared" si="51"/>
        <v>2017</v>
      </c>
    </row>
    <row r="382" spans="2:13">
      <c r="B382" s="521" t="s">
        <v>346</v>
      </c>
      <c r="C382" s="522" t="s">
        <v>989</v>
      </c>
      <c r="D382" s="522"/>
      <c r="E382" s="521" t="s">
        <v>990</v>
      </c>
      <c r="F382" s="522">
        <v>201612</v>
      </c>
      <c r="G382" s="523">
        <v>-20.399999999999999</v>
      </c>
      <c r="I382" s="126" t="str">
        <f t="shared" si="49"/>
        <v/>
      </c>
      <c r="J382" s="93" t="str">
        <f t="shared" si="50"/>
        <v/>
      </c>
      <c r="K382" s="99" t="s">
        <v>189</v>
      </c>
      <c r="L382" s="127"/>
      <c r="M382" s="112">
        <f t="shared" si="51"/>
        <v>2017</v>
      </c>
    </row>
    <row r="383" spans="2:13">
      <c r="B383" s="521" t="s">
        <v>346</v>
      </c>
      <c r="C383" s="522" t="s">
        <v>1049</v>
      </c>
      <c r="D383" s="522"/>
      <c r="E383" s="521" t="s">
        <v>1050</v>
      </c>
      <c r="F383" s="522">
        <v>201612</v>
      </c>
      <c r="G383" s="523">
        <v>25.84</v>
      </c>
      <c r="I383" s="126" t="str">
        <f t="shared" si="49"/>
        <v/>
      </c>
      <c r="J383" s="93" t="str">
        <f t="shared" si="50"/>
        <v/>
      </c>
      <c r="K383" s="99" t="s">
        <v>189</v>
      </c>
      <c r="L383" s="127"/>
      <c r="M383" s="112">
        <f t="shared" si="51"/>
        <v>2017</v>
      </c>
    </row>
    <row r="384" spans="2:13">
      <c r="B384" s="399" t="s">
        <v>346</v>
      </c>
      <c r="C384" s="522" t="s">
        <v>682</v>
      </c>
      <c r="D384" s="522"/>
      <c r="E384" s="399" t="s">
        <v>683</v>
      </c>
      <c r="F384" s="522">
        <v>201612</v>
      </c>
      <c r="G384" s="431">
        <v>5885.7</v>
      </c>
      <c r="I384" s="126" t="str">
        <f t="shared" si="49"/>
        <v/>
      </c>
      <c r="J384" s="93" t="str">
        <f t="shared" si="50"/>
        <v/>
      </c>
      <c r="K384" s="99" t="s">
        <v>189</v>
      </c>
      <c r="L384" s="127"/>
      <c r="M384" s="112">
        <f t="shared" si="51"/>
        <v>2017</v>
      </c>
    </row>
    <row r="385" spans="2:13">
      <c r="B385" s="521" t="s">
        <v>346</v>
      </c>
      <c r="C385" s="522" t="s">
        <v>856</v>
      </c>
      <c r="D385" s="522"/>
      <c r="E385" s="399" t="s">
        <v>857</v>
      </c>
      <c r="F385" s="522">
        <v>201612</v>
      </c>
      <c r="G385" s="431">
        <v>35988.43</v>
      </c>
      <c r="I385" s="126" t="str">
        <f t="shared" si="49"/>
        <v/>
      </c>
      <c r="J385" s="93" t="str">
        <f t="shared" si="50"/>
        <v/>
      </c>
      <c r="K385" s="99" t="s">
        <v>189</v>
      </c>
      <c r="L385" s="127"/>
      <c r="M385" s="112">
        <f t="shared" si="51"/>
        <v>2017</v>
      </c>
    </row>
    <row r="386" spans="2:13">
      <c r="B386" s="521" t="s">
        <v>346</v>
      </c>
      <c r="C386" s="522" t="s">
        <v>814</v>
      </c>
      <c r="D386" s="522"/>
      <c r="E386" s="521" t="s">
        <v>815</v>
      </c>
      <c r="F386" s="522">
        <v>201612</v>
      </c>
      <c r="G386" s="523">
        <v>185594.94</v>
      </c>
      <c r="I386" s="126" t="str">
        <f t="shared" si="49"/>
        <v/>
      </c>
      <c r="J386" s="93" t="str">
        <f t="shared" si="50"/>
        <v/>
      </c>
      <c r="K386" s="99" t="s">
        <v>189</v>
      </c>
      <c r="L386" s="127"/>
      <c r="M386" s="112">
        <f t="shared" si="51"/>
        <v>2017</v>
      </c>
    </row>
    <row r="387" spans="2:13">
      <c r="B387" s="521" t="s">
        <v>346</v>
      </c>
      <c r="C387" s="522" t="s">
        <v>891</v>
      </c>
      <c r="D387" s="522"/>
      <c r="E387" s="521" t="s">
        <v>892</v>
      </c>
      <c r="F387" s="522">
        <v>201612</v>
      </c>
      <c r="G387" s="523">
        <v>11.29</v>
      </c>
      <c r="I387" s="126" t="str">
        <f t="shared" si="49"/>
        <v/>
      </c>
      <c r="J387" s="93" t="str">
        <f t="shared" si="50"/>
        <v/>
      </c>
      <c r="K387" s="99" t="s">
        <v>189</v>
      </c>
      <c r="L387" s="127"/>
      <c r="M387" s="112">
        <f t="shared" si="51"/>
        <v>2017</v>
      </c>
    </row>
    <row r="388" spans="2:13">
      <c r="B388" s="399" t="s">
        <v>346</v>
      </c>
      <c r="C388" s="522" t="s">
        <v>373</v>
      </c>
      <c r="D388" s="522"/>
      <c r="E388" s="399" t="s">
        <v>374</v>
      </c>
      <c r="F388" s="522">
        <v>201612</v>
      </c>
      <c r="G388" s="431">
        <v>-960</v>
      </c>
      <c r="I388" s="126" t="str">
        <f t="shared" si="49"/>
        <v>Blanket</v>
      </c>
      <c r="J388" s="93" t="str">
        <f t="shared" si="50"/>
        <v/>
      </c>
      <c r="K388" s="99" t="s">
        <v>189</v>
      </c>
      <c r="L388" s="127"/>
      <c r="M388" s="112">
        <f t="shared" si="51"/>
        <v>2017</v>
      </c>
    </row>
    <row r="389" spans="2:13">
      <c r="B389" s="521" t="s">
        <v>346</v>
      </c>
      <c r="C389" s="522" t="s">
        <v>868</v>
      </c>
      <c r="D389" s="522"/>
      <c r="E389" s="399" t="s">
        <v>869</v>
      </c>
      <c r="F389" s="522">
        <v>201612</v>
      </c>
      <c r="G389" s="431">
        <v>235.62</v>
      </c>
      <c r="I389" s="126" t="str">
        <f t="shared" si="49"/>
        <v/>
      </c>
      <c r="J389" s="93" t="str">
        <f t="shared" si="50"/>
        <v/>
      </c>
      <c r="K389" s="99" t="s">
        <v>189</v>
      </c>
      <c r="L389" s="127"/>
      <c r="M389" s="112">
        <f t="shared" si="51"/>
        <v>2017</v>
      </c>
    </row>
    <row r="390" spans="2:13">
      <c r="B390" s="521" t="s">
        <v>346</v>
      </c>
      <c r="C390" s="522" t="s">
        <v>355</v>
      </c>
      <c r="D390" s="522"/>
      <c r="E390" s="521" t="s">
        <v>356</v>
      </c>
      <c r="F390" s="522">
        <v>201612</v>
      </c>
      <c r="G390" s="523">
        <v>43366.26</v>
      </c>
      <c r="I390" s="126" t="str">
        <f t="shared" si="49"/>
        <v>Blanket</v>
      </c>
      <c r="J390" s="93" t="str">
        <f t="shared" si="50"/>
        <v/>
      </c>
      <c r="K390" s="99" t="s">
        <v>189</v>
      </c>
      <c r="L390" s="127"/>
      <c r="M390" s="112">
        <f t="shared" si="51"/>
        <v>2017</v>
      </c>
    </row>
    <row r="391" spans="2:13">
      <c r="B391" s="521" t="s">
        <v>346</v>
      </c>
      <c r="C391" s="522" t="s">
        <v>1106</v>
      </c>
      <c r="D391" s="522"/>
      <c r="E391" s="521" t="s">
        <v>1107</v>
      </c>
      <c r="F391" s="522">
        <v>201612</v>
      </c>
      <c r="G391" s="523">
        <v>84369.95</v>
      </c>
      <c r="I391" s="126" t="str">
        <f t="shared" si="49"/>
        <v/>
      </c>
      <c r="J391" s="93" t="str">
        <f t="shared" si="50"/>
        <v/>
      </c>
      <c r="K391" s="99" t="s">
        <v>189</v>
      </c>
      <c r="L391" s="127"/>
      <c r="M391" s="112">
        <f t="shared" si="51"/>
        <v>2017</v>
      </c>
    </row>
    <row r="392" spans="2:13">
      <c r="B392" s="521" t="s">
        <v>346</v>
      </c>
      <c r="C392" s="522" t="s">
        <v>963</v>
      </c>
      <c r="D392" s="522"/>
      <c r="E392" s="399" t="s">
        <v>964</v>
      </c>
      <c r="F392" s="522">
        <v>201612</v>
      </c>
      <c r="G392" s="431">
        <v>28.65</v>
      </c>
      <c r="I392" s="126" t="str">
        <f t="shared" si="49"/>
        <v/>
      </c>
      <c r="J392" s="93" t="str">
        <f t="shared" si="50"/>
        <v/>
      </c>
      <c r="K392" s="99" t="s">
        <v>189</v>
      </c>
      <c r="L392" s="127"/>
      <c r="M392" s="112">
        <f t="shared" si="51"/>
        <v>2017</v>
      </c>
    </row>
    <row r="393" spans="2:13">
      <c r="B393" s="521" t="s">
        <v>346</v>
      </c>
      <c r="C393" s="522" t="s">
        <v>961</v>
      </c>
      <c r="D393" s="522"/>
      <c r="E393" s="521" t="s">
        <v>962</v>
      </c>
      <c r="F393" s="522">
        <v>201612</v>
      </c>
      <c r="G393" s="523">
        <v>-89.13</v>
      </c>
      <c r="I393" s="126" t="str">
        <f t="shared" si="49"/>
        <v/>
      </c>
      <c r="J393" s="93" t="str">
        <f t="shared" si="50"/>
        <v/>
      </c>
      <c r="K393" s="99" t="s">
        <v>189</v>
      </c>
      <c r="L393" s="127"/>
      <c r="M393" s="112">
        <f t="shared" si="51"/>
        <v>2017</v>
      </c>
    </row>
    <row r="394" spans="2:13">
      <c r="B394" s="521" t="s">
        <v>346</v>
      </c>
      <c r="C394" s="522" t="s">
        <v>975</v>
      </c>
      <c r="D394" s="522"/>
      <c r="E394" s="521" t="s">
        <v>976</v>
      </c>
      <c r="F394" s="522">
        <v>201612</v>
      </c>
      <c r="G394" s="523">
        <v>-223.84</v>
      </c>
      <c r="I394" s="126" t="str">
        <f t="shared" si="49"/>
        <v/>
      </c>
      <c r="J394" s="93" t="str">
        <f t="shared" si="50"/>
        <v/>
      </c>
      <c r="K394" s="99" t="s">
        <v>189</v>
      </c>
      <c r="L394" s="127"/>
      <c r="M394" s="112">
        <f t="shared" si="51"/>
        <v>2017</v>
      </c>
    </row>
    <row r="395" spans="2:13">
      <c r="B395" s="399" t="s">
        <v>346</v>
      </c>
      <c r="C395" s="522" t="s">
        <v>973</v>
      </c>
      <c r="D395" s="522"/>
      <c r="E395" s="399" t="s">
        <v>974</v>
      </c>
      <c r="F395" s="522">
        <v>201612</v>
      </c>
      <c r="G395" s="431">
        <v>1688.9</v>
      </c>
      <c r="I395" s="126" t="str">
        <f t="shared" si="49"/>
        <v/>
      </c>
      <c r="J395" s="93" t="str">
        <f t="shared" si="50"/>
        <v/>
      </c>
      <c r="K395" s="99" t="s">
        <v>189</v>
      </c>
      <c r="L395" s="127"/>
      <c r="M395" s="112">
        <f t="shared" si="51"/>
        <v>2017</v>
      </c>
    </row>
    <row r="396" spans="2:13">
      <c r="B396" s="521" t="s">
        <v>346</v>
      </c>
      <c r="C396" s="522" t="s">
        <v>947</v>
      </c>
      <c r="D396" s="522"/>
      <c r="E396" s="399" t="s">
        <v>948</v>
      </c>
      <c r="F396" s="522">
        <v>201612</v>
      </c>
      <c r="G396" s="431">
        <v>175.99</v>
      </c>
      <c r="I396" s="126" t="str">
        <f t="shared" si="49"/>
        <v/>
      </c>
      <c r="J396" s="93" t="str">
        <f t="shared" si="50"/>
        <v/>
      </c>
      <c r="K396" s="99" t="s">
        <v>189</v>
      </c>
      <c r="L396" s="127"/>
      <c r="M396" s="112">
        <f t="shared" si="51"/>
        <v>2017</v>
      </c>
    </row>
    <row r="397" spans="2:13">
      <c r="B397" s="521" t="s">
        <v>346</v>
      </c>
      <c r="C397" s="522" t="s">
        <v>814</v>
      </c>
      <c r="D397" s="522"/>
      <c r="E397" s="521" t="s">
        <v>815</v>
      </c>
      <c r="F397" s="522">
        <v>201612</v>
      </c>
      <c r="G397" s="523">
        <v>-263663.53000000003</v>
      </c>
      <c r="I397" s="126" t="str">
        <f t="shared" si="49"/>
        <v/>
      </c>
      <c r="J397" s="93" t="str">
        <f t="shared" si="50"/>
        <v/>
      </c>
      <c r="K397" s="99" t="s">
        <v>189</v>
      </c>
      <c r="L397" s="127"/>
      <c r="M397" s="112">
        <f t="shared" si="51"/>
        <v>2017</v>
      </c>
    </row>
    <row r="398" spans="2:13">
      <c r="B398" s="521" t="s">
        <v>346</v>
      </c>
      <c r="C398" s="522" t="s">
        <v>1004</v>
      </c>
      <c r="D398" s="522"/>
      <c r="E398" s="521" t="s">
        <v>1005</v>
      </c>
      <c r="F398" s="522">
        <v>201612</v>
      </c>
      <c r="G398" s="523">
        <v>755.48</v>
      </c>
      <c r="I398" s="126" t="str">
        <f t="shared" si="49"/>
        <v/>
      </c>
      <c r="J398" s="93" t="str">
        <f t="shared" si="50"/>
        <v/>
      </c>
      <c r="K398" s="99" t="s">
        <v>189</v>
      </c>
      <c r="L398" s="127"/>
      <c r="M398" s="112">
        <f t="shared" si="51"/>
        <v>2017</v>
      </c>
    </row>
    <row r="399" spans="2:13">
      <c r="B399" s="521" t="s">
        <v>346</v>
      </c>
      <c r="C399" s="522" t="s">
        <v>991</v>
      </c>
      <c r="D399" s="522"/>
      <c r="E399" s="521" t="s">
        <v>992</v>
      </c>
      <c r="F399" s="522">
        <v>201612</v>
      </c>
      <c r="G399" s="523">
        <v>30.94</v>
      </c>
      <c r="I399" s="126" t="str">
        <f t="shared" si="49"/>
        <v/>
      </c>
      <c r="J399" s="93" t="str">
        <f t="shared" si="50"/>
        <v/>
      </c>
      <c r="K399" s="99" t="s">
        <v>189</v>
      </c>
      <c r="L399" s="127"/>
      <c r="M399" s="112">
        <f t="shared" si="51"/>
        <v>2017</v>
      </c>
    </row>
    <row r="400" spans="2:13">
      <c r="B400" s="399" t="s">
        <v>346</v>
      </c>
      <c r="C400" s="522" t="s">
        <v>387</v>
      </c>
      <c r="D400" s="522"/>
      <c r="E400" s="399" t="s">
        <v>388</v>
      </c>
      <c r="F400" s="522">
        <v>201612</v>
      </c>
      <c r="G400" s="431">
        <v>320133.75</v>
      </c>
      <c r="I400" s="126" t="str">
        <f t="shared" si="49"/>
        <v>Blanket</v>
      </c>
      <c r="J400" s="93" t="str">
        <f t="shared" si="50"/>
        <v/>
      </c>
      <c r="K400" s="99" t="s">
        <v>189</v>
      </c>
      <c r="L400" s="127"/>
      <c r="M400" s="112">
        <f t="shared" si="51"/>
        <v>2017</v>
      </c>
    </row>
    <row r="401" spans="2:13">
      <c r="B401" s="521" t="s">
        <v>346</v>
      </c>
      <c r="C401" s="522" t="s">
        <v>395</v>
      </c>
      <c r="D401" s="522"/>
      <c r="E401" s="399" t="s">
        <v>396</v>
      </c>
      <c r="F401" s="522">
        <v>201612</v>
      </c>
      <c r="G401" s="431">
        <v>-43778.89</v>
      </c>
      <c r="I401" s="126" t="str">
        <f t="shared" si="49"/>
        <v>Blanket</v>
      </c>
      <c r="J401" s="93" t="str">
        <f t="shared" si="50"/>
        <v/>
      </c>
      <c r="K401" s="99" t="s">
        <v>189</v>
      </c>
      <c r="L401" s="127"/>
      <c r="M401" s="112">
        <f t="shared" si="51"/>
        <v>2017</v>
      </c>
    </row>
    <row r="402" spans="2:13">
      <c r="B402" s="521" t="s">
        <v>346</v>
      </c>
      <c r="C402" s="522" t="s">
        <v>889</v>
      </c>
      <c r="D402" s="522"/>
      <c r="E402" s="521" t="s">
        <v>890</v>
      </c>
      <c r="F402" s="522">
        <v>201612</v>
      </c>
      <c r="G402" s="523">
        <v>-0.96</v>
      </c>
      <c r="I402" s="126" t="str">
        <f t="shared" si="49"/>
        <v/>
      </c>
      <c r="J402" s="93" t="str">
        <f t="shared" si="50"/>
        <v/>
      </c>
      <c r="K402" s="99" t="s">
        <v>189</v>
      </c>
      <c r="L402" s="127"/>
      <c r="M402" s="112">
        <f t="shared" si="51"/>
        <v>2017</v>
      </c>
    </row>
    <row r="403" spans="2:13">
      <c r="B403" s="521" t="s">
        <v>346</v>
      </c>
      <c r="C403" s="522" t="s">
        <v>1108</v>
      </c>
      <c r="D403" s="522"/>
      <c r="E403" s="399" t="s">
        <v>1109</v>
      </c>
      <c r="F403" s="522">
        <v>201612</v>
      </c>
      <c r="G403" s="431">
        <v>253058.79</v>
      </c>
      <c r="I403" s="126" t="str">
        <f t="shared" si="49"/>
        <v/>
      </c>
      <c r="J403" s="93" t="str">
        <f t="shared" si="50"/>
        <v/>
      </c>
      <c r="K403" s="99" t="s">
        <v>189</v>
      </c>
      <c r="L403" s="127"/>
      <c r="M403" s="112">
        <f t="shared" si="51"/>
        <v>2017</v>
      </c>
    </row>
    <row r="404" spans="2:13">
      <c r="B404" s="521" t="s">
        <v>346</v>
      </c>
      <c r="C404" s="522" t="s">
        <v>369</v>
      </c>
      <c r="D404" s="522"/>
      <c r="E404" s="521" t="s">
        <v>370</v>
      </c>
      <c r="F404" s="522">
        <v>201612</v>
      </c>
      <c r="G404" s="523">
        <v>-6105.08</v>
      </c>
      <c r="I404" s="126" t="str">
        <f t="shared" si="49"/>
        <v>Blanket</v>
      </c>
      <c r="J404" s="93" t="str">
        <f t="shared" si="50"/>
        <v/>
      </c>
      <c r="K404" s="99" t="s">
        <v>189</v>
      </c>
      <c r="L404" s="127"/>
      <c r="M404" s="112">
        <f t="shared" si="51"/>
        <v>2017</v>
      </c>
    </row>
    <row r="405" spans="2:13">
      <c r="B405" s="521" t="s">
        <v>346</v>
      </c>
      <c r="C405" s="522" t="s">
        <v>1006</v>
      </c>
      <c r="D405" s="522"/>
      <c r="E405" s="521" t="s">
        <v>1007</v>
      </c>
      <c r="F405" s="522">
        <v>201612</v>
      </c>
      <c r="G405" s="523">
        <v>7.63</v>
      </c>
      <c r="I405" s="126" t="str">
        <f t="shared" si="49"/>
        <v/>
      </c>
      <c r="J405" s="93" t="str">
        <f t="shared" si="50"/>
        <v/>
      </c>
      <c r="K405" s="99" t="s">
        <v>189</v>
      </c>
      <c r="L405" s="127"/>
      <c r="M405" s="112">
        <f t="shared" si="51"/>
        <v>2017</v>
      </c>
    </row>
    <row r="406" spans="2:13">
      <c r="B406" s="521" t="s">
        <v>346</v>
      </c>
      <c r="C406" s="522" t="s">
        <v>661</v>
      </c>
      <c r="D406" s="522"/>
      <c r="E406" s="521" t="s">
        <v>662</v>
      </c>
      <c r="F406" s="522">
        <v>201612</v>
      </c>
      <c r="G406" s="523">
        <v>-43.24</v>
      </c>
      <c r="I406" s="126" t="str">
        <f t="shared" si="49"/>
        <v/>
      </c>
      <c r="J406" s="93" t="str">
        <f t="shared" si="50"/>
        <v/>
      </c>
      <c r="K406" s="99" t="s">
        <v>189</v>
      </c>
      <c r="L406" s="127"/>
      <c r="M406" s="112">
        <f t="shared" si="51"/>
        <v>2017</v>
      </c>
    </row>
    <row r="407" spans="2:13">
      <c r="B407" s="399" t="s">
        <v>346</v>
      </c>
      <c r="C407" s="522" t="s">
        <v>800</v>
      </c>
      <c r="D407" s="522"/>
      <c r="E407" s="399" t="s">
        <v>830</v>
      </c>
      <c r="F407" s="522">
        <v>201612</v>
      </c>
      <c r="G407" s="431">
        <v>-1496.2</v>
      </c>
      <c r="I407" s="126" t="str">
        <f t="shared" si="49"/>
        <v/>
      </c>
      <c r="J407" s="93" t="str">
        <f t="shared" si="50"/>
        <v/>
      </c>
      <c r="K407" s="99" t="s">
        <v>189</v>
      </c>
      <c r="L407" s="127"/>
      <c r="M407" s="112">
        <f t="shared" si="51"/>
        <v>2017</v>
      </c>
    </row>
    <row r="408" spans="2:13">
      <c r="B408" s="521" t="s">
        <v>346</v>
      </c>
      <c r="C408" s="522" t="s">
        <v>870</v>
      </c>
      <c r="D408" s="522"/>
      <c r="E408" s="521" t="s">
        <v>871</v>
      </c>
      <c r="F408" s="522">
        <v>201612</v>
      </c>
      <c r="G408" s="523">
        <v>-128.26</v>
      </c>
      <c r="I408" s="126" t="str">
        <f t="shared" si="49"/>
        <v/>
      </c>
      <c r="J408" s="93" t="str">
        <f t="shared" si="50"/>
        <v/>
      </c>
      <c r="K408" s="99" t="s">
        <v>189</v>
      </c>
      <c r="L408" s="127"/>
      <c r="M408" s="112">
        <f t="shared" si="51"/>
        <v>2017</v>
      </c>
    </row>
    <row r="409" spans="2:13">
      <c r="B409" s="521" t="s">
        <v>346</v>
      </c>
      <c r="C409" s="522" t="s">
        <v>852</v>
      </c>
      <c r="D409" s="522"/>
      <c r="E409" s="521" t="s">
        <v>853</v>
      </c>
      <c r="F409" s="522">
        <v>201612</v>
      </c>
      <c r="G409" s="523">
        <v>192.61</v>
      </c>
      <c r="I409" s="126" t="str">
        <f t="shared" si="49"/>
        <v/>
      </c>
      <c r="J409" s="93" t="str">
        <f t="shared" si="50"/>
        <v/>
      </c>
      <c r="K409" s="99" t="s">
        <v>189</v>
      </c>
      <c r="L409" s="127"/>
      <c r="M409" s="112">
        <f t="shared" si="51"/>
        <v>2017</v>
      </c>
    </row>
    <row r="410" spans="2:13">
      <c r="B410" s="521" t="s">
        <v>346</v>
      </c>
      <c r="C410" s="522" t="s">
        <v>846</v>
      </c>
      <c r="D410" s="522"/>
      <c r="E410" s="521" t="s">
        <v>847</v>
      </c>
      <c r="F410" s="522">
        <v>201612</v>
      </c>
      <c r="G410" s="523">
        <v>227.85</v>
      </c>
      <c r="I410" s="126" t="str">
        <f t="shared" si="49"/>
        <v/>
      </c>
      <c r="J410" s="93" t="str">
        <f t="shared" si="50"/>
        <v/>
      </c>
      <c r="K410" s="99" t="s">
        <v>189</v>
      </c>
      <c r="L410" s="127"/>
      <c r="M410" s="112">
        <f t="shared" si="51"/>
        <v>2017</v>
      </c>
    </row>
    <row r="411" spans="2:13">
      <c r="B411" s="521" t="s">
        <v>346</v>
      </c>
      <c r="C411" s="522" t="s">
        <v>838</v>
      </c>
      <c r="D411" s="522"/>
      <c r="E411" s="521" t="s">
        <v>1015</v>
      </c>
      <c r="F411" s="522">
        <v>201612</v>
      </c>
      <c r="G411" s="523">
        <v>-111283.31</v>
      </c>
      <c r="I411" s="126" t="str">
        <f t="shared" si="49"/>
        <v/>
      </c>
      <c r="J411" s="93" t="str">
        <f t="shared" si="50"/>
        <v/>
      </c>
      <c r="K411" s="99" t="s">
        <v>189</v>
      </c>
      <c r="L411" s="127"/>
      <c r="M411" s="112">
        <f t="shared" si="51"/>
        <v>2017</v>
      </c>
    </row>
    <row r="412" spans="2:13">
      <c r="B412" s="521" t="s">
        <v>346</v>
      </c>
      <c r="C412" s="522" t="s">
        <v>389</v>
      </c>
      <c r="D412" s="522"/>
      <c r="E412" s="521" t="s">
        <v>390</v>
      </c>
      <c r="F412" s="522">
        <v>201612</v>
      </c>
      <c r="G412" s="523">
        <v>-1.29</v>
      </c>
      <c r="I412" s="126" t="str">
        <f t="shared" si="49"/>
        <v>Blanket</v>
      </c>
      <c r="J412" s="93" t="str">
        <f t="shared" si="50"/>
        <v/>
      </c>
      <c r="K412" s="99" t="s">
        <v>189</v>
      </c>
      <c r="L412" s="127"/>
      <c r="M412" s="112">
        <f t="shared" si="51"/>
        <v>2017</v>
      </c>
    </row>
    <row r="413" spans="2:13">
      <c r="B413" s="521" t="s">
        <v>346</v>
      </c>
      <c r="C413" s="522" t="s">
        <v>953</v>
      </c>
      <c r="D413" s="522"/>
      <c r="E413" s="521" t="s">
        <v>954</v>
      </c>
      <c r="F413" s="522">
        <v>201612</v>
      </c>
      <c r="G413" s="523">
        <v>114952.87</v>
      </c>
      <c r="I413" s="126" t="str">
        <f t="shared" si="49"/>
        <v/>
      </c>
      <c r="J413" s="93" t="str">
        <f t="shared" si="50"/>
        <v/>
      </c>
      <c r="K413" s="99" t="s">
        <v>189</v>
      </c>
      <c r="L413" s="127"/>
      <c r="M413" s="112">
        <f t="shared" si="51"/>
        <v>2017</v>
      </c>
    </row>
    <row r="414" spans="2:13">
      <c r="B414" s="399" t="s">
        <v>346</v>
      </c>
      <c r="C414" s="522" t="s">
        <v>369</v>
      </c>
      <c r="D414" s="522"/>
      <c r="E414" s="399" t="s">
        <v>370</v>
      </c>
      <c r="F414" s="522">
        <v>201612</v>
      </c>
      <c r="G414" s="431">
        <v>26147.82</v>
      </c>
      <c r="I414" s="126" t="str">
        <f t="shared" si="49"/>
        <v>Blanket</v>
      </c>
      <c r="J414" s="93" t="str">
        <f t="shared" si="50"/>
        <v/>
      </c>
      <c r="K414" s="99" t="s">
        <v>189</v>
      </c>
      <c r="L414" s="127"/>
      <c r="M414" s="112">
        <f t="shared" si="51"/>
        <v>2017</v>
      </c>
    </row>
    <row r="415" spans="2:13">
      <c r="B415" s="521" t="s">
        <v>346</v>
      </c>
      <c r="C415" s="522" t="s">
        <v>353</v>
      </c>
      <c r="D415" s="522"/>
      <c r="E415" s="399" t="s">
        <v>354</v>
      </c>
      <c r="F415" s="522">
        <v>201612</v>
      </c>
      <c r="G415" s="431">
        <v>-1450</v>
      </c>
      <c r="I415" s="126" t="str">
        <f t="shared" si="49"/>
        <v>Blanket</v>
      </c>
      <c r="J415" s="93" t="str">
        <f t="shared" si="50"/>
        <v/>
      </c>
      <c r="K415" s="99" t="s">
        <v>189</v>
      </c>
      <c r="L415" s="127"/>
      <c r="M415" s="112">
        <f t="shared" si="51"/>
        <v>2017</v>
      </c>
    </row>
    <row r="416" spans="2:13">
      <c r="B416" s="521" t="s">
        <v>346</v>
      </c>
      <c r="C416" s="522" t="s">
        <v>351</v>
      </c>
      <c r="D416" s="522"/>
      <c r="E416" s="521" t="s">
        <v>352</v>
      </c>
      <c r="F416" s="522">
        <v>201612</v>
      </c>
      <c r="G416" s="523">
        <v>20555.490000000002</v>
      </c>
      <c r="I416" s="126" t="str">
        <f t="shared" si="49"/>
        <v>Blanket</v>
      </c>
      <c r="J416" s="93" t="str">
        <f t="shared" si="50"/>
        <v/>
      </c>
      <c r="K416" s="99" t="s">
        <v>189</v>
      </c>
      <c r="L416" s="127"/>
      <c r="M416" s="112">
        <f t="shared" si="51"/>
        <v>2017</v>
      </c>
    </row>
    <row r="417" spans="2:16">
      <c r="B417" s="521" t="s">
        <v>346</v>
      </c>
      <c r="C417" s="522" t="s">
        <v>629</v>
      </c>
      <c r="D417" s="522"/>
      <c r="E417" s="521" t="s">
        <v>630</v>
      </c>
      <c r="F417" s="522">
        <v>201612</v>
      </c>
      <c r="G417" s="523">
        <v>22.89</v>
      </c>
      <c r="I417" s="126" t="str">
        <f t="shared" si="49"/>
        <v/>
      </c>
      <c r="J417" s="93" t="str">
        <f t="shared" si="50"/>
        <v/>
      </c>
      <c r="K417" s="99" t="s">
        <v>189</v>
      </c>
      <c r="L417" s="127"/>
      <c r="M417" s="112">
        <f t="shared" si="51"/>
        <v>2017</v>
      </c>
    </row>
    <row r="418" spans="2:16">
      <c r="B418" s="521" t="s">
        <v>346</v>
      </c>
      <c r="C418" s="522" t="s">
        <v>882</v>
      </c>
      <c r="D418" s="522"/>
      <c r="E418" s="521" t="s">
        <v>995</v>
      </c>
      <c r="F418" s="522">
        <v>201612</v>
      </c>
      <c r="G418" s="523">
        <v>-30154.45</v>
      </c>
      <c r="I418" s="126" t="str">
        <f t="shared" si="49"/>
        <v/>
      </c>
      <c r="J418" s="93" t="str">
        <f t="shared" si="50"/>
        <v/>
      </c>
      <c r="K418" s="99" t="s">
        <v>189</v>
      </c>
      <c r="L418" s="127"/>
      <c r="M418" s="112">
        <f t="shared" si="51"/>
        <v>2017</v>
      </c>
    </row>
    <row r="419" spans="2:16">
      <c r="B419" s="521" t="s">
        <v>346</v>
      </c>
      <c r="C419" s="522" t="s">
        <v>876</v>
      </c>
      <c r="D419" s="522"/>
      <c r="E419" s="521" t="s">
        <v>877</v>
      </c>
      <c r="F419" s="522">
        <v>201612</v>
      </c>
      <c r="G419" s="523">
        <v>-20.91</v>
      </c>
      <c r="I419" s="126" t="str">
        <f t="shared" si="49"/>
        <v/>
      </c>
      <c r="J419" s="93" t="str">
        <f t="shared" si="50"/>
        <v/>
      </c>
      <c r="K419" s="99" t="s">
        <v>189</v>
      </c>
      <c r="L419" s="127"/>
      <c r="M419" s="112">
        <f t="shared" si="51"/>
        <v>2017</v>
      </c>
    </row>
    <row r="420" spans="2:16">
      <c r="B420" s="521" t="s">
        <v>346</v>
      </c>
      <c r="C420" s="522" t="s">
        <v>1112</v>
      </c>
      <c r="D420" s="522"/>
      <c r="E420" s="521" t="s">
        <v>1113</v>
      </c>
      <c r="F420" s="522">
        <v>201612</v>
      </c>
      <c r="G420" s="523">
        <v>40653.26</v>
      </c>
      <c r="I420" s="126" t="str">
        <f t="shared" si="49"/>
        <v/>
      </c>
      <c r="J420" s="93" t="str">
        <f t="shared" si="50"/>
        <v/>
      </c>
      <c r="K420" s="99" t="s">
        <v>189</v>
      </c>
      <c r="L420" s="127"/>
      <c r="M420" s="112">
        <f t="shared" si="51"/>
        <v>2017</v>
      </c>
    </row>
    <row r="421" spans="2:16">
      <c r="B421" s="521" t="s">
        <v>346</v>
      </c>
      <c r="C421" s="522" t="s">
        <v>1041</v>
      </c>
      <c r="D421" s="522"/>
      <c r="E421" s="399" t="s">
        <v>1042</v>
      </c>
      <c r="F421" s="522">
        <v>201612</v>
      </c>
      <c r="G421" s="431">
        <v>-93.87</v>
      </c>
      <c r="I421" s="126" t="str">
        <f t="shared" si="49"/>
        <v/>
      </c>
      <c r="J421" s="93" t="str">
        <f t="shared" si="50"/>
        <v/>
      </c>
      <c r="K421" s="99" t="s">
        <v>189</v>
      </c>
      <c r="L421" s="127"/>
      <c r="M421" s="112">
        <f t="shared" si="51"/>
        <v>2017</v>
      </c>
    </row>
    <row r="422" spans="2:16">
      <c r="B422" s="521" t="s">
        <v>346</v>
      </c>
      <c r="C422" s="522" t="s">
        <v>987</v>
      </c>
      <c r="D422" s="522"/>
      <c r="E422" s="521" t="s">
        <v>988</v>
      </c>
      <c r="F422" s="522">
        <v>201612</v>
      </c>
      <c r="G422" s="523">
        <v>-1.64</v>
      </c>
      <c r="I422" s="126" t="str">
        <f t="shared" si="49"/>
        <v/>
      </c>
      <c r="J422" s="93" t="str">
        <f t="shared" si="50"/>
        <v/>
      </c>
      <c r="K422" s="99" t="s">
        <v>189</v>
      </c>
      <c r="L422" s="127"/>
      <c r="M422" s="112">
        <f t="shared" si="51"/>
        <v>2017</v>
      </c>
    </row>
    <row r="423" spans="2:16">
      <c r="B423" s="521" t="s">
        <v>346</v>
      </c>
      <c r="C423" s="522" t="s">
        <v>955</v>
      </c>
      <c r="D423" s="522"/>
      <c r="E423" s="399" t="s">
        <v>956</v>
      </c>
      <c r="F423" s="522">
        <v>201612</v>
      </c>
      <c r="G423" s="431">
        <v>21.75</v>
      </c>
      <c r="I423" s="126" t="str">
        <f t="shared" si="49"/>
        <v/>
      </c>
      <c r="J423" s="93" t="str">
        <f t="shared" si="50"/>
        <v/>
      </c>
      <c r="K423" s="99" t="s">
        <v>189</v>
      </c>
      <c r="L423" s="127"/>
      <c r="M423" s="112">
        <f t="shared" si="51"/>
        <v>2017</v>
      </c>
    </row>
    <row r="424" spans="2:16">
      <c r="B424" s="521" t="s">
        <v>346</v>
      </c>
      <c r="C424" s="522" t="s">
        <v>854</v>
      </c>
      <c r="D424" s="522"/>
      <c r="E424" s="521" t="s">
        <v>855</v>
      </c>
      <c r="F424" s="522">
        <v>201612</v>
      </c>
      <c r="G424" s="523">
        <v>-215411.89</v>
      </c>
      <c r="I424" s="126" t="str">
        <f t="shared" si="49"/>
        <v/>
      </c>
      <c r="J424" s="93" t="str">
        <f t="shared" si="50"/>
        <v/>
      </c>
      <c r="K424" s="99" t="s">
        <v>189</v>
      </c>
      <c r="L424" s="127"/>
      <c r="M424" s="112">
        <f t="shared" si="51"/>
        <v>2017</v>
      </c>
    </row>
    <row r="425" spans="2:16">
      <c r="B425" s="521" t="s">
        <v>346</v>
      </c>
      <c r="C425" s="522" t="s">
        <v>842</v>
      </c>
      <c r="D425" s="522"/>
      <c r="E425" s="399" t="s">
        <v>843</v>
      </c>
      <c r="F425" s="522">
        <v>201612</v>
      </c>
      <c r="G425" s="431">
        <v>-201.29</v>
      </c>
      <c r="I425" s="126" t="str">
        <f t="shared" si="49"/>
        <v/>
      </c>
      <c r="J425" s="93" t="str">
        <f t="shared" si="50"/>
        <v/>
      </c>
      <c r="K425" s="99" t="s">
        <v>189</v>
      </c>
      <c r="L425" s="127"/>
      <c r="M425" s="112">
        <f t="shared" si="51"/>
        <v>2017</v>
      </c>
    </row>
    <row r="426" spans="2:16">
      <c r="B426" s="521" t="s">
        <v>346</v>
      </c>
      <c r="C426" s="522" t="s">
        <v>882</v>
      </c>
      <c r="D426" s="522"/>
      <c r="E426" s="521" t="s">
        <v>995</v>
      </c>
      <c r="F426" s="522">
        <v>201612</v>
      </c>
      <c r="G426" s="523">
        <v>33148.54</v>
      </c>
      <c r="I426" s="126" t="str">
        <f t="shared" si="49"/>
        <v/>
      </c>
      <c r="J426" s="93" t="str">
        <f t="shared" si="50"/>
        <v/>
      </c>
      <c r="K426" s="99" t="s">
        <v>189</v>
      </c>
      <c r="L426" s="127"/>
      <c r="M426" s="112">
        <f t="shared" si="51"/>
        <v>2017</v>
      </c>
    </row>
    <row r="427" spans="2:16">
      <c r="B427" s="399" t="s">
        <v>346</v>
      </c>
      <c r="C427" s="522" t="s">
        <v>357</v>
      </c>
      <c r="D427" s="522"/>
      <c r="E427" s="399" t="s">
        <v>358</v>
      </c>
      <c r="F427" s="522">
        <v>201612</v>
      </c>
      <c r="G427" s="431">
        <v>5871.93</v>
      </c>
      <c r="I427" s="126" t="str">
        <f t="shared" si="49"/>
        <v>Blanket</v>
      </c>
      <c r="J427" s="93" t="str">
        <f t="shared" si="50"/>
        <v/>
      </c>
      <c r="K427" s="99" t="s">
        <v>189</v>
      </c>
      <c r="L427" s="127"/>
      <c r="M427" s="112">
        <f t="shared" si="51"/>
        <v>2017</v>
      </c>
    </row>
    <row r="428" spans="2:16">
      <c r="B428" s="521" t="s">
        <v>346</v>
      </c>
      <c r="C428" s="522">
        <v>900889</v>
      </c>
      <c r="D428" s="522"/>
      <c r="E428" s="399" t="s">
        <v>1126</v>
      </c>
      <c r="F428" s="522">
        <v>201612</v>
      </c>
      <c r="G428" s="431">
        <v>-6376.85</v>
      </c>
      <c r="I428" s="126" t="str">
        <f t="shared" ref="I428:I491" si="52">IF(LEFT(C428,2)="69","Blanket","")</f>
        <v/>
      </c>
      <c r="J428" s="93" t="str">
        <f t="shared" ref="J428:J491" si="53">IF(F428&gt;$J$20,"",IF(F428&gt;=$J$22,"In service",""))</f>
        <v/>
      </c>
      <c r="K428" s="99" t="s">
        <v>189</v>
      </c>
      <c r="L428" s="127"/>
      <c r="M428" s="112">
        <f t="shared" ref="M428:M491" si="54">IF(F428&gt;$M$20,0+2017,0+2016)</f>
        <v>2017</v>
      </c>
    </row>
    <row r="429" spans="2:16">
      <c r="B429" s="521" t="s">
        <v>346</v>
      </c>
      <c r="C429" s="522" t="s">
        <v>731</v>
      </c>
      <c r="D429" s="522"/>
      <c r="E429" s="521" t="s">
        <v>732</v>
      </c>
      <c r="F429" s="522">
        <v>201701</v>
      </c>
      <c r="G429" s="523">
        <v>117.75</v>
      </c>
      <c r="I429" s="126" t="str">
        <f t="shared" si="52"/>
        <v>Blanket</v>
      </c>
      <c r="J429" s="93" t="str">
        <f t="shared" si="53"/>
        <v/>
      </c>
      <c r="K429" s="99" t="s">
        <v>189</v>
      </c>
      <c r="L429" s="127"/>
      <c r="M429" s="112">
        <f t="shared" si="54"/>
        <v>2017</v>
      </c>
    </row>
    <row r="430" spans="2:16" s="559" customFormat="1">
      <c r="B430" s="863" t="s">
        <v>346</v>
      </c>
      <c r="C430" s="864" t="s">
        <v>347</v>
      </c>
      <c r="D430" s="864"/>
      <c r="E430" s="863" t="s">
        <v>348</v>
      </c>
      <c r="F430" s="864">
        <v>201701</v>
      </c>
      <c r="G430" s="865">
        <v>974249.49</v>
      </c>
      <c r="I430" s="590" t="str">
        <f t="shared" si="52"/>
        <v>Blanket</v>
      </c>
      <c r="J430" s="93" t="str">
        <f t="shared" si="53"/>
        <v/>
      </c>
      <c r="K430" s="99" t="s">
        <v>189</v>
      </c>
      <c r="L430" s="591"/>
      <c r="M430" s="112">
        <f t="shared" si="54"/>
        <v>2017</v>
      </c>
      <c r="O430" s="39"/>
      <c r="P430" s="39"/>
    </row>
    <row r="431" spans="2:16" s="559" customFormat="1">
      <c r="B431" s="863" t="s">
        <v>346</v>
      </c>
      <c r="C431" s="864" t="s">
        <v>349</v>
      </c>
      <c r="D431" s="864"/>
      <c r="E431" s="863" t="s">
        <v>350</v>
      </c>
      <c r="F431" s="864">
        <v>201701</v>
      </c>
      <c r="G431" s="865">
        <v>2037.33</v>
      </c>
      <c r="I431" s="590" t="str">
        <f t="shared" si="52"/>
        <v>Blanket</v>
      </c>
      <c r="J431" s="93" t="str">
        <f t="shared" si="53"/>
        <v/>
      </c>
      <c r="K431" s="99" t="s">
        <v>189</v>
      </c>
      <c r="L431" s="591"/>
      <c r="M431" s="112">
        <f t="shared" si="54"/>
        <v>2017</v>
      </c>
      <c r="O431" s="39"/>
      <c r="P431" s="39"/>
    </row>
    <row r="432" spans="2:16" s="559" customFormat="1">
      <c r="B432" s="863" t="s">
        <v>346</v>
      </c>
      <c r="C432" s="864" t="s">
        <v>351</v>
      </c>
      <c r="D432" s="864"/>
      <c r="E432" s="863" t="s">
        <v>352</v>
      </c>
      <c r="F432" s="864">
        <v>201701</v>
      </c>
      <c r="G432" s="865">
        <v>-5386.35</v>
      </c>
      <c r="I432" s="590" t="str">
        <f t="shared" si="52"/>
        <v>Blanket</v>
      </c>
      <c r="J432" s="93" t="str">
        <f t="shared" si="53"/>
        <v/>
      </c>
      <c r="K432" s="99" t="s">
        <v>189</v>
      </c>
      <c r="L432" s="591"/>
      <c r="M432" s="112">
        <f t="shared" si="54"/>
        <v>2017</v>
      </c>
      <c r="O432" s="39"/>
      <c r="P432" s="39"/>
    </row>
    <row r="433" spans="2:16" s="559" customFormat="1">
      <c r="B433" s="863" t="s">
        <v>346</v>
      </c>
      <c r="C433" s="864" t="s">
        <v>353</v>
      </c>
      <c r="D433" s="864"/>
      <c r="E433" s="863" t="s">
        <v>354</v>
      </c>
      <c r="F433" s="864">
        <v>201701</v>
      </c>
      <c r="G433" s="865">
        <v>-125</v>
      </c>
      <c r="I433" s="590" t="str">
        <f t="shared" si="52"/>
        <v>Blanket</v>
      </c>
      <c r="J433" s="93" t="str">
        <f t="shared" si="53"/>
        <v/>
      </c>
      <c r="K433" s="99" t="s">
        <v>189</v>
      </c>
      <c r="L433" s="591"/>
      <c r="M433" s="112">
        <f t="shared" si="54"/>
        <v>2017</v>
      </c>
      <c r="O433" s="39"/>
      <c r="P433" s="39"/>
    </row>
    <row r="434" spans="2:16" s="559" customFormat="1">
      <c r="B434" s="863" t="s">
        <v>346</v>
      </c>
      <c r="C434" s="864" t="s">
        <v>355</v>
      </c>
      <c r="D434" s="864"/>
      <c r="E434" s="863" t="s">
        <v>356</v>
      </c>
      <c r="F434" s="864">
        <v>201701</v>
      </c>
      <c r="G434" s="865">
        <v>62607.38</v>
      </c>
      <c r="I434" s="590" t="str">
        <f t="shared" si="52"/>
        <v>Blanket</v>
      </c>
      <c r="J434" s="93" t="str">
        <f t="shared" si="53"/>
        <v/>
      </c>
      <c r="K434" s="99" t="s">
        <v>189</v>
      </c>
      <c r="L434" s="591"/>
      <c r="M434" s="112">
        <f t="shared" si="54"/>
        <v>2017</v>
      </c>
      <c r="O434" s="39"/>
      <c r="P434" s="39"/>
    </row>
    <row r="435" spans="2:16" s="559" customFormat="1">
      <c r="B435" s="863" t="s">
        <v>346</v>
      </c>
      <c r="C435" s="864" t="s">
        <v>357</v>
      </c>
      <c r="D435" s="864"/>
      <c r="E435" s="863" t="s">
        <v>358</v>
      </c>
      <c r="F435" s="864">
        <v>201701</v>
      </c>
      <c r="G435" s="865">
        <v>3896.32</v>
      </c>
      <c r="I435" s="590" t="str">
        <f t="shared" si="52"/>
        <v>Blanket</v>
      </c>
      <c r="J435" s="93" t="str">
        <f t="shared" si="53"/>
        <v/>
      </c>
      <c r="K435" s="99" t="s">
        <v>189</v>
      </c>
      <c r="L435" s="591"/>
      <c r="M435" s="112">
        <f t="shared" si="54"/>
        <v>2017</v>
      </c>
      <c r="O435" s="39"/>
      <c r="P435" s="39"/>
    </row>
    <row r="436" spans="2:16" s="559" customFormat="1">
      <c r="B436" s="863" t="s">
        <v>346</v>
      </c>
      <c r="C436" s="864" t="s">
        <v>359</v>
      </c>
      <c r="D436" s="864"/>
      <c r="E436" s="863" t="s">
        <v>360</v>
      </c>
      <c r="F436" s="864">
        <v>201701</v>
      </c>
      <c r="G436" s="865">
        <v>-1.1100000000000001</v>
      </c>
      <c r="I436" s="590" t="str">
        <f t="shared" si="52"/>
        <v>Blanket</v>
      </c>
      <c r="J436" s="93" t="str">
        <f t="shared" si="53"/>
        <v/>
      </c>
      <c r="K436" s="99" t="s">
        <v>189</v>
      </c>
      <c r="L436" s="591"/>
      <c r="M436" s="112">
        <f t="shared" si="54"/>
        <v>2017</v>
      </c>
      <c r="O436" s="39"/>
      <c r="P436" s="39"/>
    </row>
    <row r="437" spans="2:16" s="559" customFormat="1">
      <c r="B437" s="863" t="s">
        <v>346</v>
      </c>
      <c r="C437" s="864" t="s">
        <v>361</v>
      </c>
      <c r="D437" s="864"/>
      <c r="E437" s="863" t="s">
        <v>362</v>
      </c>
      <c r="F437" s="864">
        <v>201701</v>
      </c>
      <c r="G437" s="865">
        <v>949.83</v>
      </c>
      <c r="I437" s="590" t="str">
        <f t="shared" si="52"/>
        <v>Blanket</v>
      </c>
      <c r="J437" s="93" t="str">
        <f t="shared" si="53"/>
        <v/>
      </c>
      <c r="K437" s="99" t="s">
        <v>189</v>
      </c>
      <c r="L437" s="591"/>
      <c r="M437" s="112">
        <f t="shared" si="54"/>
        <v>2017</v>
      </c>
      <c r="O437" s="39"/>
      <c r="P437" s="39"/>
    </row>
    <row r="438" spans="2:16" s="559" customFormat="1">
      <c r="B438" s="863" t="s">
        <v>346</v>
      </c>
      <c r="C438" s="864" t="s">
        <v>365</v>
      </c>
      <c r="D438" s="864"/>
      <c r="E438" s="863" t="s">
        <v>366</v>
      </c>
      <c r="F438" s="864">
        <v>201701</v>
      </c>
      <c r="G438" s="865">
        <v>-530.41</v>
      </c>
      <c r="I438" s="590" t="str">
        <f t="shared" si="52"/>
        <v>Blanket</v>
      </c>
      <c r="J438" s="93" t="str">
        <f t="shared" si="53"/>
        <v/>
      </c>
      <c r="K438" s="99" t="s">
        <v>189</v>
      </c>
      <c r="L438" s="591"/>
      <c r="M438" s="112">
        <f t="shared" si="54"/>
        <v>2017</v>
      </c>
      <c r="O438" s="39"/>
      <c r="P438" s="39"/>
    </row>
    <row r="439" spans="2:16" s="559" customFormat="1">
      <c r="B439" s="863" t="s">
        <v>346</v>
      </c>
      <c r="C439" s="864" t="s">
        <v>367</v>
      </c>
      <c r="D439" s="864"/>
      <c r="E439" s="863" t="s">
        <v>368</v>
      </c>
      <c r="F439" s="864">
        <v>201701</v>
      </c>
      <c r="G439" s="865">
        <v>9103.39</v>
      </c>
      <c r="I439" s="590" t="str">
        <f t="shared" si="52"/>
        <v>Blanket</v>
      </c>
      <c r="J439" s="93" t="str">
        <f t="shared" si="53"/>
        <v/>
      </c>
      <c r="K439" s="99" t="s">
        <v>189</v>
      </c>
      <c r="L439" s="591"/>
      <c r="M439" s="112">
        <f t="shared" si="54"/>
        <v>2017</v>
      </c>
      <c r="O439" s="39"/>
      <c r="P439" s="39"/>
    </row>
    <row r="440" spans="2:16" s="559" customFormat="1">
      <c r="B440" s="863" t="s">
        <v>346</v>
      </c>
      <c r="C440" s="864" t="s">
        <v>585</v>
      </c>
      <c r="D440" s="864"/>
      <c r="E440" s="863" t="s">
        <v>586</v>
      </c>
      <c r="F440" s="864">
        <v>201701</v>
      </c>
      <c r="G440" s="865">
        <v>7257.37</v>
      </c>
      <c r="I440" s="590" t="str">
        <f t="shared" si="52"/>
        <v>Blanket</v>
      </c>
      <c r="J440" s="93" t="str">
        <f t="shared" si="53"/>
        <v/>
      </c>
      <c r="K440" s="99" t="s">
        <v>189</v>
      </c>
      <c r="L440" s="591"/>
      <c r="M440" s="112">
        <f t="shared" si="54"/>
        <v>2017</v>
      </c>
      <c r="O440" s="39"/>
      <c r="P440" s="39"/>
    </row>
    <row r="441" spans="2:16" s="559" customFormat="1">
      <c r="B441" s="863" t="s">
        <v>346</v>
      </c>
      <c r="C441" s="864" t="s">
        <v>369</v>
      </c>
      <c r="D441" s="864"/>
      <c r="E441" s="863" t="s">
        <v>370</v>
      </c>
      <c r="F441" s="864">
        <v>201701</v>
      </c>
      <c r="G441" s="865">
        <v>7795.95</v>
      </c>
      <c r="I441" s="590" t="str">
        <f t="shared" si="52"/>
        <v>Blanket</v>
      </c>
      <c r="J441" s="93" t="str">
        <f t="shared" si="53"/>
        <v/>
      </c>
      <c r="K441" s="99" t="s">
        <v>189</v>
      </c>
      <c r="L441" s="591"/>
      <c r="M441" s="112">
        <f t="shared" si="54"/>
        <v>2017</v>
      </c>
      <c r="O441" s="39"/>
      <c r="P441" s="39"/>
    </row>
    <row r="442" spans="2:16" s="559" customFormat="1">
      <c r="B442" s="863" t="s">
        <v>346</v>
      </c>
      <c r="C442" s="864" t="s">
        <v>371</v>
      </c>
      <c r="D442" s="864"/>
      <c r="E442" s="863" t="s">
        <v>372</v>
      </c>
      <c r="F442" s="864">
        <v>201701</v>
      </c>
      <c r="G442" s="865">
        <v>-4.16</v>
      </c>
      <c r="I442" s="590" t="str">
        <f t="shared" si="52"/>
        <v>Blanket</v>
      </c>
      <c r="J442" s="93" t="str">
        <f t="shared" si="53"/>
        <v/>
      </c>
      <c r="K442" s="99" t="s">
        <v>189</v>
      </c>
      <c r="L442" s="591"/>
      <c r="M442" s="112">
        <f t="shared" si="54"/>
        <v>2017</v>
      </c>
      <c r="O442" s="39"/>
      <c r="P442" s="39"/>
    </row>
    <row r="443" spans="2:16" s="559" customFormat="1">
      <c r="B443" s="863" t="s">
        <v>346</v>
      </c>
      <c r="C443" s="864" t="s">
        <v>375</v>
      </c>
      <c r="D443" s="864"/>
      <c r="E443" s="863" t="s">
        <v>376</v>
      </c>
      <c r="F443" s="864">
        <v>201701</v>
      </c>
      <c r="G443" s="865">
        <v>-6566.09</v>
      </c>
      <c r="I443" s="590" t="str">
        <f t="shared" si="52"/>
        <v>Blanket</v>
      </c>
      <c r="J443" s="93" t="str">
        <f t="shared" si="53"/>
        <v/>
      </c>
      <c r="K443" s="99" t="s">
        <v>189</v>
      </c>
      <c r="L443" s="591"/>
      <c r="M443" s="112">
        <f t="shared" si="54"/>
        <v>2017</v>
      </c>
      <c r="O443" s="39"/>
      <c r="P443" s="39"/>
    </row>
    <row r="444" spans="2:16" s="559" customFormat="1">
      <c r="B444" s="863" t="s">
        <v>346</v>
      </c>
      <c r="C444" s="864" t="s">
        <v>377</v>
      </c>
      <c r="D444" s="864"/>
      <c r="E444" s="863" t="s">
        <v>378</v>
      </c>
      <c r="F444" s="864">
        <v>201701</v>
      </c>
      <c r="G444" s="865">
        <v>100461.71</v>
      </c>
      <c r="I444" s="590" t="str">
        <f t="shared" si="52"/>
        <v>Blanket</v>
      </c>
      <c r="J444" s="93" t="str">
        <f t="shared" si="53"/>
        <v/>
      </c>
      <c r="K444" s="99" t="s">
        <v>189</v>
      </c>
      <c r="L444" s="591"/>
      <c r="M444" s="112">
        <f t="shared" si="54"/>
        <v>2017</v>
      </c>
      <c r="O444" s="39"/>
      <c r="P444" s="39"/>
    </row>
    <row r="445" spans="2:16" s="559" customFormat="1">
      <c r="B445" s="863" t="s">
        <v>346</v>
      </c>
      <c r="C445" s="864" t="s">
        <v>379</v>
      </c>
      <c r="D445" s="864"/>
      <c r="E445" s="863" t="s">
        <v>380</v>
      </c>
      <c r="F445" s="864">
        <v>201701</v>
      </c>
      <c r="G445" s="865">
        <v>866.53</v>
      </c>
      <c r="I445" s="590" t="str">
        <f t="shared" si="52"/>
        <v>Blanket</v>
      </c>
      <c r="J445" s="93" t="str">
        <f t="shared" si="53"/>
        <v/>
      </c>
      <c r="K445" s="99" t="s">
        <v>189</v>
      </c>
      <c r="L445" s="591"/>
      <c r="M445" s="112">
        <f t="shared" si="54"/>
        <v>2017</v>
      </c>
      <c r="O445" s="39"/>
      <c r="P445" s="39"/>
    </row>
    <row r="446" spans="2:16" s="559" customFormat="1">
      <c r="B446" s="863" t="s">
        <v>346</v>
      </c>
      <c r="C446" s="864" t="s">
        <v>383</v>
      </c>
      <c r="D446" s="864"/>
      <c r="E446" s="863" t="s">
        <v>384</v>
      </c>
      <c r="F446" s="864">
        <v>201701</v>
      </c>
      <c r="G446" s="865">
        <v>420</v>
      </c>
      <c r="I446" s="590" t="str">
        <f t="shared" si="52"/>
        <v>Blanket</v>
      </c>
      <c r="J446" s="93" t="str">
        <f t="shared" si="53"/>
        <v/>
      </c>
      <c r="K446" s="99" t="s">
        <v>189</v>
      </c>
      <c r="L446" s="591"/>
      <c r="M446" s="112">
        <f t="shared" si="54"/>
        <v>2017</v>
      </c>
      <c r="O446" s="39"/>
      <c r="P446" s="39"/>
    </row>
    <row r="447" spans="2:16" s="559" customFormat="1">
      <c r="B447" s="863" t="s">
        <v>346</v>
      </c>
      <c r="C447" s="864" t="s">
        <v>385</v>
      </c>
      <c r="D447" s="864"/>
      <c r="E447" s="863" t="s">
        <v>386</v>
      </c>
      <c r="F447" s="864">
        <v>201701</v>
      </c>
      <c r="G447" s="865">
        <v>282620.09999999998</v>
      </c>
      <c r="I447" s="590" t="str">
        <f t="shared" si="52"/>
        <v>Blanket</v>
      </c>
      <c r="J447" s="93" t="str">
        <f t="shared" si="53"/>
        <v/>
      </c>
      <c r="K447" s="99" t="s">
        <v>189</v>
      </c>
      <c r="L447" s="591"/>
      <c r="M447" s="112">
        <f t="shared" si="54"/>
        <v>2017</v>
      </c>
      <c r="O447" s="39"/>
      <c r="P447" s="39"/>
    </row>
    <row r="448" spans="2:16" s="559" customFormat="1">
      <c r="B448" s="863" t="s">
        <v>346</v>
      </c>
      <c r="C448" s="864" t="s">
        <v>387</v>
      </c>
      <c r="D448" s="864"/>
      <c r="E448" s="863" t="s">
        <v>388</v>
      </c>
      <c r="F448" s="864">
        <v>201701</v>
      </c>
      <c r="G448" s="865">
        <v>58379.44</v>
      </c>
      <c r="I448" s="590" t="str">
        <f t="shared" si="52"/>
        <v>Blanket</v>
      </c>
      <c r="J448" s="93" t="str">
        <f t="shared" si="53"/>
        <v/>
      </c>
      <c r="K448" s="99" t="s">
        <v>189</v>
      </c>
      <c r="L448" s="591"/>
      <c r="M448" s="112">
        <f t="shared" si="54"/>
        <v>2017</v>
      </c>
      <c r="O448" s="39"/>
      <c r="P448" s="39"/>
    </row>
    <row r="449" spans="2:16" s="559" customFormat="1">
      <c r="B449" s="863" t="s">
        <v>346</v>
      </c>
      <c r="C449" s="864" t="s">
        <v>389</v>
      </c>
      <c r="D449" s="864"/>
      <c r="E449" s="863" t="s">
        <v>390</v>
      </c>
      <c r="F449" s="864">
        <v>201701</v>
      </c>
      <c r="G449" s="865">
        <v>-0.28999999999999998</v>
      </c>
      <c r="I449" s="590" t="str">
        <f t="shared" si="52"/>
        <v>Blanket</v>
      </c>
      <c r="J449" s="93" t="str">
        <f t="shared" si="53"/>
        <v/>
      </c>
      <c r="K449" s="99" t="s">
        <v>189</v>
      </c>
      <c r="L449" s="591"/>
      <c r="M449" s="112">
        <f t="shared" si="54"/>
        <v>2017</v>
      </c>
      <c r="O449" s="39"/>
      <c r="P449" s="39"/>
    </row>
    <row r="450" spans="2:16" s="559" customFormat="1">
      <c r="B450" s="863" t="s">
        <v>346</v>
      </c>
      <c r="C450" s="864" t="s">
        <v>391</v>
      </c>
      <c r="D450" s="864"/>
      <c r="E450" s="863" t="s">
        <v>392</v>
      </c>
      <c r="F450" s="864">
        <v>201701</v>
      </c>
      <c r="G450" s="865">
        <v>-297.89999999999998</v>
      </c>
      <c r="I450" s="590" t="str">
        <f t="shared" si="52"/>
        <v>Blanket</v>
      </c>
      <c r="J450" s="93" t="str">
        <f t="shared" si="53"/>
        <v/>
      </c>
      <c r="K450" s="99" t="s">
        <v>189</v>
      </c>
      <c r="L450" s="591"/>
      <c r="M450" s="112">
        <f t="shared" si="54"/>
        <v>2017</v>
      </c>
      <c r="O450" s="39"/>
      <c r="P450" s="39"/>
    </row>
    <row r="451" spans="2:16" s="559" customFormat="1">
      <c r="B451" s="863" t="s">
        <v>346</v>
      </c>
      <c r="C451" s="864" t="s">
        <v>393</v>
      </c>
      <c r="D451" s="864"/>
      <c r="E451" s="863" t="s">
        <v>394</v>
      </c>
      <c r="F451" s="864">
        <v>201701</v>
      </c>
      <c r="G451" s="865">
        <v>-11476.9</v>
      </c>
      <c r="I451" s="590" t="str">
        <f t="shared" si="52"/>
        <v>Blanket</v>
      </c>
      <c r="J451" s="93" t="str">
        <f t="shared" si="53"/>
        <v/>
      </c>
      <c r="K451" s="99" t="s">
        <v>189</v>
      </c>
      <c r="L451" s="591"/>
      <c r="M451" s="112">
        <f t="shared" si="54"/>
        <v>2017</v>
      </c>
      <c r="O451" s="39"/>
      <c r="P451" s="39"/>
    </row>
    <row r="452" spans="2:16" s="559" customFormat="1">
      <c r="B452" s="863" t="s">
        <v>346</v>
      </c>
      <c r="C452" s="864" t="s">
        <v>395</v>
      </c>
      <c r="D452" s="864"/>
      <c r="E452" s="863" t="s">
        <v>396</v>
      </c>
      <c r="F452" s="864">
        <v>201701</v>
      </c>
      <c r="G452" s="865">
        <v>-48033.35</v>
      </c>
      <c r="I452" s="590" t="str">
        <f t="shared" si="52"/>
        <v>Blanket</v>
      </c>
      <c r="J452" s="93" t="str">
        <f t="shared" si="53"/>
        <v/>
      </c>
      <c r="K452" s="99" t="s">
        <v>189</v>
      </c>
      <c r="L452" s="591"/>
      <c r="M452" s="112">
        <f t="shared" si="54"/>
        <v>2017</v>
      </c>
      <c r="O452" s="39"/>
      <c r="P452" s="39"/>
    </row>
    <row r="453" spans="2:16" s="559" customFormat="1">
      <c r="B453" s="863" t="s">
        <v>346</v>
      </c>
      <c r="C453" s="864" t="s">
        <v>856</v>
      </c>
      <c r="D453" s="864"/>
      <c r="E453" s="863" t="s">
        <v>857</v>
      </c>
      <c r="F453" s="864">
        <v>201701</v>
      </c>
      <c r="G453" s="865">
        <v>-234.06</v>
      </c>
      <c r="I453" s="590" t="str">
        <f t="shared" si="52"/>
        <v/>
      </c>
      <c r="J453" s="93" t="str">
        <f t="shared" si="53"/>
        <v/>
      </c>
      <c r="K453" s="99" t="s">
        <v>189</v>
      </c>
      <c r="L453" s="591"/>
      <c r="M453" s="112">
        <f t="shared" si="54"/>
        <v>2017</v>
      </c>
      <c r="O453" s="39"/>
      <c r="P453" s="39"/>
    </row>
    <row r="454" spans="2:16" s="559" customFormat="1">
      <c r="B454" s="863" t="s">
        <v>346</v>
      </c>
      <c r="C454" s="864" t="s">
        <v>800</v>
      </c>
      <c r="D454" s="864"/>
      <c r="E454" s="863" t="s">
        <v>830</v>
      </c>
      <c r="F454" s="864">
        <v>201701</v>
      </c>
      <c r="G454" s="865">
        <v>-19.55</v>
      </c>
      <c r="I454" s="590" t="str">
        <f t="shared" si="52"/>
        <v/>
      </c>
      <c r="J454" s="93" t="str">
        <f t="shared" si="53"/>
        <v/>
      </c>
      <c r="K454" s="99" t="s">
        <v>189</v>
      </c>
      <c r="L454" s="591"/>
      <c r="M454" s="112">
        <f t="shared" si="54"/>
        <v>2017</v>
      </c>
      <c r="O454" s="39"/>
      <c r="P454" s="39"/>
    </row>
    <row r="455" spans="2:16" s="559" customFormat="1">
      <c r="B455" s="863" t="s">
        <v>346</v>
      </c>
      <c r="C455" s="864" t="s">
        <v>629</v>
      </c>
      <c r="D455" s="864"/>
      <c r="E455" s="863" t="s">
        <v>630</v>
      </c>
      <c r="F455" s="864">
        <v>201701</v>
      </c>
      <c r="G455" s="865">
        <v>26.2</v>
      </c>
      <c r="I455" s="590" t="str">
        <f t="shared" si="52"/>
        <v/>
      </c>
      <c r="J455" s="93" t="str">
        <f t="shared" si="53"/>
        <v/>
      </c>
      <c r="K455" s="99" t="s">
        <v>189</v>
      </c>
      <c r="L455" s="591"/>
      <c r="M455" s="112">
        <f t="shared" si="54"/>
        <v>2017</v>
      </c>
      <c r="O455" s="39"/>
      <c r="P455" s="39"/>
    </row>
    <row r="456" spans="2:16" s="559" customFormat="1">
      <c r="B456" s="863" t="s">
        <v>346</v>
      </c>
      <c r="C456" s="864" t="s">
        <v>838</v>
      </c>
      <c r="D456" s="864"/>
      <c r="E456" s="863" t="s">
        <v>1015</v>
      </c>
      <c r="F456" s="864">
        <v>201701</v>
      </c>
      <c r="G456" s="865">
        <v>0.04</v>
      </c>
      <c r="I456" s="590" t="str">
        <f t="shared" si="52"/>
        <v/>
      </c>
      <c r="J456" s="93" t="str">
        <f t="shared" si="53"/>
        <v/>
      </c>
      <c r="K456" s="99" t="s">
        <v>189</v>
      </c>
      <c r="L456" s="591"/>
      <c r="M456" s="112">
        <f t="shared" si="54"/>
        <v>2017</v>
      </c>
      <c r="O456" s="39"/>
      <c r="P456" s="39"/>
    </row>
    <row r="457" spans="2:16" s="559" customFormat="1">
      <c r="B457" s="863" t="s">
        <v>346</v>
      </c>
      <c r="C457" s="864" t="s">
        <v>661</v>
      </c>
      <c r="D457" s="864"/>
      <c r="E457" s="863" t="s">
        <v>662</v>
      </c>
      <c r="F457" s="864">
        <v>201701</v>
      </c>
      <c r="G457" s="865">
        <v>1.77</v>
      </c>
      <c r="I457" s="590" t="str">
        <f t="shared" si="52"/>
        <v/>
      </c>
      <c r="J457" s="93" t="str">
        <f t="shared" si="53"/>
        <v/>
      </c>
      <c r="K457" s="99" t="s">
        <v>189</v>
      </c>
      <c r="L457" s="591"/>
      <c r="M457" s="112">
        <f t="shared" si="54"/>
        <v>2017</v>
      </c>
      <c r="O457" s="39"/>
      <c r="P457" s="39"/>
    </row>
    <row r="458" spans="2:16" s="559" customFormat="1">
      <c r="B458" s="863" t="s">
        <v>346</v>
      </c>
      <c r="C458" s="864" t="s">
        <v>801</v>
      </c>
      <c r="D458" s="864"/>
      <c r="E458" s="863" t="s">
        <v>802</v>
      </c>
      <c r="F458" s="864">
        <v>201701</v>
      </c>
      <c r="G458" s="865">
        <v>0.48</v>
      </c>
      <c r="I458" s="590" t="str">
        <f t="shared" si="52"/>
        <v/>
      </c>
      <c r="J458" s="93" t="str">
        <f t="shared" si="53"/>
        <v/>
      </c>
      <c r="K458" s="99" t="s">
        <v>189</v>
      </c>
      <c r="L458" s="591"/>
      <c r="M458" s="112">
        <f t="shared" si="54"/>
        <v>2017</v>
      </c>
      <c r="O458" s="39"/>
      <c r="P458" s="39"/>
    </row>
    <row r="459" spans="2:16" s="559" customFormat="1">
      <c r="B459" s="863" t="s">
        <v>346</v>
      </c>
      <c r="C459" s="864" t="s">
        <v>803</v>
      </c>
      <c r="D459" s="864"/>
      <c r="E459" s="863" t="s">
        <v>804</v>
      </c>
      <c r="F459" s="864">
        <v>201701</v>
      </c>
      <c r="G459" s="865">
        <v>3.02</v>
      </c>
      <c r="I459" s="590" t="str">
        <f t="shared" si="52"/>
        <v/>
      </c>
      <c r="J459" s="93" t="str">
        <f t="shared" si="53"/>
        <v/>
      </c>
      <c r="K459" s="99" t="s">
        <v>189</v>
      </c>
      <c r="L459" s="591"/>
      <c r="M459" s="112">
        <f t="shared" si="54"/>
        <v>2017</v>
      </c>
      <c r="O459" s="39"/>
      <c r="P459" s="39"/>
    </row>
    <row r="460" spans="2:16" s="559" customFormat="1">
      <c r="B460" s="863" t="s">
        <v>346</v>
      </c>
      <c r="C460" s="864" t="s">
        <v>805</v>
      </c>
      <c r="D460" s="864"/>
      <c r="E460" s="863" t="s">
        <v>806</v>
      </c>
      <c r="F460" s="864">
        <v>201701</v>
      </c>
      <c r="G460" s="865">
        <v>-0.1</v>
      </c>
      <c r="I460" s="590" t="str">
        <f t="shared" si="52"/>
        <v/>
      </c>
      <c r="J460" s="93" t="str">
        <f t="shared" si="53"/>
        <v/>
      </c>
      <c r="K460" s="99" t="s">
        <v>189</v>
      </c>
      <c r="L460" s="591"/>
      <c r="M460" s="112">
        <f t="shared" si="54"/>
        <v>2017</v>
      </c>
      <c r="O460" s="39"/>
      <c r="P460" s="39"/>
    </row>
    <row r="461" spans="2:16" s="559" customFormat="1">
      <c r="B461" s="863" t="s">
        <v>346</v>
      </c>
      <c r="C461" s="864" t="s">
        <v>1033</v>
      </c>
      <c r="D461" s="864"/>
      <c r="E461" s="863" t="s">
        <v>1034</v>
      </c>
      <c r="F461" s="864">
        <v>201701</v>
      </c>
      <c r="G461" s="865">
        <v>1277.68</v>
      </c>
      <c r="I461" s="590" t="str">
        <f t="shared" si="52"/>
        <v/>
      </c>
      <c r="J461" s="93" t="str">
        <f t="shared" si="53"/>
        <v/>
      </c>
      <c r="K461" s="99" t="s">
        <v>189</v>
      </c>
      <c r="L461" s="591"/>
      <c r="M461" s="112">
        <f t="shared" si="54"/>
        <v>2017</v>
      </c>
      <c r="O461" s="39"/>
      <c r="P461" s="39"/>
    </row>
    <row r="462" spans="2:16" s="559" customFormat="1">
      <c r="B462" s="863" t="s">
        <v>346</v>
      </c>
      <c r="C462" s="864" t="s">
        <v>1132</v>
      </c>
      <c r="D462" s="864"/>
      <c r="E462" s="863" t="s">
        <v>1133</v>
      </c>
      <c r="F462" s="864">
        <v>201701</v>
      </c>
      <c r="G462" s="865">
        <v>123.92</v>
      </c>
      <c r="I462" s="590" t="str">
        <f t="shared" si="52"/>
        <v/>
      </c>
      <c r="J462" s="93" t="str">
        <f t="shared" si="53"/>
        <v/>
      </c>
      <c r="K462" s="99" t="s">
        <v>189</v>
      </c>
      <c r="L462" s="591"/>
      <c r="M462" s="112">
        <f t="shared" si="54"/>
        <v>2017</v>
      </c>
      <c r="O462" s="39"/>
      <c r="P462" s="39"/>
    </row>
    <row r="463" spans="2:16" s="559" customFormat="1">
      <c r="B463" s="863" t="s">
        <v>346</v>
      </c>
      <c r="C463" s="864" t="s">
        <v>832</v>
      </c>
      <c r="D463" s="864"/>
      <c r="E463" s="863" t="s">
        <v>833</v>
      </c>
      <c r="F463" s="864">
        <v>201701</v>
      </c>
      <c r="G463" s="865">
        <v>8183.28</v>
      </c>
      <c r="I463" s="590" t="str">
        <f t="shared" si="52"/>
        <v/>
      </c>
      <c r="J463" s="93" t="str">
        <f t="shared" si="53"/>
        <v/>
      </c>
      <c r="K463" s="99" t="s">
        <v>189</v>
      </c>
      <c r="L463" s="591"/>
      <c r="M463" s="112">
        <f t="shared" si="54"/>
        <v>2017</v>
      </c>
      <c r="O463" s="39"/>
      <c r="P463" s="39"/>
    </row>
    <row r="464" spans="2:16" s="559" customFormat="1">
      <c r="B464" s="863" t="s">
        <v>346</v>
      </c>
      <c r="C464" s="864" t="s">
        <v>947</v>
      </c>
      <c r="D464" s="864"/>
      <c r="E464" s="863" t="s">
        <v>948</v>
      </c>
      <c r="F464" s="864">
        <v>201701</v>
      </c>
      <c r="G464" s="865">
        <v>-56528.71</v>
      </c>
      <c r="I464" s="590" t="str">
        <f t="shared" si="52"/>
        <v/>
      </c>
      <c r="J464" s="93" t="str">
        <f t="shared" si="53"/>
        <v/>
      </c>
      <c r="K464" s="99" t="s">
        <v>189</v>
      </c>
      <c r="L464" s="591"/>
      <c r="M464" s="112">
        <f t="shared" si="54"/>
        <v>2017</v>
      </c>
      <c r="O464" s="39"/>
      <c r="P464" s="39"/>
    </row>
    <row r="465" spans="2:16" s="559" customFormat="1">
      <c r="B465" s="863" t="s">
        <v>346</v>
      </c>
      <c r="C465" s="864" t="s">
        <v>949</v>
      </c>
      <c r="D465" s="864"/>
      <c r="E465" s="863" t="s">
        <v>950</v>
      </c>
      <c r="F465" s="864">
        <v>201701</v>
      </c>
      <c r="G465" s="865">
        <v>11733.77</v>
      </c>
      <c r="I465" s="590" t="str">
        <f t="shared" si="52"/>
        <v/>
      </c>
      <c r="J465" s="93" t="str">
        <f t="shared" si="53"/>
        <v/>
      </c>
      <c r="K465" s="99" t="s">
        <v>189</v>
      </c>
      <c r="L465" s="591"/>
      <c r="M465" s="112">
        <f t="shared" si="54"/>
        <v>2017</v>
      </c>
      <c r="O465" s="39"/>
      <c r="P465" s="39"/>
    </row>
    <row r="466" spans="2:16" s="559" customFormat="1">
      <c r="B466" s="863" t="s">
        <v>346</v>
      </c>
      <c r="C466" s="864" t="s">
        <v>951</v>
      </c>
      <c r="D466" s="864"/>
      <c r="E466" s="863" t="s">
        <v>952</v>
      </c>
      <c r="F466" s="864">
        <v>201701</v>
      </c>
      <c r="G466" s="865">
        <v>39235.300000000003</v>
      </c>
      <c r="I466" s="590" t="str">
        <f t="shared" si="52"/>
        <v/>
      </c>
      <c r="J466" s="93" t="str">
        <f t="shared" si="53"/>
        <v/>
      </c>
      <c r="K466" s="99" t="s">
        <v>189</v>
      </c>
      <c r="L466" s="591"/>
      <c r="M466" s="112">
        <f t="shared" si="54"/>
        <v>2017</v>
      </c>
      <c r="O466" s="39"/>
      <c r="P466" s="39"/>
    </row>
    <row r="467" spans="2:16" s="559" customFormat="1">
      <c r="B467" s="863" t="s">
        <v>346</v>
      </c>
      <c r="C467" s="864" t="s">
        <v>955</v>
      </c>
      <c r="D467" s="864"/>
      <c r="E467" s="863" t="s">
        <v>956</v>
      </c>
      <c r="F467" s="864">
        <v>201701</v>
      </c>
      <c r="G467" s="865">
        <v>-4119.91</v>
      </c>
      <c r="I467" s="590" t="str">
        <f t="shared" si="52"/>
        <v/>
      </c>
      <c r="J467" s="93" t="str">
        <f t="shared" si="53"/>
        <v/>
      </c>
      <c r="K467" s="99" t="s">
        <v>189</v>
      </c>
      <c r="L467" s="591"/>
      <c r="M467" s="112">
        <f t="shared" si="54"/>
        <v>2017</v>
      </c>
      <c r="O467" s="39"/>
      <c r="P467" s="39"/>
    </row>
    <row r="468" spans="2:16" s="559" customFormat="1">
      <c r="B468" s="863" t="s">
        <v>346</v>
      </c>
      <c r="C468" s="864" t="s">
        <v>893</v>
      </c>
      <c r="D468" s="864"/>
      <c r="E468" s="863" t="s">
        <v>894</v>
      </c>
      <c r="F468" s="864">
        <v>201701</v>
      </c>
      <c r="G468" s="865">
        <v>10.85</v>
      </c>
      <c r="I468" s="590" t="str">
        <f t="shared" si="52"/>
        <v/>
      </c>
      <c r="J468" s="93" t="str">
        <f t="shared" si="53"/>
        <v/>
      </c>
      <c r="K468" s="99" t="s">
        <v>189</v>
      </c>
      <c r="L468" s="591"/>
      <c r="M468" s="112">
        <f t="shared" si="54"/>
        <v>2017</v>
      </c>
      <c r="O468" s="39"/>
      <c r="P468" s="39"/>
    </row>
    <row r="469" spans="2:16" s="559" customFormat="1">
      <c r="B469" s="863" t="s">
        <v>346</v>
      </c>
      <c r="C469" s="864" t="s">
        <v>840</v>
      </c>
      <c r="D469" s="864"/>
      <c r="E469" s="863" t="s">
        <v>841</v>
      </c>
      <c r="F469" s="864">
        <v>201701</v>
      </c>
      <c r="G469" s="865">
        <v>6726.98</v>
      </c>
      <c r="I469" s="590" t="str">
        <f t="shared" si="52"/>
        <v/>
      </c>
      <c r="J469" s="93" t="str">
        <f t="shared" si="53"/>
        <v/>
      </c>
      <c r="K469" s="99" t="s">
        <v>189</v>
      </c>
      <c r="L469" s="591"/>
      <c r="M469" s="112">
        <f t="shared" si="54"/>
        <v>2017</v>
      </c>
      <c r="O469" s="39"/>
      <c r="P469" s="39"/>
    </row>
    <row r="470" spans="2:16" s="559" customFormat="1">
      <c r="B470" s="863" t="s">
        <v>346</v>
      </c>
      <c r="C470" s="864" t="s">
        <v>961</v>
      </c>
      <c r="D470" s="864"/>
      <c r="E470" s="863" t="s">
        <v>962</v>
      </c>
      <c r="F470" s="864">
        <v>201701</v>
      </c>
      <c r="G470" s="865">
        <v>42209.41</v>
      </c>
      <c r="I470" s="590" t="str">
        <f t="shared" si="52"/>
        <v/>
      </c>
      <c r="J470" s="93" t="str">
        <f t="shared" si="53"/>
        <v/>
      </c>
      <c r="K470" s="99" t="s">
        <v>189</v>
      </c>
      <c r="L470" s="591"/>
      <c r="M470" s="112">
        <f t="shared" si="54"/>
        <v>2017</v>
      </c>
      <c r="O470" s="39"/>
      <c r="P470" s="39"/>
    </row>
    <row r="471" spans="2:16" s="559" customFormat="1">
      <c r="B471" s="863" t="s">
        <v>346</v>
      </c>
      <c r="C471" s="864" t="s">
        <v>963</v>
      </c>
      <c r="D471" s="864"/>
      <c r="E471" s="863" t="s">
        <v>964</v>
      </c>
      <c r="F471" s="864">
        <v>201701</v>
      </c>
      <c r="G471" s="865">
        <v>24.76</v>
      </c>
      <c r="I471" s="590" t="str">
        <f t="shared" si="52"/>
        <v/>
      </c>
      <c r="J471" s="93" t="str">
        <f t="shared" si="53"/>
        <v/>
      </c>
      <c r="K471" s="99" t="s">
        <v>189</v>
      </c>
      <c r="L471" s="591"/>
      <c r="M471" s="112">
        <f t="shared" si="54"/>
        <v>2017</v>
      </c>
      <c r="O471" s="39"/>
      <c r="P471" s="39"/>
    </row>
    <row r="472" spans="2:16" s="559" customFormat="1">
      <c r="B472" s="863" t="s">
        <v>346</v>
      </c>
      <c r="C472" s="864" t="s">
        <v>967</v>
      </c>
      <c r="D472" s="864"/>
      <c r="E472" s="863" t="s">
        <v>968</v>
      </c>
      <c r="F472" s="864">
        <v>201701</v>
      </c>
      <c r="G472" s="865">
        <v>-5.94</v>
      </c>
      <c r="I472" s="590" t="str">
        <f t="shared" si="52"/>
        <v/>
      </c>
      <c r="J472" s="93" t="str">
        <f t="shared" si="53"/>
        <v/>
      </c>
      <c r="K472" s="99" t="s">
        <v>189</v>
      </c>
      <c r="L472" s="591"/>
      <c r="M472" s="112">
        <f t="shared" si="54"/>
        <v>2017</v>
      </c>
      <c r="O472" s="39"/>
      <c r="P472" s="39"/>
    </row>
    <row r="473" spans="2:16" s="559" customFormat="1">
      <c r="B473" s="863" t="s">
        <v>346</v>
      </c>
      <c r="C473" s="864" t="s">
        <v>682</v>
      </c>
      <c r="D473" s="864"/>
      <c r="E473" s="863" t="s">
        <v>683</v>
      </c>
      <c r="F473" s="864">
        <v>201701</v>
      </c>
      <c r="G473" s="865">
        <v>4098.62</v>
      </c>
      <c r="I473" s="590" t="str">
        <f t="shared" si="52"/>
        <v/>
      </c>
      <c r="J473" s="93" t="str">
        <f t="shared" si="53"/>
        <v/>
      </c>
      <c r="K473" s="99" t="s">
        <v>189</v>
      </c>
      <c r="L473" s="591"/>
      <c r="M473" s="112">
        <f t="shared" si="54"/>
        <v>2017</v>
      </c>
      <c r="O473" s="39"/>
      <c r="P473" s="39"/>
    </row>
    <row r="474" spans="2:16" s="559" customFormat="1">
      <c r="B474" s="863" t="s">
        <v>346</v>
      </c>
      <c r="C474" s="864" t="s">
        <v>1106</v>
      </c>
      <c r="D474" s="864"/>
      <c r="E474" s="863" t="s">
        <v>1107</v>
      </c>
      <c r="F474" s="864">
        <v>201701</v>
      </c>
      <c r="G474" s="865">
        <v>2964.76</v>
      </c>
      <c r="I474" s="590" t="str">
        <f t="shared" si="52"/>
        <v/>
      </c>
      <c r="J474" s="93" t="str">
        <f t="shared" si="53"/>
        <v/>
      </c>
      <c r="K474" s="99" t="s">
        <v>189</v>
      </c>
      <c r="L474" s="591"/>
      <c r="M474" s="112">
        <f t="shared" si="54"/>
        <v>2017</v>
      </c>
      <c r="O474" s="39"/>
      <c r="P474" s="39"/>
    </row>
    <row r="475" spans="2:16" s="559" customFormat="1">
      <c r="B475" s="863" t="s">
        <v>346</v>
      </c>
      <c r="C475" s="864" t="s">
        <v>822</v>
      </c>
      <c r="D475" s="864"/>
      <c r="E475" s="863" t="s">
        <v>823</v>
      </c>
      <c r="F475" s="864">
        <v>201701</v>
      </c>
      <c r="G475" s="865">
        <v>0.57999999999999996</v>
      </c>
      <c r="I475" s="590" t="str">
        <f t="shared" si="52"/>
        <v/>
      </c>
      <c r="J475" s="93" t="str">
        <f t="shared" si="53"/>
        <v/>
      </c>
      <c r="K475" s="99" t="s">
        <v>189</v>
      </c>
      <c r="L475" s="591"/>
      <c r="M475" s="112">
        <f t="shared" si="54"/>
        <v>2017</v>
      </c>
      <c r="O475" s="39"/>
      <c r="P475" s="39"/>
    </row>
    <row r="476" spans="2:16" s="559" customFormat="1">
      <c r="B476" s="863" t="s">
        <v>346</v>
      </c>
      <c r="C476" s="864" t="s">
        <v>973</v>
      </c>
      <c r="D476" s="864"/>
      <c r="E476" s="863" t="s">
        <v>974</v>
      </c>
      <c r="F476" s="864">
        <v>201701</v>
      </c>
      <c r="G476" s="865">
        <v>151.32</v>
      </c>
      <c r="I476" s="590" t="str">
        <f t="shared" si="52"/>
        <v/>
      </c>
      <c r="J476" s="93" t="str">
        <f t="shared" si="53"/>
        <v/>
      </c>
      <c r="K476" s="99" t="s">
        <v>189</v>
      </c>
      <c r="L476" s="591"/>
      <c r="M476" s="112">
        <f t="shared" si="54"/>
        <v>2017</v>
      </c>
      <c r="O476" s="39"/>
      <c r="P476" s="39"/>
    </row>
    <row r="477" spans="2:16" s="559" customFormat="1">
      <c r="B477" s="863" t="s">
        <v>346</v>
      </c>
      <c r="C477" s="864" t="s">
        <v>868</v>
      </c>
      <c r="D477" s="864"/>
      <c r="E477" s="863" t="s">
        <v>869</v>
      </c>
      <c r="F477" s="864">
        <v>201701</v>
      </c>
      <c r="G477" s="865">
        <v>-0.11</v>
      </c>
      <c r="I477" s="590" t="str">
        <f t="shared" si="52"/>
        <v/>
      </c>
      <c r="J477" s="93" t="str">
        <f t="shared" si="53"/>
        <v/>
      </c>
      <c r="K477" s="99" t="s">
        <v>189</v>
      </c>
      <c r="L477" s="591"/>
      <c r="M477" s="112">
        <f t="shared" si="54"/>
        <v>2017</v>
      </c>
      <c r="O477" s="39"/>
      <c r="P477" s="39"/>
    </row>
    <row r="478" spans="2:16" s="559" customFormat="1">
      <c r="B478" s="863" t="s">
        <v>346</v>
      </c>
      <c r="C478" s="864" t="s">
        <v>1108</v>
      </c>
      <c r="D478" s="864"/>
      <c r="E478" s="863" t="s">
        <v>1109</v>
      </c>
      <c r="F478" s="864">
        <v>201701</v>
      </c>
      <c r="G478" s="865">
        <v>9413.68</v>
      </c>
      <c r="I478" s="590" t="str">
        <f t="shared" si="52"/>
        <v/>
      </c>
      <c r="J478" s="93" t="str">
        <f t="shared" si="53"/>
        <v/>
      </c>
      <c r="K478" s="99" t="s">
        <v>189</v>
      </c>
      <c r="L478" s="591"/>
      <c r="M478" s="112">
        <f t="shared" si="54"/>
        <v>2017</v>
      </c>
      <c r="O478" s="39"/>
      <c r="P478" s="39"/>
    </row>
    <row r="479" spans="2:16" s="559" customFormat="1">
      <c r="B479" s="863" t="s">
        <v>346</v>
      </c>
      <c r="C479" s="864" t="s">
        <v>975</v>
      </c>
      <c r="D479" s="864"/>
      <c r="E479" s="863" t="s">
        <v>976</v>
      </c>
      <c r="F479" s="864">
        <v>201701</v>
      </c>
      <c r="G479" s="865">
        <v>66.75</v>
      </c>
      <c r="I479" s="590" t="str">
        <f t="shared" si="52"/>
        <v/>
      </c>
      <c r="J479" s="93" t="str">
        <f t="shared" si="53"/>
        <v/>
      </c>
      <c r="K479" s="99" t="s">
        <v>189</v>
      </c>
      <c r="L479" s="591"/>
      <c r="M479" s="112">
        <f t="shared" si="54"/>
        <v>2017</v>
      </c>
      <c r="O479" s="39"/>
      <c r="P479" s="39"/>
    </row>
    <row r="480" spans="2:16" s="559" customFormat="1">
      <c r="B480" s="863" t="s">
        <v>346</v>
      </c>
      <c r="C480" s="864" t="s">
        <v>870</v>
      </c>
      <c r="D480" s="864"/>
      <c r="E480" s="863" t="s">
        <v>871</v>
      </c>
      <c r="F480" s="864">
        <v>201701</v>
      </c>
      <c r="G480" s="865">
        <v>-124.77</v>
      </c>
      <c r="I480" s="590" t="str">
        <f t="shared" si="52"/>
        <v/>
      </c>
      <c r="J480" s="93" t="str">
        <f t="shared" si="53"/>
        <v/>
      </c>
      <c r="K480" s="99" t="s">
        <v>189</v>
      </c>
      <c r="L480" s="591"/>
      <c r="M480" s="112">
        <f t="shared" si="54"/>
        <v>2017</v>
      </c>
      <c r="O480" s="39"/>
      <c r="P480" s="39"/>
    </row>
    <row r="481" spans="2:16" s="559" customFormat="1">
      <c r="B481" s="863" t="s">
        <v>346</v>
      </c>
      <c r="C481" s="864" t="s">
        <v>1039</v>
      </c>
      <c r="D481" s="864"/>
      <c r="E481" s="863" t="s">
        <v>1040</v>
      </c>
      <c r="F481" s="864">
        <v>201701</v>
      </c>
      <c r="G481" s="865">
        <v>3692.51</v>
      </c>
      <c r="I481" s="590" t="str">
        <f t="shared" si="52"/>
        <v/>
      </c>
      <c r="J481" s="93" t="str">
        <f t="shared" si="53"/>
        <v/>
      </c>
      <c r="K481" s="99" t="s">
        <v>189</v>
      </c>
      <c r="L481" s="591"/>
      <c r="M481" s="112">
        <f t="shared" si="54"/>
        <v>2017</v>
      </c>
      <c r="O481" s="39"/>
      <c r="P481" s="39"/>
    </row>
    <row r="482" spans="2:16" s="559" customFormat="1">
      <c r="B482" s="863" t="s">
        <v>346</v>
      </c>
      <c r="C482" s="864" t="s">
        <v>872</v>
      </c>
      <c r="D482" s="864"/>
      <c r="E482" s="863" t="s">
        <v>873</v>
      </c>
      <c r="F482" s="864">
        <v>201701</v>
      </c>
      <c r="G482" s="865">
        <v>13.33</v>
      </c>
      <c r="I482" s="590" t="str">
        <f t="shared" si="52"/>
        <v/>
      </c>
      <c r="J482" s="93" t="str">
        <f t="shared" si="53"/>
        <v/>
      </c>
      <c r="K482" s="99" t="s">
        <v>189</v>
      </c>
      <c r="L482" s="591"/>
      <c r="M482" s="112">
        <f t="shared" si="54"/>
        <v>2017</v>
      </c>
      <c r="O482" s="39"/>
      <c r="P482" s="39"/>
    </row>
    <row r="483" spans="2:16" s="559" customFormat="1">
      <c r="B483" s="863" t="s">
        <v>346</v>
      </c>
      <c r="C483" s="864" t="s">
        <v>977</v>
      </c>
      <c r="D483" s="864"/>
      <c r="E483" s="863" t="s">
        <v>978</v>
      </c>
      <c r="F483" s="864">
        <v>201701</v>
      </c>
      <c r="G483" s="865">
        <v>142.06</v>
      </c>
      <c r="I483" s="590" t="str">
        <f t="shared" si="52"/>
        <v/>
      </c>
      <c r="J483" s="93" t="str">
        <f t="shared" si="53"/>
        <v/>
      </c>
      <c r="K483" s="99" t="s">
        <v>189</v>
      </c>
      <c r="L483" s="591"/>
      <c r="M483" s="112">
        <f t="shared" si="54"/>
        <v>2017</v>
      </c>
      <c r="O483" s="39"/>
      <c r="P483" s="39"/>
    </row>
    <row r="484" spans="2:16" s="559" customFormat="1">
      <c r="B484" s="863" t="s">
        <v>346</v>
      </c>
      <c r="C484" s="864" t="s">
        <v>1041</v>
      </c>
      <c r="D484" s="864"/>
      <c r="E484" s="863" t="s">
        <v>1042</v>
      </c>
      <c r="F484" s="864">
        <v>201701</v>
      </c>
      <c r="G484" s="865">
        <v>-14.41</v>
      </c>
      <c r="I484" s="590" t="str">
        <f t="shared" si="52"/>
        <v/>
      </c>
      <c r="J484" s="93" t="str">
        <f t="shared" si="53"/>
        <v/>
      </c>
      <c r="K484" s="99" t="s">
        <v>189</v>
      </c>
      <c r="L484" s="591"/>
      <c r="M484" s="112">
        <f t="shared" si="54"/>
        <v>2017</v>
      </c>
      <c r="O484" s="39"/>
      <c r="P484" s="39"/>
    </row>
    <row r="485" spans="2:16" s="559" customFormat="1">
      <c r="B485" s="863" t="s">
        <v>346</v>
      </c>
      <c r="C485" s="864" t="s">
        <v>979</v>
      </c>
      <c r="D485" s="864"/>
      <c r="E485" s="863" t="s">
        <v>980</v>
      </c>
      <c r="F485" s="864">
        <v>201701</v>
      </c>
      <c r="G485" s="865">
        <v>57.65</v>
      </c>
      <c r="I485" s="590" t="str">
        <f t="shared" si="52"/>
        <v/>
      </c>
      <c r="J485" s="93" t="str">
        <f t="shared" si="53"/>
        <v/>
      </c>
      <c r="K485" s="99" t="s">
        <v>189</v>
      </c>
      <c r="L485" s="591"/>
      <c r="M485" s="112">
        <f t="shared" si="54"/>
        <v>2017</v>
      </c>
      <c r="O485" s="39"/>
      <c r="P485" s="39"/>
    </row>
    <row r="486" spans="2:16" s="559" customFormat="1">
      <c r="B486" s="863" t="s">
        <v>346</v>
      </c>
      <c r="C486" s="864" t="s">
        <v>981</v>
      </c>
      <c r="D486" s="864"/>
      <c r="E486" s="863" t="s">
        <v>1014</v>
      </c>
      <c r="F486" s="864">
        <v>201701</v>
      </c>
      <c r="G486" s="865">
        <v>1051.6199999999999</v>
      </c>
      <c r="I486" s="590" t="str">
        <f t="shared" si="52"/>
        <v/>
      </c>
      <c r="J486" s="93" t="str">
        <f t="shared" si="53"/>
        <v/>
      </c>
      <c r="K486" s="99" t="s">
        <v>189</v>
      </c>
      <c r="L486" s="591"/>
      <c r="M486" s="112">
        <f t="shared" si="54"/>
        <v>2017</v>
      </c>
      <c r="O486" s="39"/>
      <c r="P486" s="39"/>
    </row>
    <row r="487" spans="2:16" s="559" customFormat="1">
      <c r="B487" s="863" t="s">
        <v>346</v>
      </c>
      <c r="C487" s="864" t="s">
        <v>983</v>
      </c>
      <c r="D487" s="864"/>
      <c r="E487" s="863" t="s">
        <v>984</v>
      </c>
      <c r="F487" s="864">
        <v>201701</v>
      </c>
      <c r="G487" s="865">
        <v>51.49</v>
      </c>
      <c r="I487" s="590" t="str">
        <f t="shared" si="52"/>
        <v/>
      </c>
      <c r="J487" s="93" t="str">
        <f t="shared" si="53"/>
        <v/>
      </c>
      <c r="K487" s="99" t="s">
        <v>189</v>
      </c>
      <c r="L487" s="591"/>
      <c r="M487" s="112">
        <f t="shared" si="54"/>
        <v>2017</v>
      </c>
      <c r="O487" s="39"/>
      <c r="P487" s="39"/>
    </row>
    <row r="488" spans="2:16" s="559" customFormat="1">
      <c r="B488" s="863" t="s">
        <v>346</v>
      </c>
      <c r="C488" s="864" t="s">
        <v>1043</v>
      </c>
      <c r="D488" s="864"/>
      <c r="E488" s="863" t="s">
        <v>1044</v>
      </c>
      <c r="F488" s="864">
        <v>201701</v>
      </c>
      <c r="G488" s="865">
        <v>-1.19</v>
      </c>
      <c r="I488" s="590" t="str">
        <f t="shared" si="52"/>
        <v/>
      </c>
      <c r="J488" s="93" t="str">
        <f t="shared" si="53"/>
        <v/>
      </c>
      <c r="K488" s="99" t="s">
        <v>189</v>
      </c>
      <c r="L488" s="591"/>
      <c r="M488" s="112">
        <f t="shared" si="54"/>
        <v>2017</v>
      </c>
      <c r="O488" s="39"/>
      <c r="P488" s="39"/>
    </row>
    <row r="489" spans="2:16" s="559" customFormat="1">
      <c r="B489" s="863" t="s">
        <v>346</v>
      </c>
      <c r="C489" s="864" t="s">
        <v>876</v>
      </c>
      <c r="D489" s="864"/>
      <c r="E489" s="863" t="s">
        <v>877</v>
      </c>
      <c r="F489" s="864">
        <v>201701</v>
      </c>
      <c r="G489" s="865">
        <v>-1.3</v>
      </c>
      <c r="I489" s="590" t="str">
        <f t="shared" si="52"/>
        <v/>
      </c>
      <c r="J489" s="93" t="str">
        <f t="shared" si="53"/>
        <v/>
      </c>
      <c r="K489" s="99" t="s">
        <v>189</v>
      </c>
      <c r="L489" s="591"/>
      <c r="M489" s="112">
        <f t="shared" si="54"/>
        <v>2017</v>
      </c>
      <c r="O489" s="39"/>
      <c r="P489" s="39"/>
    </row>
    <row r="490" spans="2:16" s="559" customFormat="1">
      <c r="B490" s="863" t="s">
        <v>346</v>
      </c>
      <c r="C490" s="864" t="s">
        <v>1045</v>
      </c>
      <c r="D490" s="864"/>
      <c r="E490" s="863" t="s">
        <v>1046</v>
      </c>
      <c r="F490" s="864">
        <v>201701</v>
      </c>
      <c r="G490" s="865">
        <v>-3.44</v>
      </c>
      <c r="I490" s="590" t="str">
        <f t="shared" si="52"/>
        <v/>
      </c>
      <c r="J490" s="93" t="str">
        <f t="shared" si="53"/>
        <v/>
      </c>
      <c r="K490" s="99" t="s">
        <v>189</v>
      </c>
      <c r="L490" s="591"/>
      <c r="M490" s="112">
        <f t="shared" si="54"/>
        <v>2017</v>
      </c>
      <c r="O490" s="39"/>
      <c r="P490" s="39"/>
    </row>
    <row r="491" spans="2:16" s="559" customFormat="1">
      <c r="B491" s="863" t="s">
        <v>346</v>
      </c>
      <c r="C491" s="864" t="s">
        <v>878</v>
      </c>
      <c r="D491" s="864"/>
      <c r="E491" s="863" t="s">
        <v>879</v>
      </c>
      <c r="F491" s="864">
        <v>201701</v>
      </c>
      <c r="G491" s="865">
        <v>-17373.240000000002</v>
      </c>
      <c r="I491" s="590" t="str">
        <f t="shared" si="52"/>
        <v/>
      </c>
      <c r="J491" s="93" t="str">
        <f t="shared" si="53"/>
        <v/>
      </c>
      <c r="K491" s="99" t="s">
        <v>189</v>
      </c>
      <c r="L491" s="591"/>
      <c r="M491" s="112">
        <f t="shared" si="54"/>
        <v>2017</v>
      </c>
      <c r="O491" s="39"/>
      <c r="P491" s="39"/>
    </row>
    <row r="492" spans="2:16" s="559" customFormat="1">
      <c r="B492" s="863" t="s">
        <v>346</v>
      </c>
      <c r="C492" s="864" t="s">
        <v>987</v>
      </c>
      <c r="D492" s="864"/>
      <c r="E492" s="863" t="s">
        <v>988</v>
      </c>
      <c r="F492" s="864">
        <v>201701</v>
      </c>
      <c r="G492" s="865">
        <v>-4021.8</v>
      </c>
      <c r="I492" s="590" t="str">
        <f t="shared" ref="I492:I509" si="55">IF(LEFT(C492,2)="69","Blanket","")</f>
        <v/>
      </c>
      <c r="J492" s="93" t="str">
        <f t="shared" ref="J492:J509" si="56">IF(F492&gt;$J$20,"",IF(F492&gt;=$J$22,"In service",""))</f>
        <v/>
      </c>
      <c r="K492" s="99" t="s">
        <v>189</v>
      </c>
      <c r="L492" s="591"/>
      <c r="M492" s="112">
        <f t="shared" ref="M492:M509" si="57">IF(F492&gt;$M$20,0+2017,0+2016)</f>
        <v>2017</v>
      </c>
      <c r="O492" s="39"/>
      <c r="P492" s="39"/>
    </row>
    <row r="493" spans="2:16" s="559" customFormat="1">
      <c r="B493" s="863" t="s">
        <v>346</v>
      </c>
      <c r="C493" s="864" t="s">
        <v>989</v>
      </c>
      <c r="D493" s="864"/>
      <c r="E493" s="863" t="s">
        <v>990</v>
      </c>
      <c r="F493" s="864">
        <v>201701</v>
      </c>
      <c r="G493" s="865">
        <v>0.92</v>
      </c>
      <c r="I493" s="590" t="str">
        <f t="shared" si="55"/>
        <v/>
      </c>
      <c r="J493" s="93" t="str">
        <f t="shared" si="56"/>
        <v/>
      </c>
      <c r="K493" s="99" t="s">
        <v>189</v>
      </c>
      <c r="L493" s="591"/>
      <c r="M493" s="112">
        <f t="shared" si="57"/>
        <v>2017</v>
      </c>
      <c r="O493" s="39"/>
      <c r="P493" s="39"/>
    </row>
    <row r="494" spans="2:16" s="559" customFormat="1">
      <c r="B494" s="863" t="s">
        <v>346</v>
      </c>
      <c r="C494" s="864" t="s">
        <v>880</v>
      </c>
      <c r="D494" s="864"/>
      <c r="E494" s="863" t="s">
        <v>881</v>
      </c>
      <c r="F494" s="864">
        <v>201701</v>
      </c>
      <c r="G494" s="865">
        <v>-16.510000000000002</v>
      </c>
      <c r="I494" s="590" t="str">
        <f t="shared" si="55"/>
        <v/>
      </c>
      <c r="J494" s="93" t="str">
        <f t="shared" si="56"/>
        <v/>
      </c>
      <c r="K494" s="99" t="s">
        <v>189</v>
      </c>
      <c r="L494" s="591"/>
      <c r="M494" s="112">
        <f t="shared" si="57"/>
        <v>2017</v>
      </c>
      <c r="O494" s="39"/>
      <c r="P494" s="39"/>
    </row>
    <row r="495" spans="2:16" s="559" customFormat="1">
      <c r="B495" s="863" t="s">
        <v>346</v>
      </c>
      <c r="C495" s="864" t="s">
        <v>993</v>
      </c>
      <c r="D495" s="864"/>
      <c r="E495" s="863" t="s">
        <v>994</v>
      </c>
      <c r="F495" s="864">
        <v>201701</v>
      </c>
      <c r="G495" s="865">
        <v>37.76</v>
      </c>
      <c r="I495" s="590" t="str">
        <f t="shared" si="55"/>
        <v/>
      </c>
      <c r="J495" s="93" t="str">
        <f t="shared" si="56"/>
        <v/>
      </c>
      <c r="K495" s="99" t="s">
        <v>189</v>
      </c>
      <c r="L495" s="591"/>
      <c r="M495" s="112">
        <f t="shared" si="57"/>
        <v>2017</v>
      </c>
      <c r="O495" s="39"/>
      <c r="P495" s="39"/>
    </row>
    <row r="496" spans="2:16" s="559" customFormat="1">
      <c r="B496" s="863" t="s">
        <v>346</v>
      </c>
      <c r="C496" s="864" t="s">
        <v>996</v>
      </c>
      <c r="D496" s="864"/>
      <c r="E496" s="863" t="s">
        <v>997</v>
      </c>
      <c r="F496" s="864">
        <v>201701</v>
      </c>
      <c r="G496" s="865">
        <v>330.57</v>
      </c>
      <c r="I496" s="590" t="str">
        <f t="shared" si="55"/>
        <v/>
      </c>
      <c r="J496" s="93" t="str">
        <f t="shared" si="56"/>
        <v/>
      </c>
      <c r="K496" s="99" t="s">
        <v>189</v>
      </c>
      <c r="L496" s="591"/>
      <c r="M496" s="112">
        <f t="shared" si="57"/>
        <v>2017</v>
      </c>
      <c r="O496" s="39"/>
      <c r="P496" s="39"/>
    </row>
    <row r="497" spans="2:16" s="559" customFormat="1">
      <c r="B497" s="863" t="s">
        <v>346</v>
      </c>
      <c r="C497" s="864" t="s">
        <v>1055</v>
      </c>
      <c r="D497" s="864"/>
      <c r="E497" s="863" t="s">
        <v>1056</v>
      </c>
      <c r="F497" s="864">
        <v>201701</v>
      </c>
      <c r="G497" s="865">
        <v>7.97</v>
      </c>
      <c r="I497" s="590" t="str">
        <f t="shared" si="55"/>
        <v/>
      </c>
      <c r="J497" s="93" t="str">
        <f t="shared" si="56"/>
        <v/>
      </c>
      <c r="K497" s="99" t="s">
        <v>189</v>
      </c>
      <c r="L497" s="591"/>
      <c r="M497" s="112">
        <f t="shared" si="57"/>
        <v>2017</v>
      </c>
      <c r="O497" s="39"/>
      <c r="P497" s="39"/>
    </row>
    <row r="498" spans="2:16" s="559" customFormat="1">
      <c r="B498" s="863" t="s">
        <v>346</v>
      </c>
      <c r="C498" s="864" t="s">
        <v>1110</v>
      </c>
      <c r="D498" s="864"/>
      <c r="E498" s="863" t="s">
        <v>1111</v>
      </c>
      <c r="F498" s="864">
        <v>201701</v>
      </c>
      <c r="G498" s="865">
        <v>1373.36</v>
      </c>
      <c r="I498" s="590" t="str">
        <f t="shared" si="55"/>
        <v/>
      </c>
      <c r="J498" s="93" t="str">
        <f t="shared" si="56"/>
        <v/>
      </c>
      <c r="K498" s="99" t="s">
        <v>189</v>
      </c>
      <c r="L498" s="591"/>
      <c r="M498" s="112">
        <f t="shared" si="57"/>
        <v>2017</v>
      </c>
      <c r="O498" s="39"/>
      <c r="P498" s="39"/>
    </row>
    <row r="499" spans="2:16" s="559" customFormat="1">
      <c r="B499" s="863" t="s">
        <v>346</v>
      </c>
      <c r="C499" s="864" t="s">
        <v>1112</v>
      </c>
      <c r="D499" s="864"/>
      <c r="E499" s="863" t="s">
        <v>1113</v>
      </c>
      <c r="F499" s="864">
        <v>201701</v>
      </c>
      <c r="G499" s="865">
        <v>111.22</v>
      </c>
      <c r="I499" s="590" t="str">
        <f t="shared" si="55"/>
        <v/>
      </c>
      <c r="J499" s="93" t="str">
        <f t="shared" si="56"/>
        <v/>
      </c>
      <c r="K499" s="99" t="s">
        <v>189</v>
      </c>
      <c r="L499" s="591"/>
      <c r="M499" s="112">
        <f t="shared" si="57"/>
        <v>2017</v>
      </c>
      <c r="O499" s="39"/>
      <c r="P499" s="39"/>
    </row>
    <row r="500" spans="2:16" s="559" customFormat="1">
      <c r="B500" s="863" t="s">
        <v>346</v>
      </c>
      <c r="C500" s="864" t="s">
        <v>1114</v>
      </c>
      <c r="D500" s="864"/>
      <c r="E500" s="863" t="s">
        <v>1115</v>
      </c>
      <c r="F500" s="864">
        <v>201701</v>
      </c>
      <c r="G500" s="865">
        <v>55.81</v>
      </c>
      <c r="I500" s="590" t="str">
        <f t="shared" si="55"/>
        <v/>
      </c>
      <c r="J500" s="93" t="str">
        <f t="shared" si="56"/>
        <v/>
      </c>
      <c r="K500" s="99" t="s">
        <v>189</v>
      </c>
      <c r="L500" s="591"/>
      <c r="M500" s="112">
        <f t="shared" si="57"/>
        <v>2017</v>
      </c>
      <c r="O500" s="39"/>
      <c r="P500" s="39"/>
    </row>
    <row r="501" spans="2:16" s="559" customFormat="1">
      <c r="B501" s="863" t="s">
        <v>346</v>
      </c>
      <c r="C501" s="864" t="s">
        <v>1116</v>
      </c>
      <c r="D501" s="864"/>
      <c r="E501" s="863" t="s">
        <v>1117</v>
      </c>
      <c r="F501" s="864">
        <v>201701</v>
      </c>
      <c r="G501" s="865">
        <v>549.54</v>
      </c>
      <c r="I501" s="590" t="str">
        <f t="shared" si="55"/>
        <v/>
      </c>
      <c r="J501" s="93" t="str">
        <f t="shared" si="56"/>
        <v/>
      </c>
      <c r="K501" s="99" t="s">
        <v>189</v>
      </c>
      <c r="L501" s="591"/>
      <c r="M501" s="112">
        <f t="shared" si="57"/>
        <v>2017</v>
      </c>
      <c r="O501" s="39"/>
      <c r="P501" s="39"/>
    </row>
    <row r="502" spans="2:16" s="559" customFormat="1">
      <c r="B502" s="863" t="s">
        <v>346</v>
      </c>
      <c r="C502" s="864" t="s">
        <v>889</v>
      </c>
      <c r="D502" s="864"/>
      <c r="E502" s="863" t="s">
        <v>890</v>
      </c>
      <c r="F502" s="864">
        <v>201701</v>
      </c>
      <c r="G502" s="865">
        <v>0.04</v>
      </c>
      <c r="I502" s="590" t="str">
        <f t="shared" si="55"/>
        <v/>
      </c>
      <c r="J502" s="93" t="str">
        <f t="shared" si="56"/>
        <v/>
      </c>
      <c r="K502" s="99" t="s">
        <v>189</v>
      </c>
      <c r="L502" s="591"/>
      <c r="M502" s="112">
        <f t="shared" si="57"/>
        <v>2017</v>
      </c>
      <c r="O502" s="39"/>
      <c r="P502" s="39"/>
    </row>
    <row r="503" spans="2:16" s="559" customFormat="1">
      <c r="B503" s="863" t="s">
        <v>346</v>
      </c>
      <c r="C503" s="864" t="s">
        <v>1006</v>
      </c>
      <c r="D503" s="864"/>
      <c r="E503" s="863" t="s">
        <v>1007</v>
      </c>
      <c r="F503" s="864">
        <v>201701</v>
      </c>
      <c r="G503" s="865">
        <v>-0.67</v>
      </c>
      <c r="I503" s="590" t="str">
        <f t="shared" si="55"/>
        <v/>
      </c>
      <c r="J503" s="93" t="str">
        <f t="shared" si="56"/>
        <v/>
      </c>
      <c r="K503" s="99" t="s">
        <v>189</v>
      </c>
      <c r="L503" s="591"/>
      <c r="M503" s="112">
        <f t="shared" si="57"/>
        <v>2017</v>
      </c>
      <c r="O503" s="39"/>
      <c r="P503" s="39"/>
    </row>
    <row r="504" spans="2:16" s="559" customFormat="1">
      <c r="B504" s="863" t="s">
        <v>346</v>
      </c>
      <c r="C504" s="864" t="s">
        <v>1057</v>
      </c>
      <c r="D504" s="864"/>
      <c r="E504" s="863" t="s">
        <v>1058</v>
      </c>
      <c r="F504" s="864">
        <v>201701</v>
      </c>
      <c r="G504" s="865">
        <v>846.26</v>
      </c>
      <c r="I504" s="590" t="str">
        <f t="shared" si="55"/>
        <v/>
      </c>
      <c r="J504" s="93" t="str">
        <f t="shared" si="56"/>
        <v/>
      </c>
      <c r="K504" s="99" t="s">
        <v>189</v>
      </c>
      <c r="L504" s="591"/>
      <c r="M504" s="112">
        <f t="shared" si="57"/>
        <v>2017</v>
      </c>
      <c r="O504" s="39"/>
      <c r="P504" s="39"/>
    </row>
    <row r="505" spans="2:16" s="559" customFormat="1">
      <c r="B505" s="863" t="s">
        <v>346</v>
      </c>
      <c r="C505" s="864" t="s">
        <v>1049</v>
      </c>
      <c r="D505" s="864"/>
      <c r="E505" s="863" t="s">
        <v>1050</v>
      </c>
      <c r="F505" s="864">
        <v>201701</v>
      </c>
      <c r="G505" s="865">
        <v>14.58</v>
      </c>
      <c r="I505" s="590" t="str">
        <f t="shared" si="55"/>
        <v/>
      </c>
      <c r="J505" s="93" t="str">
        <f t="shared" si="56"/>
        <v/>
      </c>
      <c r="K505" s="99" t="s">
        <v>189</v>
      </c>
      <c r="L505" s="591"/>
      <c r="M505" s="112">
        <f t="shared" si="57"/>
        <v>2017</v>
      </c>
      <c r="O505" s="39"/>
      <c r="P505" s="39"/>
    </row>
    <row r="506" spans="2:16" s="559" customFormat="1">
      <c r="B506" s="863" t="s">
        <v>346</v>
      </c>
      <c r="C506" s="864" t="s">
        <v>1077</v>
      </c>
      <c r="D506" s="864"/>
      <c r="E506" s="863" t="s">
        <v>1078</v>
      </c>
      <c r="F506" s="864">
        <v>201701</v>
      </c>
      <c r="G506" s="865">
        <v>552.29</v>
      </c>
      <c r="I506" s="590" t="str">
        <f t="shared" si="55"/>
        <v/>
      </c>
      <c r="J506" s="93" t="str">
        <f t="shared" si="56"/>
        <v/>
      </c>
      <c r="K506" s="99" t="s">
        <v>189</v>
      </c>
      <c r="L506" s="591"/>
      <c r="M506" s="112">
        <f t="shared" si="57"/>
        <v>2017</v>
      </c>
      <c r="O506" s="39"/>
      <c r="P506" s="39"/>
    </row>
    <row r="507" spans="2:16" s="559" customFormat="1">
      <c r="B507" s="863" t="s">
        <v>346</v>
      </c>
      <c r="C507" s="864" t="s">
        <v>1079</v>
      </c>
      <c r="D507" s="864"/>
      <c r="E507" s="863" t="s">
        <v>1080</v>
      </c>
      <c r="F507" s="864">
        <v>201701</v>
      </c>
      <c r="G507" s="865">
        <v>2527.4499999999998</v>
      </c>
      <c r="I507" s="590" t="str">
        <f t="shared" si="55"/>
        <v/>
      </c>
      <c r="J507" s="93" t="str">
        <f t="shared" si="56"/>
        <v/>
      </c>
      <c r="K507" s="99" t="s">
        <v>189</v>
      </c>
      <c r="L507" s="591"/>
      <c r="M507" s="112">
        <f t="shared" si="57"/>
        <v>2017</v>
      </c>
      <c r="O507" s="39"/>
      <c r="P507" s="39"/>
    </row>
    <row r="508" spans="2:16" s="559" customFormat="1">
      <c r="B508" s="863" t="s">
        <v>346</v>
      </c>
      <c r="C508" s="864" t="s">
        <v>1118</v>
      </c>
      <c r="D508" s="864"/>
      <c r="E508" s="863" t="s">
        <v>1119</v>
      </c>
      <c r="F508" s="864">
        <v>201701</v>
      </c>
      <c r="G508" s="865">
        <v>4439.05</v>
      </c>
      <c r="I508" s="590" t="str">
        <f t="shared" si="55"/>
        <v/>
      </c>
      <c r="J508" s="93" t="str">
        <f t="shared" si="56"/>
        <v/>
      </c>
      <c r="K508" s="99" t="s">
        <v>189</v>
      </c>
      <c r="L508" s="591"/>
      <c r="M508" s="112">
        <f t="shared" si="57"/>
        <v>2017</v>
      </c>
      <c r="O508" s="39"/>
      <c r="P508" s="39"/>
    </row>
    <row r="509" spans="2:16" s="559" customFormat="1">
      <c r="B509" s="863" t="s">
        <v>346</v>
      </c>
      <c r="C509" s="864" t="s">
        <v>1140</v>
      </c>
      <c r="D509" s="864"/>
      <c r="E509" s="863" t="s">
        <v>1141</v>
      </c>
      <c r="F509" s="864">
        <v>201701</v>
      </c>
      <c r="G509" s="865">
        <v>7907.97</v>
      </c>
      <c r="I509" s="590" t="str">
        <f t="shared" si="55"/>
        <v/>
      </c>
      <c r="J509" s="93" t="str">
        <f t="shared" si="56"/>
        <v/>
      </c>
      <c r="K509" s="99" t="s">
        <v>189</v>
      </c>
      <c r="L509" s="591"/>
      <c r="M509" s="112">
        <f t="shared" si="57"/>
        <v>2017</v>
      </c>
      <c r="O509" s="39"/>
      <c r="P509" s="39"/>
    </row>
    <row r="510" spans="2:16" s="559" customFormat="1">
      <c r="B510" s="521"/>
      <c r="C510" s="522"/>
      <c r="D510" s="522"/>
      <c r="E510" s="521"/>
      <c r="F510" s="522"/>
      <c r="G510" s="523"/>
      <c r="I510" s="590"/>
      <c r="J510" s="93"/>
      <c r="K510" s="99" t="s">
        <v>189</v>
      </c>
      <c r="L510" s="591"/>
      <c r="M510" s="112">
        <f t="shared" ref="M510:M512" si="58">IF(F510&gt;$M$20,0+2017,0+2016)</f>
        <v>2016</v>
      </c>
      <c r="O510" s="39"/>
      <c r="P510" s="39"/>
    </row>
    <row r="511" spans="2:16">
      <c r="B511" s="426"/>
      <c r="C511" s="579"/>
      <c r="D511" s="435"/>
      <c r="E511" s="598" t="s">
        <v>1024</v>
      </c>
      <c r="F511" s="435">
        <v>201701</v>
      </c>
      <c r="G511" s="427">
        <f>+Additions!F964</f>
        <v>0</v>
      </c>
      <c r="I511" s="126"/>
      <c r="J511" s="93"/>
      <c r="K511" s="99" t="s">
        <v>189</v>
      </c>
      <c r="L511" s="591"/>
      <c r="M511" s="112">
        <f t="shared" si="58"/>
        <v>2017</v>
      </c>
    </row>
    <row r="512" spans="2:16">
      <c r="B512" s="426"/>
      <c r="C512" s="579"/>
      <c r="D512" s="435"/>
      <c r="E512" s="598" t="s">
        <v>1024</v>
      </c>
      <c r="F512" s="435">
        <v>201702</v>
      </c>
      <c r="G512" s="427">
        <f>+Additions!F965</f>
        <v>1550000</v>
      </c>
      <c r="I512" s="126"/>
      <c r="J512" s="93"/>
      <c r="K512" s="99" t="s">
        <v>189</v>
      </c>
      <c r="L512" s="591"/>
      <c r="M512" s="112">
        <f t="shared" si="58"/>
        <v>2017</v>
      </c>
    </row>
    <row r="513" spans="2:13">
      <c r="B513" s="332"/>
      <c r="C513" s="333"/>
      <c r="D513" s="333"/>
      <c r="E513" s="332"/>
      <c r="F513" s="333"/>
      <c r="G513" s="334"/>
      <c r="I513" s="126"/>
      <c r="J513" s="93"/>
      <c r="K513" s="99"/>
      <c r="L513" s="127"/>
      <c r="M513" s="112"/>
    </row>
    <row r="514" spans="2:13">
      <c r="B514" s="332"/>
      <c r="C514" s="333"/>
      <c r="D514" s="333"/>
      <c r="E514" s="332"/>
      <c r="F514" s="333"/>
      <c r="G514" s="334"/>
      <c r="I514" s="126"/>
      <c r="J514" s="93"/>
      <c r="K514" s="99"/>
      <c r="L514" s="127"/>
      <c r="M514" s="112"/>
    </row>
    <row r="515" spans="2:13">
      <c r="B515" s="405"/>
      <c r="C515" s="411"/>
      <c r="D515" s="411"/>
      <c r="E515" s="410"/>
      <c r="F515" s="415"/>
      <c r="G515" s="412"/>
      <c r="I515" s="126"/>
      <c r="J515" s="93"/>
      <c r="K515" s="99"/>
      <c r="L515" s="127"/>
      <c r="M515" s="112"/>
    </row>
    <row r="516" spans="2:13">
      <c r="B516" s="405"/>
      <c r="C516" s="411"/>
      <c r="D516" s="411"/>
      <c r="E516" s="410"/>
      <c r="F516" s="415"/>
      <c r="G516" s="412"/>
      <c r="I516" s="126"/>
      <c r="J516" s="93"/>
      <c r="K516" s="99"/>
      <c r="L516" s="127"/>
      <c r="M516" s="112"/>
    </row>
    <row r="517" spans="2:13">
      <c r="B517" s="267"/>
      <c r="C517" s="267"/>
      <c r="D517" s="267"/>
      <c r="E517" s="121"/>
      <c r="F517" s="100"/>
      <c r="G517" s="129"/>
      <c r="H517" s="131"/>
      <c r="I517" s="132"/>
      <c r="J517" s="103"/>
      <c r="K517" s="103"/>
    </row>
    <row r="518" spans="2:13" ht="13.5" thickBot="1">
      <c r="B518" s="102"/>
      <c r="C518" s="102"/>
      <c r="D518" s="102"/>
      <c r="F518" s="94" t="s">
        <v>107</v>
      </c>
      <c r="G518" s="130">
        <f>+SUM(G231:G517)</f>
        <v>6401464.4799999986</v>
      </c>
      <c r="I518" s="121"/>
      <c r="J518" s="100"/>
      <c r="K518" s="100"/>
    </row>
    <row r="519" spans="2:13" ht="13.5" thickTop="1">
      <c r="B519" s="267"/>
      <c r="C519" s="267"/>
      <c r="D519" s="267"/>
      <c r="E519" s="121"/>
      <c r="F519" s="100"/>
      <c r="G519" s="103"/>
      <c r="I519" s="121"/>
      <c r="J519" s="100"/>
      <c r="K519" s="100"/>
    </row>
    <row r="520" spans="2:13">
      <c r="B520" s="102"/>
      <c r="C520" s="102"/>
      <c r="D520" s="102"/>
      <c r="F520" s="94"/>
      <c r="G520" s="103"/>
      <c r="I520" s="121"/>
      <c r="J520" s="100"/>
      <c r="K520" s="100"/>
    </row>
    <row r="521" spans="2:13" ht="13.5" thickBot="1">
      <c r="B521" s="69" t="s">
        <v>110</v>
      </c>
      <c r="C521" s="102"/>
      <c r="D521" s="102"/>
      <c r="F521" s="94"/>
      <c r="G521" s="130">
        <f>+G518</f>
        <v>6401464.4799999986</v>
      </c>
      <c r="I521" s="121"/>
      <c r="J521" s="100"/>
      <c r="K521" s="100"/>
    </row>
    <row r="522" spans="2:13" ht="13.5" thickTop="1">
      <c r="B522" s="102"/>
      <c r="C522" s="102"/>
      <c r="D522" s="102"/>
      <c r="F522" s="119"/>
      <c r="G522" s="123"/>
      <c r="I522" s="121"/>
      <c r="J522" s="100"/>
      <c r="K522" s="100"/>
    </row>
    <row r="523" spans="2:13">
      <c r="B523" s="95" t="s">
        <v>111</v>
      </c>
      <c r="C523" s="102"/>
      <c r="D523" s="102"/>
      <c r="F523" s="119"/>
      <c r="G523" s="123"/>
      <c r="I523" s="121"/>
      <c r="J523" s="100"/>
      <c r="K523" s="100"/>
    </row>
    <row r="524" spans="2:13">
      <c r="B524" s="102"/>
      <c r="C524" s="102"/>
      <c r="D524" s="102"/>
      <c r="F524" s="119"/>
      <c r="G524" s="123"/>
      <c r="I524" s="121"/>
      <c r="J524" s="100"/>
      <c r="K524" s="100"/>
    </row>
    <row r="525" spans="2:13">
      <c r="B525" s="88" t="s">
        <v>304</v>
      </c>
      <c r="C525" s="102"/>
      <c r="D525" s="102"/>
      <c r="F525" s="122"/>
      <c r="G525" s="123"/>
      <c r="I525" s="121"/>
      <c r="J525" s="100"/>
      <c r="K525" s="100"/>
    </row>
    <row r="526" spans="2:13">
      <c r="B526" s="102"/>
      <c r="C526" s="102"/>
      <c r="D526" s="102"/>
      <c r="F526" s="122"/>
      <c r="G526" s="123"/>
      <c r="I526" s="121"/>
      <c r="J526" s="100"/>
      <c r="K526" s="100"/>
    </row>
    <row r="527" spans="2:13">
      <c r="B527" s="81" t="s">
        <v>86</v>
      </c>
      <c r="C527" s="81" t="s">
        <v>87</v>
      </c>
      <c r="D527" s="81" t="s">
        <v>88</v>
      </c>
      <c r="E527" s="81"/>
      <c r="F527" s="89" t="s">
        <v>89</v>
      </c>
      <c r="G527" s="90" t="s">
        <v>90</v>
      </c>
      <c r="I527" s="121"/>
      <c r="J527" s="100"/>
      <c r="K527" s="100"/>
    </row>
    <row r="528" spans="2:13">
      <c r="B528" s="86" t="s">
        <v>94</v>
      </c>
      <c r="C528" s="86" t="s">
        <v>95</v>
      </c>
      <c r="D528" s="86" t="s">
        <v>96</v>
      </c>
      <c r="E528" s="86" t="s">
        <v>97</v>
      </c>
      <c r="F528" s="91" t="s">
        <v>98</v>
      </c>
      <c r="G528" s="92" t="s">
        <v>99</v>
      </c>
      <c r="I528" s="124"/>
      <c r="J528" s="125"/>
      <c r="K528" s="125"/>
      <c r="M528" s="124"/>
    </row>
    <row r="529" spans="2:27">
      <c r="B529" s="521"/>
      <c r="C529" s="522"/>
      <c r="D529" s="522"/>
      <c r="E529" s="521"/>
      <c r="F529" s="522"/>
      <c r="G529" s="523"/>
      <c r="I529" s="106" t="str">
        <f t="shared" ref="I529:I538" si="59">IF(LEFT(C529,2)="69","Blanket","")</f>
        <v/>
      </c>
      <c r="J529" s="744" t="str">
        <f t="shared" ref="J529:J538" si="60">IF(F529&gt;$J$20,"",IF(F529&gt;=$J$22,"In service",""))</f>
        <v/>
      </c>
      <c r="K529" s="99" t="s">
        <v>189</v>
      </c>
      <c r="M529" s="112">
        <f t="shared" ref="M529:M549" si="61">IF(F529&gt;$M$20,0+2017,0+2016)</f>
        <v>2016</v>
      </c>
      <c r="O529" s="422"/>
    </row>
    <row r="530" spans="2:27">
      <c r="B530" s="432"/>
      <c r="C530" s="433"/>
      <c r="D530" s="433"/>
      <c r="E530" s="433"/>
      <c r="F530" s="433"/>
      <c r="G530" s="434"/>
      <c r="I530" s="111"/>
      <c r="J530" s="744"/>
      <c r="K530" s="99" t="s">
        <v>189</v>
      </c>
      <c r="M530" s="112">
        <f t="shared" si="61"/>
        <v>2016</v>
      </c>
      <c r="O530" s="422"/>
    </row>
    <row r="531" spans="2:27">
      <c r="B531" s="521"/>
      <c r="C531" s="522"/>
      <c r="D531" s="522"/>
      <c r="E531" s="404"/>
      <c r="F531" s="522"/>
      <c r="G531" s="523"/>
      <c r="I531" s="111" t="str">
        <f t="shared" ref="I531" si="62">IF(LEFT(C531,2)="69","Blanket","")</f>
        <v/>
      </c>
      <c r="J531" s="744" t="str">
        <f t="shared" ref="J531" si="63">IF(F531&gt;$J$20,"",IF(F531&gt;=$J$22,"In service",""))</f>
        <v/>
      </c>
      <c r="K531" s="99" t="s">
        <v>189</v>
      </c>
      <c r="L531" s="559"/>
      <c r="M531" s="112">
        <f t="shared" si="61"/>
        <v>2016</v>
      </c>
      <c r="O531" s="422"/>
      <c r="V531" s="521" t="s">
        <v>410</v>
      </c>
      <c r="W531" s="522" t="s">
        <v>433</v>
      </c>
      <c r="X531" s="522"/>
      <c r="Y531" s="404" t="s">
        <v>434</v>
      </c>
      <c r="Z531" s="522">
        <v>201509</v>
      </c>
      <c r="AA531" s="523">
        <v>-97.88</v>
      </c>
    </row>
    <row r="532" spans="2:27">
      <c r="B532" s="521"/>
      <c r="C532" s="485"/>
      <c r="D532" s="485"/>
      <c r="E532" s="521"/>
      <c r="F532" s="522"/>
      <c r="G532" s="523"/>
      <c r="I532" s="111" t="str">
        <f t="shared" si="59"/>
        <v/>
      </c>
      <c r="J532" s="744" t="str">
        <f t="shared" si="60"/>
        <v/>
      </c>
      <c r="K532" s="99" t="s">
        <v>189</v>
      </c>
      <c r="M532" s="112">
        <f t="shared" si="61"/>
        <v>2016</v>
      </c>
      <c r="O532" s="422"/>
      <c r="V532" s="521" t="s">
        <v>410</v>
      </c>
      <c r="W532" s="485" t="s">
        <v>466</v>
      </c>
      <c r="X532" s="485"/>
      <c r="Y532" s="521" t="s">
        <v>467</v>
      </c>
      <c r="Z532" s="522">
        <v>201509</v>
      </c>
      <c r="AA532" s="523">
        <v>16.05</v>
      </c>
    </row>
    <row r="533" spans="2:27">
      <c r="B533" s="521"/>
      <c r="C533" s="522"/>
      <c r="D533" s="522"/>
      <c r="E533" s="521"/>
      <c r="F533" s="522"/>
      <c r="G533" s="448"/>
      <c r="I533" s="111" t="str">
        <f t="shared" si="59"/>
        <v/>
      </c>
      <c r="J533" s="744" t="str">
        <f t="shared" si="60"/>
        <v/>
      </c>
      <c r="K533" s="99" t="s">
        <v>189</v>
      </c>
      <c r="M533" s="112">
        <f t="shared" si="61"/>
        <v>2016</v>
      </c>
      <c r="O533" s="422"/>
      <c r="V533" s="521" t="s">
        <v>410</v>
      </c>
      <c r="W533" s="522" t="s">
        <v>550</v>
      </c>
      <c r="X533" s="522"/>
      <c r="Y533" s="521" t="s">
        <v>551</v>
      </c>
      <c r="Z533" s="522">
        <v>201509</v>
      </c>
      <c r="AA533" s="448">
        <v>-2329.1999999999998</v>
      </c>
    </row>
    <row r="534" spans="2:27">
      <c r="B534" s="521"/>
      <c r="C534" s="485"/>
      <c r="D534" s="485"/>
      <c r="E534" s="404"/>
      <c r="F534" s="522"/>
      <c r="G534" s="448"/>
      <c r="I534" s="111" t="str">
        <f t="shared" si="59"/>
        <v/>
      </c>
      <c r="J534" s="744" t="str">
        <f t="shared" si="60"/>
        <v/>
      </c>
      <c r="K534" s="99" t="s">
        <v>189</v>
      </c>
      <c r="M534" s="112">
        <f t="shared" si="61"/>
        <v>2016</v>
      </c>
      <c r="O534" s="422"/>
      <c r="V534" s="521" t="s">
        <v>410</v>
      </c>
      <c r="W534" s="485" t="s">
        <v>570</v>
      </c>
      <c r="X534" s="485"/>
      <c r="Y534" s="404" t="s">
        <v>571</v>
      </c>
      <c r="Z534" s="522">
        <v>201509</v>
      </c>
      <c r="AA534" s="448">
        <v>72.95</v>
      </c>
    </row>
    <row r="535" spans="2:27">
      <c r="B535" s="521"/>
      <c r="C535" s="485"/>
      <c r="D535" s="485"/>
      <c r="E535" s="404"/>
      <c r="F535" s="522"/>
      <c r="G535" s="448"/>
      <c r="I535" s="111" t="str">
        <f t="shared" si="59"/>
        <v/>
      </c>
      <c r="J535" s="744" t="str">
        <f t="shared" si="60"/>
        <v/>
      </c>
      <c r="K535" s="99" t="s">
        <v>189</v>
      </c>
      <c r="M535" s="112">
        <f t="shared" si="61"/>
        <v>2016</v>
      </c>
      <c r="O535" s="422"/>
      <c r="V535" s="521" t="s">
        <v>410</v>
      </c>
      <c r="W535" s="485" t="s">
        <v>572</v>
      </c>
      <c r="X535" s="485"/>
      <c r="Y535" s="404" t="s">
        <v>435</v>
      </c>
      <c r="Z535" s="522">
        <v>201509</v>
      </c>
      <c r="AA535" s="448">
        <v>31.97</v>
      </c>
    </row>
    <row r="536" spans="2:27">
      <c r="B536" s="521"/>
      <c r="C536" s="485"/>
      <c r="D536" s="485"/>
      <c r="E536" s="404"/>
      <c r="F536" s="522"/>
      <c r="G536" s="448"/>
      <c r="I536" s="111" t="str">
        <f t="shared" si="59"/>
        <v/>
      </c>
      <c r="J536" s="744" t="str">
        <f t="shared" si="60"/>
        <v/>
      </c>
      <c r="K536" s="99" t="s">
        <v>189</v>
      </c>
      <c r="M536" s="112">
        <f t="shared" si="61"/>
        <v>2016</v>
      </c>
      <c r="O536" s="422"/>
      <c r="V536" s="521" t="s">
        <v>410</v>
      </c>
      <c r="W536" s="485" t="s">
        <v>573</v>
      </c>
      <c r="X536" s="485"/>
      <c r="Y536" s="404" t="s">
        <v>574</v>
      </c>
      <c r="Z536" s="522">
        <v>201509</v>
      </c>
      <c r="AA536" s="448">
        <v>40.51</v>
      </c>
    </row>
    <row r="537" spans="2:27">
      <c r="B537" s="521"/>
      <c r="C537" s="485"/>
      <c r="D537" s="485"/>
      <c r="E537" s="521"/>
      <c r="F537" s="522"/>
      <c r="G537" s="482"/>
      <c r="I537" s="111" t="str">
        <f t="shared" si="59"/>
        <v/>
      </c>
      <c r="J537" s="744" t="str">
        <f t="shared" si="60"/>
        <v/>
      </c>
      <c r="K537" s="99" t="s">
        <v>189</v>
      </c>
      <c r="M537" s="112">
        <f t="shared" si="61"/>
        <v>2016</v>
      </c>
      <c r="O537" s="422"/>
      <c r="V537" s="521" t="s">
        <v>410</v>
      </c>
      <c r="W537" s="485" t="s">
        <v>436</v>
      </c>
      <c r="X537" s="485"/>
      <c r="Y537" s="521" t="s">
        <v>437</v>
      </c>
      <c r="Z537" s="522">
        <v>201509</v>
      </c>
      <c r="AA537" s="482">
        <v>-271.75</v>
      </c>
    </row>
    <row r="538" spans="2:27">
      <c r="B538" s="521"/>
      <c r="C538" s="522"/>
      <c r="D538" s="522"/>
      <c r="E538" s="404"/>
      <c r="F538" s="522"/>
      <c r="G538" s="523"/>
      <c r="I538" s="111" t="str">
        <f t="shared" si="59"/>
        <v/>
      </c>
      <c r="J538" s="744" t="str">
        <f t="shared" si="60"/>
        <v/>
      </c>
      <c r="K538" s="99" t="s">
        <v>189</v>
      </c>
      <c r="M538" s="112">
        <f t="shared" si="61"/>
        <v>2016</v>
      </c>
      <c r="O538" s="422"/>
      <c r="V538" s="521" t="s">
        <v>410</v>
      </c>
      <c r="W538" s="522" t="s">
        <v>733</v>
      </c>
      <c r="X538" s="522"/>
      <c r="Y538" s="404" t="s">
        <v>734</v>
      </c>
      <c r="Z538" s="522">
        <v>201512</v>
      </c>
      <c r="AA538" s="523">
        <v>81602.64</v>
      </c>
    </row>
    <row r="539" spans="2:27">
      <c r="B539" s="426"/>
      <c r="C539" s="579"/>
      <c r="D539" s="435"/>
      <c r="E539" s="426"/>
      <c r="F539" s="435"/>
      <c r="G539" s="427"/>
      <c r="I539" s="111" t="str">
        <f t="shared" ref="I539:I540" si="64">IF(LEFT(C539,2)="69","Blanket","")</f>
        <v/>
      </c>
      <c r="J539" s="744" t="str">
        <f t="shared" ref="J539:J540" si="65">IF(F539&gt;$J$20,"",IF(F539&gt;=$J$22,"In service",""))</f>
        <v/>
      </c>
      <c r="K539" s="99" t="s">
        <v>189</v>
      </c>
      <c r="M539" s="112">
        <f t="shared" si="61"/>
        <v>2016</v>
      </c>
      <c r="O539" s="422"/>
    </row>
    <row r="540" spans="2:27">
      <c r="B540" s="521"/>
      <c r="C540" s="485"/>
      <c r="D540" s="485"/>
      <c r="E540" s="521"/>
      <c r="F540" s="522"/>
      <c r="G540" s="484"/>
      <c r="I540" s="111" t="str">
        <f t="shared" si="64"/>
        <v/>
      </c>
      <c r="J540" s="744" t="str">
        <f t="shared" si="65"/>
        <v/>
      </c>
      <c r="K540" s="99" t="s">
        <v>189</v>
      </c>
      <c r="M540" s="112">
        <f t="shared" si="61"/>
        <v>2016</v>
      </c>
      <c r="O540" s="422"/>
    </row>
    <row r="541" spans="2:27">
      <c r="B541" s="521"/>
      <c r="C541" s="522"/>
      <c r="D541" s="522"/>
      <c r="E541" s="521"/>
      <c r="F541" s="522"/>
      <c r="G541" s="523"/>
      <c r="I541" s="111"/>
      <c r="J541" s="744" t="str">
        <f t="shared" ref="J541:J543" si="66">IF(F541&gt;$J$20,"",IF(F541&gt;=$J$22,"In service",""))</f>
        <v/>
      </c>
      <c r="K541" s="99" t="s">
        <v>189</v>
      </c>
      <c r="M541" s="112">
        <f t="shared" si="61"/>
        <v>2016</v>
      </c>
      <c r="O541" s="422"/>
    </row>
    <row r="542" spans="2:27">
      <c r="B542" s="521"/>
      <c r="C542" s="522"/>
      <c r="D542" s="522"/>
      <c r="E542" s="521"/>
      <c r="F542" s="522"/>
      <c r="G542" s="523"/>
      <c r="I542" s="111"/>
      <c r="J542" s="744" t="str">
        <f t="shared" si="66"/>
        <v/>
      </c>
      <c r="K542" s="99" t="s">
        <v>189</v>
      </c>
      <c r="M542" s="112">
        <f t="shared" si="61"/>
        <v>2016</v>
      </c>
      <c r="O542" s="422"/>
    </row>
    <row r="543" spans="2:27">
      <c r="B543" s="521"/>
      <c r="C543" s="522"/>
      <c r="D543" s="522"/>
      <c r="E543" s="521"/>
      <c r="F543" s="522"/>
      <c r="G543" s="523"/>
      <c r="I543" s="111"/>
      <c r="J543" s="744" t="str">
        <f t="shared" si="66"/>
        <v/>
      </c>
      <c r="K543" s="99" t="s">
        <v>189</v>
      </c>
      <c r="M543" s="112">
        <f t="shared" si="61"/>
        <v>2016</v>
      </c>
      <c r="O543" s="422"/>
    </row>
    <row r="544" spans="2:27">
      <c r="B544" s="332"/>
      <c r="C544" s="380"/>
      <c r="D544" s="380"/>
      <c r="E544" s="332"/>
      <c r="F544" s="333"/>
      <c r="G544" s="395"/>
      <c r="I544" s="111"/>
      <c r="J544" s="744" t="str">
        <f t="shared" ref="J544:J545" si="67">IF(F544&gt;$J$20,"",IF(F544&gt;=$J$22,"In service",""))</f>
        <v/>
      </c>
      <c r="K544" s="99" t="s">
        <v>189</v>
      </c>
      <c r="M544" s="112">
        <f t="shared" si="61"/>
        <v>2016</v>
      </c>
      <c r="O544" s="422"/>
    </row>
    <row r="545" spans="2:16">
      <c r="B545" s="521"/>
      <c r="C545" s="522"/>
      <c r="D545" s="522"/>
      <c r="E545" s="521"/>
      <c r="F545" s="522"/>
      <c r="G545" s="523"/>
      <c r="I545" s="111"/>
      <c r="J545" s="744" t="str">
        <f t="shared" si="67"/>
        <v/>
      </c>
      <c r="K545" s="99" t="s">
        <v>189</v>
      </c>
      <c r="M545" s="112">
        <f t="shared" si="61"/>
        <v>2016</v>
      </c>
      <c r="O545" s="422"/>
    </row>
    <row r="546" spans="2:16" s="559" customFormat="1">
      <c r="B546" s="521"/>
      <c r="C546" s="487"/>
      <c r="D546" s="487"/>
      <c r="E546" s="488"/>
      <c r="F546" s="487"/>
      <c r="G546" s="489"/>
      <c r="I546" s="111"/>
      <c r="J546" s="100"/>
      <c r="K546" s="99"/>
      <c r="M546" s="112">
        <f t="shared" si="61"/>
        <v>2016</v>
      </c>
      <c r="O546" s="422"/>
      <c r="P546" s="39"/>
    </row>
    <row r="547" spans="2:16" s="559" customFormat="1">
      <c r="B547" s="521"/>
      <c r="C547" s="522"/>
      <c r="D547" s="522"/>
      <c r="E547" s="521"/>
      <c r="F547" s="522"/>
      <c r="G547" s="523"/>
      <c r="I547" s="111"/>
      <c r="J547" s="744" t="str">
        <f t="shared" ref="J547" si="68">IF(F547&gt;$J$20,"",IF(F547&gt;=$J$22,"In service",""))</f>
        <v/>
      </c>
      <c r="K547" s="99" t="s">
        <v>189</v>
      </c>
      <c r="M547" s="112">
        <f t="shared" si="61"/>
        <v>2016</v>
      </c>
      <c r="O547" s="422"/>
      <c r="P547" s="39"/>
    </row>
    <row r="548" spans="2:16" s="559" customFormat="1">
      <c r="B548" s="521"/>
      <c r="C548" s="487"/>
      <c r="D548" s="487"/>
      <c r="E548" s="488"/>
      <c r="F548" s="487"/>
      <c r="G548" s="489"/>
      <c r="I548" s="111"/>
      <c r="J548" s="100"/>
      <c r="K548" s="99"/>
      <c r="M548" s="112">
        <f t="shared" si="61"/>
        <v>2016</v>
      </c>
      <c r="O548" s="422"/>
      <c r="P548" s="39"/>
    </row>
    <row r="549" spans="2:16">
      <c r="B549" s="243"/>
      <c r="C549" s="248"/>
      <c r="D549" s="248"/>
      <c r="E549" s="249"/>
      <c r="F549" s="250"/>
      <c r="G549" s="251"/>
      <c r="I549" s="111" t="str">
        <f t="shared" ref="I549" si="69">IF(LEFT(C549,2)="69","Blanket","")</f>
        <v/>
      </c>
      <c r="J549" s="100" t="str">
        <f t="shared" ref="J549" si="70">IF(F549&gt;$J$20,"",IF(F549&gt;=$J$22,"In service",""))</f>
        <v/>
      </c>
      <c r="K549" s="99"/>
      <c r="M549" s="112">
        <f t="shared" si="61"/>
        <v>2016</v>
      </c>
      <c r="O549" s="422"/>
    </row>
    <row r="550" spans="2:16">
      <c r="B550" s="108"/>
      <c r="C550" s="133"/>
      <c r="D550" s="133"/>
      <c r="E550" s="134"/>
      <c r="F550" s="109"/>
      <c r="G550" s="135"/>
      <c r="I550" s="137"/>
      <c r="J550" s="100"/>
      <c r="K550" s="99"/>
      <c r="M550" s="128"/>
    </row>
    <row r="551" spans="2:16" ht="15" customHeight="1">
      <c r="B551" s="267"/>
      <c r="C551" s="267"/>
      <c r="D551" s="267"/>
      <c r="E551" s="121"/>
      <c r="F551" s="100"/>
      <c r="G551" s="103"/>
      <c r="I551" s="116"/>
      <c r="J551" s="117"/>
      <c r="K551" s="117"/>
    </row>
    <row r="552" spans="2:16" ht="13.5" thickBot="1">
      <c r="B552" s="102"/>
      <c r="C552" s="102"/>
      <c r="D552" s="102"/>
      <c r="F552" s="94" t="s">
        <v>107</v>
      </c>
      <c r="G552" s="130">
        <f>+SUM(G529:G551)</f>
        <v>0</v>
      </c>
      <c r="I552" s="121"/>
      <c r="J552" s="100"/>
      <c r="K552" s="100"/>
    </row>
    <row r="553" spans="2:16" ht="13.5" thickTop="1">
      <c r="B553" s="267"/>
      <c r="C553" s="267"/>
      <c r="D553" s="267"/>
      <c r="E553" s="121"/>
      <c r="F553" s="100"/>
      <c r="G553" s="103"/>
      <c r="I553" s="121"/>
      <c r="J553" s="100"/>
      <c r="K553" s="100"/>
    </row>
    <row r="554" spans="2:16">
      <c r="B554" s="102"/>
      <c r="C554" s="102"/>
      <c r="D554" s="102"/>
      <c r="F554" s="119"/>
      <c r="G554" s="123"/>
      <c r="I554" s="121"/>
      <c r="J554" s="100"/>
      <c r="K554" s="100"/>
    </row>
    <row r="555" spans="2:16" ht="13.5" thickBot="1">
      <c r="B555" s="95" t="s">
        <v>112</v>
      </c>
      <c r="C555" s="102"/>
      <c r="D555" s="102"/>
      <c r="F555" s="119"/>
      <c r="G555" s="130">
        <f>+G552</f>
        <v>0</v>
      </c>
      <c r="I555" s="121"/>
      <c r="J555" s="100"/>
      <c r="K555" s="100"/>
    </row>
    <row r="556" spans="2:16" ht="13.5" thickTop="1">
      <c r="B556" s="102"/>
      <c r="C556" s="102"/>
      <c r="D556" s="102"/>
      <c r="F556" s="119"/>
      <c r="G556" s="123"/>
      <c r="I556" s="121"/>
      <c r="J556" s="100"/>
      <c r="K556" s="100"/>
    </row>
    <row r="557" spans="2:16">
      <c r="B557" s="69" t="s">
        <v>115</v>
      </c>
      <c r="C557" s="118"/>
      <c r="F557" s="102"/>
      <c r="G557" s="105"/>
      <c r="I557" s="121"/>
      <c r="J557" s="100"/>
      <c r="K557" s="100"/>
    </row>
    <row r="558" spans="2:16">
      <c r="C558" s="118"/>
      <c r="F558" s="102"/>
      <c r="I558" s="121"/>
      <c r="J558" s="100"/>
      <c r="K558" s="100"/>
    </row>
    <row r="559" spans="2:16">
      <c r="B559" s="88" t="s">
        <v>116</v>
      </c>
      <c r="C559" s="102"/>
      <c r="D559" s="102"/>
      <c r="F559" s="122"/>
      <c r="G559" s="123"/>
      <c r="I559" s="121"/>
      <c r="J559" s="100"/>
      <c r="K559" s="100"/>
    </row>
    <row r="560" spans="2:16">
      <c r="B560" s="102"/>
      <c r="C560" s="102"/>
      <c r="D560" s="102"/>
      <c r="F560" s="122"/>
      <c r="G560" s="123"/>
      <c r="I560" s="121"/>
      <c r="J560" s="100"/>
      <c r="K560" s="100"/>
    </row>
    <row r="561" spans="2:13">
      <c r="B561" s="81" t="s">
        <v>86</v>
      </c>
      <c r="C561" s="81" t="s">
        <v>87</v>
      </c>
      <c r="D561" s="81" t="s">
        <v>88</v>
      </c>
      <c r="E561" s="81"/>
      <c r="F561" s="89" t="s">
        <v>89</v>
      </c>
      <c r="G561" s="90" t="s">
        <v>90</v>
      </c>
      <c r="I561" s="121"/>
      <c r="J561" s="100"/>
      <c r="K561" s="100"/>
    </row>
    <row r="562" spans="2:13">
      <c r="B562" s="86" t="s">
        <v>94</v>
      </c>
      <c r="C562" s="96" t="s">
        <v>95</v>
      </c>
      <c r="D562" s="96" t="s">
        <v>96</v>
      </c>
      <c r="E562" s="96" t="s">
        <v>97</v>
      </c>
      <c r="F562" s="97" t="s">
        <v>98</v>
      </c>
      <c r="G562" s="98" t="s">
        <v>99</v>
      </c>
      <c r="I562" s="124"/>
      <c r="J562" s="125"/>
      <c r="K562" s="125"/>
    </row>
    <row r="563" spans="2:13">
      <c r="B563" s="108"/>
      <c r="C563" s="108"/>
      <c r="D563" s="108"/>
      <c r="E563" s="108"/>
      <c r="F563" s="93"/>
      <c r="G563" s="82"/>
      <c r="I563" s="106" t="str">
        <f>IF(LEFT(C563,2)="69","Blanket","")</f>
        <v/>
      </c>
      <c r="J563" s="136" t="str">
        <f>IF(F563&gt;$J$20,"",IF(F563&gt;=$J$22,"In service",""))</f>
        <v/>
      </c>
      <c r="K563" s="136"/>
      <c r="M563" s="99"/>
    </row>
    <row r="564" spans="2:13">
      <c r="B564" s="108"/>
      <c r="C564" s="108"/>
      <c r="D564" s="108"/>
      <c r="E564" s="108"/>
      <c r="F564" s="93"/>
      <c r="G564" s="82"/>
      <c r="I564" s="137" t="str">
        <f>IF(LEFT(C564,2)="69","Blanket","")</f>
        <v/>
      </c>
      <c r="J564" s="138" t="str">
        <f>IF(F564&gt;$J$20,"",IF(F564&gt;=$J$22,"In service",""))</f>
        <v/>
      </c>
      <c r="K564" s="138"/>
      <c r="M564" s="99"/>
    </row>
    <row r="565" spans="2:13">
      <c r="B565" s="267"/>
      <c r="C565" s="267"/>
      <c r="D565" s="267"/>
      <c r="E565" s="121"/>
      <c r="F565" s="100"/>
      <c r="G565" s="103"/>
      <c r="J565" s="100"/>
      <c r="K565" s="100"/>
    </row>
    <row r="566" spans="2:13" ht="13.5" thickBot="1">
      <c r="B566" s="95" t="s">
        <v>117</v>
      </c>
      <c r="C566" s="102"/>
      <c r="D566" s="102"/>
      <c r="F566" s="94" t="s">
        <v>107</v>
      </c>
      <c r="G566" s="130">
        <f>+SUM(G563:G565)</f>
        <v>0</v>
      </c>
      <c r="J566" s="100"/>
      <c r="K566" s="100"/>
    </row>
    <row r="567" spans="2:13" ht="13.5" thickTop="1">
      <c r="F567" s="102"/>
      <c r="J567" s="100"/>
      <c r="K567" s="100"/>
    </row>
    <row r="568" spans="2:13">
      <c r="F568" s="102"/>
      <c r="J568" s="100"/>
      <c r="K568" s="100"/>
    </row>
    <row r="569" spans="2:13">
      <c r="F569" s="102"/>
      <c r="J569" s="100"/>
      <c r="K569" s="100"/>
    </row>
    <row r="570" spans="2:13">
      <c r="F570" s="102"/>
      <c r="J570" s="100"/>
      <c r="K570" s="100"/>
    </row>
    <row r="571" spans="2:13">
      <c r="F571" s="102"/>
      <c r="G571" s="105">
        <f>G223+G521+G555+G566</f>
        <v>9155588.8499999996</v>
      </c>
      <c r="J571" s="100"/>
      <c r="K571" s="100"/>
    </row>
    <row r="572" spans="2:13">
      <c r="F572" s="102"/>
      <c r="J572" s="100"/>
      <c r="K572" s="100"/>
    </row>
    <row r="573" spans="2:13">
      <c r="F573" s="102"/>
      <c r="J573" s="100"/>
      <c r="K573" s="100"/>
    </row>
    <row r="574" spans="2:13">
      <c r="F574" s="102"/>
      <c r="G574" s="105"/>
      <c r="J574" s="100"/>
      <c r="K574" s="100"/>
    </row>
    <row r="575" spans="2:13">
      <c r="F575" s="102"/>
      <c r="G575" s="105"/>
      <c r="J575" s="100"/>
      <c r="K575" s="100"/>
    </row>
    <row r="576" spans="2:13">
      <c r="F576" s="102"/>
      <c r="G576" s="105"/>
    </row>
    <row r="577" spans="6:8">
      <c r="F577" s="102"/>
      <c r="G577" s="105"/>
    </row>
    <row r="578" spans="6:8">
      <c r="F578" s="102"/>
      <c r="G578" s="105"/>
      <c r="H578" s="105"/>
    </row>
    <row r="579" spans="6:8">
      <c r="F579" s="102"/>
      <c r="G579" s="105"/>
      <c r="H579" s="105"/>
    </row>
    <row r="580" spans="6:8">
      <c r="F580" s="102"/>
    </row>
    <row r="581" spans="6:8">
      <c r="F581" s="102"/>
    </row>
    <row r="582" spans="6:8">
      <c r="F582" s="102"/>
    </row>
    <row r="583" spans="6:8">
      <c r="F583" s="102"/>
    </row>
    <row r="584" spans="6:8">
      <c r="F584" s="102"/>
    </row>
    <row r="585" spans="6:8">
      <c r="F585" s="102"/>
    </row>
    <row r="586" spans="6:8">
      <c r="F586" s="102"/>
    </row>
    <row r="587" spans="6:8">
      <c r="F587" s="102"/>
    </row>
    <row r="588" spans="6:8">
      <c r="F588" s="102"/>
    </row>
    <row r="589" spans="6:8">
      <c r="F589" s="102"/>
    </row>
    <row r="590" spans="6:8">
      <c r="F590" s="102"/>
    </row>
    <row r="591" spans="6:8">
      <c r="F591" s="102"/>
    </row>
    <row r="592" spans="6:8">
      <c r="F592" s="102"/>
    </row>
    <row r="593" spans="6:6">
      <c r="F593" s="102"/>
    </row>
    <row r="594" spans="6:6">
      <c r="F594" s="102"/>
    </row>
    <row r="595" spans="6:6">
      <c r="F595" s="102"/>
    </row>
    <row r="596" spans="6:6">
      <c r="F596" s="102"/>
    </row>
    <row r="597" spans="6:6">
      <c r="F597" s="102"/>
    </row>
    <row r="598" spans="6:6">
      <c r="F598" s="102"/>
    </row>
    <row r="599" spans="6:6">
      <c r="F599" s="102"/>
    </row>
    <row r="600" spans="6:6">
      <c r="F600" s="102"/>
    </row>
    <row r="601" spans="6:6">
      <c r="F601" s="102"/>
    </row>
    <row r="602" spans="6:6">
      <c r="F602" s="102"/>
    </row>
    <row r="603" spans="6:6">
      <c r="F603" s="102"/>
    </row>
    <row r="604" spans="6:6">
      <c r="F604" s="102"/>
    </row>
    <row r="605" spans="6:6">
      <c r="F605" s="102"/>
    </row>
    <row r="606" spans="6:6">
      <c r="F606" s="102"/>
    </row>
    <row r="607" spans="6:6">
      <c r="F607" s="102"/>
    </row>
    <row r="608" spans="6:6">
      <c r="F608" s="102"/>
    </row>
    <row r="609" spans="6:6">
      <c r="F609" s="102"/>
    </row>
    <row r="610" spans="6:6">
      <c r="F610" s="102"/>
    </row>
    <row r="611" spans="6:6">
      <c r="F611" s="102"/>
    </row>
    <row r="612" spans="6:6">
      <c r="F612" s="102"/>
    </row>
    <row r="613" spans="6:6">
      <c r="F613" s="102"/>
    </row>
    <row r="614" spans="6:6">
      <c r="F614" s="102"/>
    </row>
    <row r="615" spans="6:6">
      <c r="F615" s="102"/>
    </row>
    <row r="616" spans="6:6">
      <c r="F616" s="102"/>
    </row>
    <row r="617" spans="6:6">
      <c r="F617" s="102"/>
    </row>
    <row r="618" spans="6:6">
      <c r="F618" s="102"/>
    </row>
    <row r="619" spans="6:6">
      <c r="F619" s="102"/>
    </row>
    <row r="620" spans="6:6">
      <c r="F620" s="102"/>
    </row>
  </sheetData>
  <phoneticPr fontId="10" type="noConversion"/>
  <pageMargins left="0.75" right="0.75" top="1" bottom="1" header="0.5" footer="0.5"/>
  <pageSetup scale="74"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workbookViewId="0">
      <selection activeCell="A50" sqref="A50"/>
    </sheetView>
  </sheetViews>
  <sheetFormatPr defaultRowHeight="12.75"/>
  <cols>
    <col min="1" max="3" width="9.140625" style="280"/>
    <col min="4" max="4" width="11.7109375" style="280" customWidth="1"/>
    <col min="5" max="5" width="9.140625" style="280"/>
    <col min="6" max="6" width="13.5703125" style="286" customWidth="1"/>
    <col min="7" max="7" width="7.140625" style="280" customWidth="1"/>
    <col min="8" max="8" width="16.5703125" style="286" customWidth="1"/>
    <col min="9" max="259" width="9.140625" style="280"/>
    <col min="260" max="260" width="11.7109375" style="280" customWidth="1"/>
    <col min="261" max="261" width="9.140625" style="280"/>
    <col min="262" max="262" width="13.5703125" style="280" customWidth="1"/>
    <col min="263" max="263" width="7.140625" style="280" customWidth="1"/>
    <col min="264" max="264" width="16.5703125" style="280" customWidth="1"/>
    <col min="265" max="515" width="9.140625" style="280"/>
    <col min="516" max="516" width="11.7109375" style="280" customWidth="1"/>
    <col min="517" max="517" width="9.140625" style="280"/>
    <col min="518" max="518" width="13.5703125" style="280" customWidth="1"/>
    <col min="519" max="519" width="7.140625" style="280" customWidth="1"/>
    <col min="520" max="520" width="16.5703125" style="280" customWidth="1"/>
    <col min="521" max="771" width="9.140625" style="280"/>
    <col min="772" max="772" width="11.7109375" style="280" customWidth="1"/>
    <col min="773" max="773" width="9.140625" style="280"/>
    <col min="774" max="774" width="13.5703125" style="280" customWidth="1"/>
    <col min="775" max="775" width="7.140625" style="280" customWidth="1"/>
    <col min="776" max="776" width="16.5703125" style="280" customWidth="1"/>
    <col min="777" max="1027" width="9.140625" style="280"/>
    <col min="1028" max="1028" width="11.7109375" style="280" customWidth="1"/>
    <col min="1029" max="1029" width="9.140625" style="280"/>
    <col min="1030" max="1030" width="13.5703125" style="280" customWidth="1"/>
    <col min="1031" max="1031" width="7.140625" style="280" customWidth="1"/>
    <col min="1032" max="1032" width="16.5703125" style="280" customWidth="1"/>
    <col min="1033" max="1283" width="9.140625" style="280"/>
    <col min="1284" max="1284" width="11.7109375" style="280" customWidth="1"/>
    <col min="1285" max="1285" width="9.140625" style="280"/>
    <col min="1286" max="1286" width="13.5703125" style="280" customWidth="1"/>
    <col min="1287" max="1287" width="7.140625" style="280" customWidth="1"/>
    <col min="1288" max="1288" width="16.5703125" style="280" customWidth="1"/>
    <col min="1289" max="1539" width="9.140625" style="280"/>
    <col min="1540" max="1540" width="11.7109375" style="280" customWidth="1"/>
    <col min="1541" max="1541" width="9.140625" style="280"/>
    <col min="1542" max="1542" width="13.5703125" style="280" customWidth="1"/>
    <col min="1543" max="1543" width="7.140625" style="280" customWidth="1"/>
    <col min="1544" max="1544" width="16.5703125" style="280" customWidth="1"/>
    <col min="1545" max="1795" width="9.140625" style="280"/>
    <col min="1796" max="1796" width="11.7109375" style="280" customWidth="1"/>
    <col min="1797" max="1797" width="9.140625" style="280"/>
    <col min="1798" max="1798" width="13.5703125" style="280" customWidth="1"/>
    <col min="1799" max="1799" width="7.140625" style="280" customWidth="1"/>
    <col min="1800" max="1800" width="16.5703125" style="280" customWidth="1"/>
    <col min="1801" max="2051" width="9.140625" style="280"/>
    <col min="2052" max="2052" width="11.7109375" style="280" customWidth="1"/>
    <col min="2053" max="2053" width="9.140625" style="280"/>
    <col min="2054" max="2054" width="13.5703125" style="280" customWidth="1"/>
    <col min="2055" max="2055" width="7.140625" style="280" customWidth="1"/>
    <col min="2056" max="2056" width="16.5703125" style="280" customWidth="1"/>
    <col min="2057" max="2307" width="9.140625" style="280"/>
    <col min="2308" max="2308" width="11.7109375" style="280" customWidth="1"/>
    <col min="2309" max="2309" width="9.140625" style="280"/>
    <col min="2310" max="2310" width="13.5703125" style="280" customWidth="1"/>
    <col min="2311" max="2311" width="7.140625" style="280" customWidth="1"/>
    <col min="2312" max="2312" width="16.5703125" style="280" customWidth="1"/>
    <col min="2313" max="2563" width="9.140625" style="280"/>
    <col min="2564" max="2564" width="11.7109375" style="280" customWidth="1"/>
    <col min="2565" max="2565" width="9.140625" style="280"/>
    <col min="2566" max="2566" width="13.5703125" style="280" customWidth="1"/>
    <col min="2567" max="2567" width="7.140625" style="280" customWidth="1"/>
    <col min="2568" max="2568" width="16.5703125" style="280" customWidth="1"/>
    <col min="2569" max="2819" width="9.140625" style="280"/>
    <col min="2820" max="2820" width="11.7109375" style="280" customWidth="1"/>
    <col min="2821" max="2821" width="9.140625" style="280"/>
    <col min="2822" max="2822" width="13.5703125" style="280" customWidth="1"/>
    <col min="2823" max="2823" width="7.140625" style="280" customWidth="1"/>
    <col min="2824" max="2824" width="16.5703125" style="280" customWidth="1"/>
    <col min="2825" max="3075" width="9.140625" style="280"/>
    <col min="3076" max="3076" width="11.7109375" style="280" customWidth="1"/>
    <col min="3077" max="3077" width="9.140625" style="280"/>
    <col min="3078" max="3078" width="13.5703125" style="280" customWidth="1"/>
    <col min="3079" max="3079" width="7.140625" style="280" customWidth="1"/>
    <col min="3080" max="3080" width="16.5703125" style="280" customWidth="1"/>
    <col min="3081" max="3331" width="9.140625" style="280"/>
    <col min="3332" max="3332" width="11.7109375" style="280" customWidth="1"/>
    <col min="3333" max="3333" width="9.140625" style="280"/>
    <col min="3334" max="3334" width="13.5703125" style="280" customWidth="1"/>
    <col min="3335" max="3335" width="7.140625" style="280" customWidth="1"/>
    <col min="3336" max="3336" width="16.5703125" style="280" customWidth="1"/>
    <col min="3337" max="3587" width="9.140625" style="280"/>
    <col min="3588" max="3588" width="11.7109375" style="280" customWidth="1"/>
    <col min="3589" max="3589" width="9.140625" style="280"/>
    <col min="3590" max="3590" width="13.5703125" style="280" customWidth="1"/>
    <col min="3591" max="3591" width="7.140625" style="280" customWidth="1"/>
    <col min="3592" max="3592" width="16.5703125" style="280" customWidth="1"/>
    <col min="3593" max="3843" width="9.140625" style="280"/>
    <col min="3844" max="3844" width="11.7109375" style="280" customWidth="1"/>
    <col min="3845" max="3845" width="9.140625" style="280"/>
    <col min="3846" max="3846" width="13.5703125" style="280" customWidth="1"/>
    <col min="3847" max="3847" width="7.140625" style="280" customWidth="1"/>
    <col min="3848" max="3848" width="16.5703125" style="280" customWidth="1"/>
    <col min="3849" max="4099" width="9.140625" style="280"/>
    <col min="4100" max="4100" width="11.7109375" style="280" customWidth="1"/>
    <col min="4101" max="4101" width="9.140625" style="280"/>
    <col min="4102" max="4102" width="13.5703125" style="280" customWidth="1"/>
    <col min="4103" max="4103" width="7.140625" style="280" customWidth="1"/>
    <col min="4104" max="4104" width="16.5703125" style="280" customWidth="1"/>
    <col min="4105" max="4355" width="9.140625" style="280"/>
    <col min="4356" max="4356" width="11.7109375" style="280" customWidth="1"/>
    <col min="4357" max="4357" width="9.140625" style="280"/>
    <col min="4358" max="4358" width="13.5703125" style="280" customWidth="1"/>
    <col min="4359" max="4359" width="7.140625" style="280" customWidth="1"/>
    <col min="4360" max="4360" width="16.5703125" style="280" customWidth="1"/>
    <col min="4361" max="4611" width="9.140625" style="280"/>
    <col min="4612" max="4612" width="11.7109375" style="280" customWidth="1"/>
    <col min="4613" max="4613" width="9.140625" style="280"/>
    <col min="4614" max="4614" width="13.5703125" style="280" customWidth="1"/>
    <col min="4615" max="4615" width="7.140625" style="280" customWidth="1"/>
    <col min="4616" max="4616" width="16.5703125" style="280" customWidth="1"/>
    <col min="4617" max="4867" width="9.140625" style="280"/>
    <col min="4868" max="4868" width="11.7109375" style="280" customWidth="1"/>
    <col min="4869" max="4869" width="9.140625" style="280"/>
    <col min="4870" max="4870" width="13.5703125" style="280" customWidth="1"/>
    <col min="4871" max="4871" width="7.140625" style="280" customWidth="1"/>
    <col min="4872" max="4872" width="16.5703125" style="280" customWidth="1"/>
    <col min="4873" max="5123" width="9.140625" style="280"/>
    <col min="5124" max="5124" width="11.7109375" style="280" customWidth="1"/>
    <col min="5125" max="5125" width="9.140625" style="280"/>
    <col min="5126" max="5126" width="13.5703125" style="280" customWidth="1"/>
    <col min="5127" max="5127" width="7.140625" style="280" customWidth="1"/>
    <col min="5128" max="5128" width="16.5703125" style="280" customWidth="1"/>
    <col min="5129" max="5379" width="9.140625" style="280"/>
    <col min="5380" max="5380" width="11.7109375" style="280" customWidth="1"/>
    <col min="5381" max="5381" width="9.140625" style="280"/>
    <col min="5382" max="5382" width="13.5703125" style="280" customWidth="1"/>
    <col min="5383" max="5383" width="7.140625" style="280" customWidth="1"/>
    <col min="5384" max="5384" width="16.5703125" style="280" customWidth="1"/>
    <col min="5385" max="5635" width="9.140625" style="280"/>
    <col min="5636" max="5636" width="11.7109375" style="280" customWidth="1"/>
    <col min="5637" max="5637" width="9.140625" style="280"/>
    <col min="5638" max="5638" width="13.5703125" style="280" customWidth="1"/>
    <col min="5639" max="5639" width="7.140625" style="280" customWidth="1"/>
    <col min="5640" max="5640" width="16.5703125" style="280" customWidth="1"/>
    <col min="5641" max="5891" width="9.140625" style="280"/>
    <col min="5892" max="5892" width="11.7109375" style="280" customWidth="1"/>
    <col min="5893" max="5893" width="9.140625" style="280"/>
    <col min="5894" max="5894" width="13.5703125" style="280" customWidth="1"/>
    <col min="5895" max="5895" width="7.140625" style="280" customWidth="1"/>
    <col min="5896" max="5896" width="16.5703125" style="280" customWidth="1"/>
    <col min="5897" max="6147" width="9.140625" style="280"/>
    <col min="6148" max="6148" width="11.7109375" style="280" customWidth="1"/>
    <col min="6149" max="6149" width="9.140625" style="280"/>
    <col min="6150" max="6150" width="13.5703125" style="280" customWidth="1"/>
    <col min="6151" max="6151" width="7.140625" style="280" customWidth="1"/>
    <col min="6152" max="6152" width="16.5703125" style="280" customWidth="1"/>
    <col min="6153" max="6403" width="9.140625" style="280"/>
    <col min="6404" max="6404" width="11.7109375" style="280" customWidth="1"/>
    <col min="6405" max="6405" width="9.140625" style="280"/>
    <col min="6406" max="6406" width="13.5703125" style="280" customWidth="1"/>
    <col min="6407" max="6407" width="7.140625" style="280" customWidth="1"/>
    <col min="6408" max="6408" width="16.5703125" style="280" customWidth="1"/>
    <col min="6409" max="6659" width="9.140625" style="280"/>
    <col min="6660" max="6660" width="11.7109375" style="280" customWidth="1"/>
    <col min="6661" max="6661" width="9.140625" style="280"/>
    <col min="6662" max="6662" width="13.5703125" style="280" customWidth="1"/>
    <col min="6663" max="6663" width="7.140625" style="280" customWidth="1"/>
    <col min="6664" max="6664" width="16.5703125" style="280" customWidth="1"/>
    <col min="6665" max="6915" width="9.140625" style="280"/>
    <col min="6916" max="6916" width="11.7109375" style="280" customWidth="1"/>
    <col min="6917" max="6917" width="9.140625" style="280"/>
    <col min="6918" max="6918" width="13.5703125" style="280" customWidth="1"/>
    <col min="6919" max="6919" width="7.140625" style="280" customWidth="1"/>
    <col min="6920" max="6920" width="16.5703125" style="280" customWidth="1"/>
    <col min="6921" max="7171" width="9.140625" style="280"/>
    <col min="7172" max="7172" width="11.7109375" style="280" customWidth="1"/>
    <col min="7173" max="7173" width="9.140625" style="280"/>
    <col min="7174" max="7174" width="13.5703125" style="280" customWidth="1"/>
    <col min="7175" max="7175" width="7.140625" style="280" customWidth="1"/>
    <col min="7176" max="7176" width="16.5703125" style="280" customWidth="1"/>
    <col min="7177" max="7427" width="9.140625" style="280"/>
    <col min="7428" max="7428" width="11.7109375" style="280" customWidth="1"/>
    <col min="7429" max="7429" width="9.140625" style="280"/>
    <col min="7430" max="7430" width="13.5703125" style="280" customWidth="1"/>
    <col min="7431" max="7431" width="7.140625" style="280" customWidth="1"/>
    <col min="7432" max="7432" width="16.5703125" style="280" customWidth="1"/>
    <col min="7433" max="7683" width="9.140625" style="280"/>
    <col min="7684" max="7684" width="11.7109375" style="280" customWidth="1"/>
    <col min="7685" max="7685" width="9.140625" style="280"/>
    <col min="7686" max="7686" width="13.5703125" style="280" customWidth="1"/>
    <col min="7687" max="7687" width="7.140625" style="280" customWidth="1"/>
    <col min="7688" max="7688" width="16.5703125" style="280" customWidth="1"/>
    <col min="7689" max="7939" width="9.140625" style="280"/>
    <col min="7940" max="7940" width="11.7109375" style="280" customWidth="1"/>
    <col min="7941" max="7941" width="9.140625" style="280"/>
    <col min="7942" max="7942" width="13.5703125" style="280" customWidth="1"/>
    <col min="7943" max="7943" width="7.140625" style="280" customWidth="1"/>
    <col min="7944" max="7944" width="16.5703125" style="280" customWidth="1"/>
    <col min="7945" max="8195" width="9.140625" style="280"/>
    <col min="8196" max="8196" width="11.7109375" style="280" customWidth="1"/>
    <col min="8197" max="8197" width="9.140625" style="280"/>
    <col min="8198" max="8198" width="13.5703125" style="280" customWidth="1"/>
    <col min="8199" max="8199" width="7.140625" style="280" customWidth="1"/>
    <col min="8200" max="8200" width="16.5703125" style="280" customWidth="1"/>
    <col min="8201" max="8451" width="9.140625" style="280"/>
    <col min="8452" max="8452" width="11.7109375" style="280" customWidth="1"/>
    <col min="8453" max="8453" width="9.140625" style="280"/>
    <col min="8454" max="8454" width="13.5703125" style="280" customWidth="1"/>
    <col min="8455" max="8455" width="7.140625" style="280" customWidth="1"/>
    <col min="8456" max="8456" width="16.5703125" style="280" customWidth="1"/>
    <col min="8457" max="8707" width="9.140625" style="280"/>
    <col min="8708" max="8708" width="11.7109375" style="280" customWidth="1"/>
    <col min="8709" max="8709" width="9.140625" style="280"/>
    <col min="8710" max="8710" width="13.5703125" style="280" customWidth="1"/>
    <col min="8711" max="8711" width="7.140625" style="280" customWidth="1"/>
    <col min="8712" max="8712" width="16.5703125" style="280" customWidth="1"/>
    <col min="8713" max="8963" width="9.140625" style="280"/>
    <col min="8964" max="8964" width="11.7109375" style="280" customWidth="1"/>
    <col min="8965" max="8965" width="9.140625" style="280"/>
    <col min="8966" max="8966" width="13.5703125" style="280" customWidth="1"/>
    <col min="8967" max="8967" width="7.140625" style="280" customWidth="1"/>
    <col min="8968" max="8968" width="16.5703125" style="280" customWidth="1"/>
    <col min="8969" max="9219" width="9.140625" style="280"/>
    <col min="9220" max="9220" width="11.7109375" style="280" customWidth="1"/>
    <col min="9221" max="9221" width="9.140625" style="280"/>
    <col min="9222" max="9222" width="13.5703125" style="280" customWidth="1"/>
    <col min="9223" max="9223" width="7.140625" style="280" customWidth="1"/>
    <col min="9224" max="9224" width="16.5703125" style="280" customWidth="1"/>
    <col min="9225" max="9475" width="9.140625" style="280"/>
    <col min="9476" max="9476" width="11.7109375" style="280" customWidth="1"/>
    <col min="9477" max="9477" width="9.140625" style="280"/>
    <col min="9478" max="9478" width="13.5703125" style="280" customWidth="1"/>
    <col min="9479" max="9479" width="7.140625" style="280" customWidth="1"/>
    <col min="9480" max="9480" width="16.5703125" style="280" customWidth="1"/>
    <col min="9481" max="9731" width="9.140625" style="280"/>
    <col min="9732" max="9732" width="11.7109375" style="280" customWidth="1"/>
    <col min="9733" max="9733" width="9.140625" style="280"/>
    <col min="9734" max="9734" width="13.5703125" style="280" customWidth="1"/>
    <col min="9735" max="9735" width="7.140625" style="280" customWidth="1"/>
    <col min="9736" max="9736" width="16.5703125" style="280" customWidth="1"/>
    <col min="9737" max="9987" width="9.140625" style="280"/>
    <col min="9988" max="9988" width="11.7109375" style="280" customWidth="1"/>
    <col min="9989" max="9989" width="9.140625" style="280"/>
    <col min="9990" max="9990" width="13.5703125" style="280" customWidth="1"/>
    <col min="9991" max="9991" width="7.140625" style="280" customWidth="1"/>
    <col min="9992" max="9992" width="16.5703125" style="280" customWidth="1"/>
    <col min="9993" max="10243" width="9.140625" style="280"/>
    <col min="10244" max="10244" width="11.7109375" style="280" customWidth="1"/>
    <col min="10245" max="10245" width="9.140625" style="280"/>
    <col min="10246" max="10246" width="13.5703125" style="280" customWidth="1"/>
    <col min="10247" max="10247" width="7.140625" style="280" customWidth="1"/>
    <col min="10248" max="10248" width="16.5703125" style="280" customWidth="1"/>
    <col min="10249" max="10499" width="9.140625" style="280"/>
    <col min="10500" max="10500" width="11.7109375" style="280" customWidth="1"/>
    <col min="10501" max="10501" width="9.140625" style="280"/>
    <col min="10502" max="10502" width="13.5703125" style="280" customWidth="1"/>
    <col min="10503" max="10503" width="7.140625" style="280" customWidth="1"/>
    <col min="10504" max="10504" width="16.5703125" style="280" customWidth="1"/>
    <col min="10505" max="10755" width="9.140625" style="280"/>
    <col min="10756" max="10756" width="11.7109375" style="280" customWidth="1"/>
    <col min="10757" max="10757" width="9.140625" style="280"/>
    <col min="10758" max="10758" width="13.5703125" style="280" customWidth="1"/>
    <col min="10759" max="10759" width="7.140625" style="280" customWidth="1"/>
    <col min="10760" max="10760" width="16.5703125" style="280" customWidth="1"/>
    <col min="10761" max="11011" width="9.140625" style="280"/>
    <col min="11012" max="11012" width="11.7109375" style="280" customWidth="1"/>
    <col min="11013" max="11013" width="9.140625" style="280"/>
    <col min="11014" max="11014" width="13.5703125" style="280" customWidth="1"/>
    <col min="11015" max="11015" width="7.140625" style="280" customWidth="1"/>
    <col min="11016" max="11016" width="16.5703125" style="280" customWidth="1"/>
    <col min="11017" max="11267" width="9.140625" style="280"/>
    <col min="11268" max="11268" width="11.7109375" style="280" customWidth="1"/>
    <col min="11269" max="11269" width="9.140625" style="280"/>
    <col min="11270" max="11270" width="13.5703125" style="280" customWidth="1"/>
    <col min="11271" max="11271" width="7.140625" style="280" customWidth="1"/>
    <col min="11272" max="11272" width="16.5703125" style="280" customWidth="1"/>
    <col min="11273" max="11523" width="9.140625" style="280"/>
    <col min="11524" max="11524" width="11.7109375" style="280" customWidth="1"/>
    <col min="11525" max="11525" width="9.140625" style="280"/>
    <col min="11526" max="11526" width="13.5703125" style="280" customWidth="1"/>
    <col min="11527" max="11527" width="7.140625" style="280" customWidth="1"/>
    <col min="11528" max="11528" width="16.5703125" style="280" customWidth="1"/>
    <col min="11529" max="11779" width="9.140625" style="280"/>
    <col min="11780" max="11780" width="11.7109375" style="280" customWidth="1"/>
    <col min="11781" max="11781" width="9.140625" style="280"/>
    <col min="11782" max="11782" width="13.5703125" style="280" customWidth="1"/>
    <col min="11783" max="11783" width="7.140625" style="280" customWidth="1"/>
    <col min="11784" max="11784" width="16.5703125" style="280" customWidth="1"/>
    <col min="11785" max="12035" width="9.140625" style="280"/>
    <col min="12036" max="12036" width="11.7109375" style="280" customWidth="1"/>
    <col min="12037" max="12037" width="9.140625" style="280"/>
    <col min="12038" max="12038" width="13.5703125" style="280" customWidth="1"/>
    <col min="12039" max="12039" width="7.140625" style="280" customWidth="1"/>
    <col min="12040" max="12040" width="16.5703125" style="280" customWidth="1"/>
    <col min="12041" max="12291" width="9.140625" style="280"/>
    <col min="12292" max="12292" width="11.7109375" style="280" customWidth="1"/>
    <col min="12293" max="12293" width="9.140625" style="280"/>
    <col min="12294" max="12294" width="13.5703125" style="280" customWidth="1"/>
    <col min="12295" max="12295" width="7.140625" style="280" customWidth="1"/>
    <col min="12296" max="12296" width="16.5703125" style="280" customWidth="1"/>
    <col min="12297" max="12547" width="9.140625" style="280"/>
    <col min="12548" max="12548" width="11.7109375" style="280" customWidth="1"/>
    <col min="12549" max="12549" width="9.140625" style="280"/>
    <col min="12550" max="12550" width="13.5703125" style="280" customWidth="1"/>
    <col min="12551" max="12551" width="7.140625" style="280" customWidth="1"/>
    <col min="12552" max="12552" width="16.5703125" style="280" customWidth="1"/>
    <col min="12553" max="12803" width="9.140625" style="280"/>
    <col min="12804" max="12804" width="11.7109375" style="280" customWidth="1"/>
    <col min="12805" max="12805" width="9.140625" style="280"/>
    <col min="12806" max="12806" width="13.5703125" style="280" customWidth="1"/>
    <col min="12807" max="12807" width="7.140625" style="280" customWidth="1"/>
    <col min="12808" max="12808" width="16.5703125" style="280" customWidth="1"/>
    <col min="12809" max="13059" width="9.140625" style="280"/>
    <col min="13060" max="13060" width="11.7109375" style="280" customWidth="1"/>
    <col min="13061" max="13061" width="9.140625" style="280"/>
    <col min="13062" max="13062" width="13.5703125" style="280" customWidth="1"/>
    <col min="13063" max="13063" width="7.140625" style="280" customWidth="1"/>
    <col min="13064" max="13064" width="16.5703125" style="280" customWidth="1"/>
    <col min="13065" max="13315" width="9.140625" style="280"/>
    <col min="13316" max="13316" width="11.7109375" style="280" customWidth="1"/>
    <col min="13317" max="13317" width="9.140625" style="280"/>
    <col min="13318" max="13318" width="13.5703125" style="280" customWidth="1"/>
    <col min="13319" max="13319" width="7.140625" style="280" customWidth="1"/>
    <col min="13320" max="13320" width="16.5703125" style="280" customWidth="1"/>
    <col min="13321" max="13571" width="9.140625" style="280"/>
    <col min="13572" max="13572" width="11.7109375" style="280" customWidth="1"/>
    <col min="13573" max="13573" width="9.140625" style="280"/>
    <col min="13574" max="13574" width="13.5703125" style="280" customWidth="1"/>
    <col min="13575" max="13575" width="7.140625" style="280" customWidth="1"/>
    <col min="13576" max="13576" width="16.5703125" style="280" customWidth="1"/>
    <col min="13577" max="13827" width="9.140625" style="280"/>
    <col min="13828" max="13828" width="11.7109375" style="280" customWidth="1"/>
    <col min="13829" max="13829" width="9.140625" style="280"/>
    <col min="13830" max="13830" width="13.5703125" style="280" customWidth="1"/>
    <col min="13831" max="13831" width="7.140625" style="280" customWidth="1"/>
    <col min="13832" max="13832" width="16.5703125" style="280" customWidth="1"/>
    <col min="13833" max="14083" width="9.140625" style="280"/>
    <col min="14084" max="14084" width="11.7109375" style="280" customWidth="1"/>
    <col min="14085" max="14085" width="9.140625" style="280"/>
    <col min="14086" max="14086" width="13.5703125" style="280" customWidth="1"/>
    <col min="14087" max="14087" width="7.140625" style="280" customWidth="1"/>
    <col min="14088" max="14088" width="16.5703125" style="280" customWidth="1"/>
    <col min="14089" max="14339" width="9.140625" style="280"/>
    <col min="14340" max="14340" width="11.7109375" style="280" customWidth="1"/>
    <col min="14341" max="14341" width="9.140625" style="280"/>
    <col min="14342" max="14342" width="13.5703125" style="280" customWidth="1"/>
    <col min="14343" max="14343" width="7.140625" style="280" customWidth="1"/>
    <col min="14344" max="14344" width="16.5703125" style="280" customWidth="1"/>
    <col min="14345" max="14595" width="9.140625" style="280"/>
    <col min="14596" max="14596" width="11.7109375" style="280" customWidth="1"/>
    <col min="14597" max="14597" width="9.140625" style="280"/>
    <col min="14598" max="14598" width="13.5703125" style="280" customWidth="1"/>
    <col min="14599" max="14599" width="7.140625" style="280" customWidth="1"/>
    <col min="14600" max="14600" width="16.5703125" style="280" customWidth="1"/>
    <col min="14601" max="14851" width="9.140625" style="280"/>
    <col min="14852" max="14852" width="11.7109375" style="280" customWidth="1"/>
    <col min="14853" max="14853" width="9.140625" style="280"/>
    <col min="14854" max="14854" width="13.5703125" style="280" customWidth="1"/>
    <col min="14855" max="14855" width="7.140625" style="280" customWidth="1"/>
    <col min="14856" max="14856" width="16.5703125" style="280" customWidth="1"/>
    <col min="14857" max="15107" width="9.140625" style="280"/>
    <col min="15108" max="15108" width="11.7109375" style="280" customWidth="1"/>
    <col min="15109" max="15109" width="9.140625" style="280"/>
    <col min="15110" max="15110" width="13.5703125" style="280" customWidth="1"/>
    <col min="15111" max="15111" width="7.140625" style="280" customWidth="1"/>
    <col min="15112" max="15112" width="16.5703125" style="280" customWidth="1"/>
    <col min="15113" max="15363" width="9.140625" style="280"/>
    <col min="15364" max="15364" width="11.7109375" style="280" customWidth="1"/>
    <col min="15365" max="15365" width="9.140625" style="280"/>
    <col min="15366" max="15366" width="13.5703125" style="280" customWidth="1"/>
    <col min="15367" max="15367" width="7.140625" style="280" customWidth="1"/>
    <col min="15368" max="15368" width="16.5703125" style="280" customWidth="1"/>
    <col min="15369" max="15619" width="9.140625" style="280"/>
    <col min="15620" max="15620" width="11.7109375" style="280" customWidth="1"/>
    <col min="15621" max="15621" width="9.140625" style="280"/>
    <col min="15622" max="15622" width="13.5703125" style="280" customWidth="1"/>
    <col min="15623" max="15623" width="7.140625" style="280" customWidth="1"/>
    <col min="15624" max="15624" width="16.5703125" style="280" customWidth="1"/>
    <col min="15625" max="15875" width="9.140625" style="280"/>
    <col min="15876" max="15876" width="11.7109375" style="280" customWidth="1"/>
    <col min="15877" max="15877" width="9.140625" style="280"/>
    <col min="15878" max="15878" width="13.5703125" style="280" customWidth="1"/>
    <col min="15879" max="15879" width="7.140625" style="280" customWidth="1"/>
    <col min="15880" max="15880" width="16.5703125" style="280" customWidth="1"/>
    <col min="15881" max="16131" width="9.140625" style="280"/>
    <col min="16132" max="16132" width="11.7109375" style="280" customWidth="1"/>
    <col min="16133" max="16133" width="9.140625" style="280"/>
    <col min="16134" max="16134" width="13.5703125" style="280" customWidth="1"/>
    <col min="16135" max="16135" width="7.140625" style="280" customWidth="1"/>
    <col min="16136" max="16136" width="16.5703125" style="280" customWidth="1"/>
    <col min="16137" max="16384" width="9.140625" style="280"/>
  </cols>
  <sheetData>
    <row r="1" spans="1:9" ht="15.75">
      <c r="A1" s="258" t="s">
        <v>14</v>
      </c>
      <c r="B1" s="277"/>
      <c r="C1" s="277"/>
      <c r="D1" s="277"/>
      <c r="E1" s="277"/>
      <c r="F1" s="278"/>
      <c r="G1" s="277"/>
      <c r="H1" s="278"/>
      <c r="I1" s="279"/>
    </row>
    <row r="2" spans="1:9" ht="15.75">
      <c r="A2" s="258" t="s">
        <v>440</v>
      </c>
      <c r="B2" s="277"/>
      <c r="C2" s="277"/>
      <c r="D2" s="277"/>
      <c r="E2" s="277"/>
      <c r="F2" s="278"/>
      <c r="G2" s="277"/>
      <c r="H2" s="278"/>
      <c r="I2" s="279"/>
    </row>
    <row r="3" spans="1:9" ht="15">
      <c r="A3" s="259" t="s">
        <v>441</v>
      </c>
      <c r="B3" s="277"/>
      <c r="C3" s="277"/>
      <c r="D3" s="277"/>
      <c r="E3" s="277"/>
      <c r="F3" s="278"/>
      <c r="G3" s="277"/>
      <c r="H3" s="278"/>
      <c r="I3" s="279"/>
    </row>
    <row r="5" spans="1:9">
      <c r="A5" s="260" t="s">
        <v>16</v>
      </c>
      <c r="F5" s="281"/>
      <c r="G5" s="282"/>
      <c r="H5" s="261" t="s">
        <v>442</v>
      </c>
      <c r="I5" s="283"/>
    </row>
    <row r="6" spans="1:9">
      <c r="F6" s="262" t="s">
        <v>442</v>
      </c>
      <c r="G6" s="282"/>
      <c r="H6" s="261" t="s">
        <v>173</v>
      </c>
    </row>
    <row r="7" spans="1:9">
      <c r="A7" s="260" t="s">
        <v>80</v>
      </c>
      <c r="F7" s="263" t="s">
        <v>3</v>
      </c>
      <c r="G7" s="264"/>
      <c r="H7" s="265" t="s">
        <v>443</v>
      </c>
    </row>
    <row r="9" spans="1:9">
      <c r="B9" s="716" t="s">
        <v>940</v>
      </c>
      <c r="C9"/>
      <c r="D9"/>
      <c r="E9"/>
      <c r="F9" s="717">
        <v>4387074.2039255835</v>
      </c>
      <c r="G9" s="718"/>
      <c r="H9" s="717">
        <v>24819755.049999997</v>
      </c>
    </row>
    <row r="10" spans="1:9">
      <c r="B10" s="716" t="s">
        <v>1095</v>
      </c>
      <c r="C10"/>
      <c r="D10"/>
      <c r="E10"/>
      <c r="F10" s="719">
        <v>5397485.4000597699</v>
      </c>
      <c r="G10" s="718"/>
      <c r="H10" s="719">
        <v>25239328.660000004</v>
      </c>
    </row>
    <row r="11" spans="1:9">
      <c r="B11"/>
      <c r="C11"/>
      <c r="D11"/>
      <c r="E11"/>
      <c r="F11" s="720"/>
      <c r="G11" s="721"/>
      <c r="H11" s="720"/>
    </row>
    <row r="12" spans="1:9" ht="13.5" thickBot="1">
      <c r="B12" t="s">
        <v>444</v>
      </c>
      <c r="C12"/>
      <c r="D12"/>
      <c r="E12"/>
      <c r="F12" s="722">
        <v>1010411.1961341863</v>
      </c>
      <c r="G12" s="721"/>
      <c r="H12" s="722">
        <v>419573.61000000685</v>
      </c>
    </row>
    <row r="13" spans="1:9" ht="13.5" thickTop="1">
      <c r="B13"/>
      <c r="C13"/>
      <c r="D13"/>
      <c r="E13"/>
      <c r="F13" s="720"/>
      <c r="G13" s="721"/>
      <c r="H13" s="720"/>
    </row>
    <row r="14" spans="1:9">
      <c r="A14" s="260" t="s">
        <v>0</v>
      </c>
      <c r="B14"/>
      <c r="C14"/>
      <c r="D14"/>
      <c r="E14"/>
      <c r="F14" s="720"/>
      <c r="G14" s="721"/>
      <c r="H14" s="720"/>
    </row>
    <row r="15" spans="1:9">
      <c r="B15"/>
      <c r="C15"/>
      <c r="D15"/>
      <c r="E15"/>
      <c r="F15" s="720"/>
      <c r="G15" s="721"/>
      <c r="H15" s="720"/>
    </row>
    <row r="16" spans="1:9">
      <c r="B16" t="s">
        <v>940</v>
      </c>
      <c r="C16"/>
      <c r="D16"/>
      <c r="E16"/>
      <c r="F16" s="717">
        <v>6397408.8504880667</v>
      </c>
      <c r="G16" s="718"/>
      <c r="H16" s="717">
        <v>18883008.469999999</v>
      </c>
    </row>
    <row r="17" spans="1:8">
      <c r="B17" t="s">
        <v>1095</v>
      </c>
      <c r="C17"/>
      <c r="D17"/>
      <c r="E17"/>
      <c r="F17" s="719">
        <v>7843410.7884897292</v>
      </c>
      <c r="G17" s="718"/>
      <c r="H17" s="719">
        <v>18937496.309999999</v>
      </c>
    </row>
    <row r="18" spans="1:8">
      <c r="B18"/>
      <c r="C18"/>
      <c r="D18"/>
      <c r="E18"/>
      <c r="F18" s="720"/>
      <c r="G18" s="721"/>
      <c r="H18" s="720"/>
    </row>
    <row r="19" spans="1:8" ht="13.5" thickBot="1">
      <c r="B19" t="s">
        <v>444</v>
      </c>
      <c r="C19"/>
      <c r="D19"/>
      <c r="E19"/>
      <c r="F19" s="722">
        <v>1446001.9380016625</v>
      </c>
      <c r="G19" s="721"/>
      <c r="H19" s="722">
        <v>54487.839999999851</v>
      </c>
    </row>
    <row r="20" spans="1:8" ht="13.5" thickTop="1">
      <c r="B20"/>
      <c r="C20"/>
      <c r="D20"/>
      <c r="E20"/>
      <c r="F20" s="720"/>
      <c r="G20" s="721"/>
      <c r="H20" s="720"/>
    </row>
    <row r="21" spans="1:8">
      <c r="A21" s="260" t="s">
        <v>37</v>
      </c>
      <c r="B21"/>
      <c r="C21"/>
      <c r="D21"/>
      <c r="E21"/>
      <c r="F21" s="720"/>
      <c r="G21" s="721"/>
      <c r="H21" s="720"/>
    </row>
    <row r="22" spans="1:8">
      <c r="B22"/>
      <c r="C22"/>
      <c r="D22"/>
      <c r="E22"/>
      <c r="F22" s="720"/>
      <c r="G22" s="721"/>
      <c r="H22" s="720"/>
    </row>
    <row r="23" spans="1:8">
      <c r="B23" t="s">
        <v>940</v>
      </c>
      <c r="C23"/>
      <c r="D23"/>
      <c r="E23"/>
      <c r="F23" s="717">
        <v>218844.542032381</v>
      </c>
      <c r="G23" s="718"/>
      <c r="H23" s="717">
        <v>484360.01</v>
      </c>
    </row>
    <row r="24" spans="1:8">
      <c r="B24" t="s">
        <v>1095</v>
      </c>
      <c r="C24"/>
      <c r="D24"/>
      <c r="E24"/>
      <c r="F24" s="719">
        <v>257458.19651814102</v>
      </c>
      <c r="G24" s="718"/>
      <c r="H24" s="719">
        <v>482442.79999999993</v>
      </c>
    </row>
    <row r="25" spans="1:8">
      <c r="B25"/>
      <c r="C25"/>
      <c r="D25"/>
      <c r="E25"/>
      <c r="F25" s="720"/>
      <c r="G25" s="721"/>
      <c r="H25" s="720"/>
    </row>
    <row r="26" spans="1:8" ht="13.5" thickBot="1">
      <c r="B26" t="s">
        <v>444</v>
      </c>
      <c r="C26"/>
      <c r="D26"/>
      <c r="E26"/>
      <c r="F26" s="722">
        <v>38613.654485760024</v>
      </c>
      <c r="G26" s="721"/>
      <c r="H26" s="722">
        <v>-1917.2100000000792</v>
      </c>
    </row>
    <row r="27" spans="1:8" ht="13.5" thickTop="1">
      <c r="B27"/>
      <c r="C27"/>
      <c r="D27"/>
      <c r="E27"/>
      <c r="F27" s="720"/>
      <c r="G27" s="721"/>
      <c r="H27" s="720"/>
    </row>
    <row r="28" spans="1:8">
      <c r="A28" s="260" t="s">
        <v>79</v>
      </c>
      <c r="B28"/>
      <c r="C28"/>
      <c r="D28"/>
      <c r="E28"/>
      <c r="F28" s="720"/>
      <c r="G28" s="721"/>
      <c r="H28" s="720"/>
    </row>
    <row r="29" spans="1:8">
      <c r="B29"/>
      <c r="C29"/>
      <c r="D29"/>
      <c r="E29"/>
      <c r="F29" s="720"/>
      <c r="G29" s="721"/>
      <c r="H29" s="720"/>
    </row>
    <row r="30" spans="1:8">
      <c r="B30" t="s">
        <v>940</v>
      </c>
      <c r="C30"/>
      <c r="D30"/>
      <c r="E30"/>
      <c r="F30" s="717">
        <v>322023.51625226857</v>
      </c>
      <c r="G30" s="718"/>
      <c r="H30" s="717">
        <v>2336297.0699999998</v>
      </c>
    </row>
    <row r="31" spans="1:8">
      <c r="B31" t="s">
        <v>1095</v>
      </c>
      <c r="C31"/>
      <c r="D31"/>
      <c r="E31"/>
      <c r="F31" s="719">
        <v>392006.98723226349</v>
      </c>
      <c r="G31" s="718"/>
      <c r="H31" s="719">
        <v>2366436.71</v>
      </c>
    </row>
    <row r="32" spans="1:8">
      <c r="B32"/>
      <c r="C32"/>
      <c r="D32"/>
      <c r="E32"/>
      <c r="F32" s="720"/>
      <c r="G32" s="721"/>
      <c r="H32" s="720"/>
    </row>
    <row r="33" spans="1:15" ht="13.5" thickBot="1">
      <c r="B33" t="s">
        <v>444</v>
      </c>
      <c r="C33"/>
      <c r="D33"/>
      <c r="E33"/>
      <c r="F33" s="722">
        <v>69983.47097999492</v>
      </c>
      <c r="G33" s="721"/>
      <c r="H33" s="722">
        <v>30139.64000000013</v>
      </c>
    </row>
    <row r="34" spans="1:15" ht="13.5" thickTop="1">
      <c r="B34"/>
      <c r="C34"/>
      <c r="D34"/>
      <c r="E34"/>
      <c r="F34" s="720"/>
      <c r="G34" s="721"/>
      <c r="H34" s="720"/>
    </row>
    <row r="35" spans="1:15">
      <c r="A35" s="260" t="s">
        <v>81</v>
      </c>
      <c r="B35"/>
      <c r="C35"/>
      <c r="D35"/>
      <c r="E35"/>
      <c r="F35" s="720"/>
      <c r="G35" s="721"/>
      <c r="H35" s="720"/>
    </row>
    <row r="36" spans="1:15">
      <c r="B36"/>
      <c r="C36"/>
      <c r="D36"/>
      <c r="E36"/>
      <c r="F36" s="720"/>
      <c r="G36" s="721"/>
      <c r="H36" s="720"/>
    </row>
    <row r="37" spans="1:15">
      <c r="B37" t="s">
        <v>940</v>
      </c>
      <c r="C37"/>
      <c r="D37"/>
      <c r="E37"/>
      <c r="F37" s="717">
        <v>0</v>
      </c>
      <c r="G37" s="718"/>
      <c r="H37" s="717">
        <v>0</v>
      </c>
    </row>
    <row r="38" spans="1:15">
      <c r="B38" t="s">
        <v>1095</v>
      </c>
      <c r="C38"/>
      <c r="D38"/>
      <c r="E38"/>
      <c r="F38" s="719">
        <v>0</v>
      </c>
      <c r="G38" s="718"/>
      <c r="H38" s="719">
        <v>0</v>
      </c>
    </row>
    <row r="39" spans="1:15">
      <c r="B39"/>
      <c r="C39"/>
      <c r="D39"/>
      <c r="E39"/>
      <c r="F39" s="723"/>
      <c r="G39"/>
      <c r="H39" s="723"/>
    </row>
    <row r="40" spans="1:15" ht="13.5" thickBot="1">
      <c r="B40" t="s">
        <v>444</v>
      </c>
      <c r="C40"/>
      <c r="D40"/>
      <c r="E40"/>
      <c r="F40" s="724">
        <v>0</v>
      </c>
      <c r="G40"/>
      <c r="H40" s="724">
        <v>0</v>
      </c>
      <c r="O40" s="790"/>
    </row>
    <row r="41" spans="1:15" ht="13.5" thickTop="1">
      <c r="B41"/>
      <c r="C41"/>
      <c r="D41"/>
      <c r="E41"/>
      <c r="F41" s="725"/>
      <c r="G41"/>
      <c r="H41" s="725"/>
    </row>
    <row r="42" spans="1:15" ht="13.5" thickBot="1">
      <c r="A42" s="266" t="s">
        <v>445</v>
      </c>
      <c r="B42"/>
      <c r="C42"/>
      <c r="D42"/>
      <c r="E42"/>
      <c r="F42" s="724">
        <v>2565010.2596016037</v>
      </c>
      <c r="G42"/>
      <c r="H42" s="726">
        <v>502283.88000000676</v>
      </c>
    </row>
    <row r="43" spans="1:15" ht="13.5" thickTop="1">
      <c r="A43" s="266"/>
      <c r="F43" s="284"/>
      <c r="H43" s="284"/>
    </row>
    <row r="44" spans="1:15">
      <c r="A44" s="280" t="s">
        <v>1092</v>
      </c>
      <c r="F44" s="285"/>
      <c r="G44" s="26"/>
      <c r="H44" s="735">
        <f>-'Incremental Prop Tax 2013'!C49</f>
        <v>-1119969.3899999999</v>
      </c>
    </row>
    <row r="45" spans="1:15">
      <c r="A45" s="280" t="s">
        <v>482</v>
      </c>
      <c r="F45" s="284"/>
      <c r="H45" s="735">
        <f>+'Incremental Prop Tax 2013'!C47</f>
        <v>1136297.8</v>
      </c>
    </row>
    <row r="46" spans="1:15">
      <c r="A46" s="280" t="s">
        <v>1093</v>
      </c>
      <c r="F46" s="280"/>
      <c r="H46" s="735">
        <f>-'Incremental Prop Tax 2014'!C49</f>
        <v>-1397648.39</v>
      </c>
    </row>
    <row r="47" spans="1:15">
      <c r="A47" s="753" t="s">
        <v>1091</v>
      </c>
      <c r="B47" s="753"/>
      <c r="C47" s="753"/>
      <c r="D47" s="753"/>
      <c r="E47" s="753"/>
      <c r="F47" s="753"/>
      <c r="G47" s="753"/>
      <c r="H47" s="23">
        <f>+'Incremental Prop Tax 2014'!C47</f>
        <v>1390220.48</v>
      </c>
    </row>
    <row r="48" spans="1:15">
      <c r="A48" s="753" t="s">
        <v>1094</v>
      </c>
      <c r="B48" s="753"/>
      <c r="C48" s="753"/>
      <c r="D48" s="753"/>
      <c r="E48" s="753"/>
      <c r="F48" s="753"/>
      <c r="G48" s="753"/>
      <c r="H48" s="23">
        <f>-'Incremental Prop Tax 2015'!C49</f>
        <v>-2112436.85</v>
      </c>
    </row>
    <row r="49" spans="1:8">
      <c r="A49" s="753" t="s">
        <v>1127</v>
      </c>
      <c r="B49" s="753"/>
      <c r="C49" s="753"/>
      <c r="D49" s="753"/>
      <c r="E49" s="753"/>
      <c r="F49" s="753"/>
      <c r="G49" s="753"/>
      <c r="H49" s="23">
        <f>+'Incremental Prop Tax 2015'!C47</f>
        <v>2145052.48</v>
      </c>
    </row>
    <row r="50" spans="1:8" ht="13.5" thickBot="1">
      <c r="A50" s="753"/>
      <c r="B50" s="753" t="s">
        <v>444</v>
      </c>
      <c r="C50" s="753"/>
      <c r="D50" s="753"/>
      <c r="E50" s="753"/>
      <c r="F50" s="753"/>
      <c r="G50" s="753"/>
      <c r="H50" s="789">
        <f>SUM(H44:H49)</f>
        <v>41516.130000000354</v>
      </c>
    </row>
    <row r="51" spans="1:8" ht="13.5" thickTop="1">
      <c r="A51" s="753"/>
      <c r="B51" s="753"/>
      <c r="C51" s="753"/>
      <c r="D51" s="753"/>
      <c r="E51" s="753"/>
      <c r="F51" s="753"/>
      <c r="G51" s="753"/>
      <c r="H51" s="23"/>
    </row>
    <row r="52" spans="1:8">
      <c r="A52" s="753"/>
      <c r="B52" s="753"/>
      <c r="C52" s="753"/>
      <c r="D52" s="753"/>
      <c r="E52" s="753"/>
      <c r="F52" s="753"/>
      <c r="G52" s="753"/>
      <c r="H52" s="23"/>
    </row>
    <row r="53" spans="1:8">
      <c r="A53" s="753"/>
      <c r="B53" s="753"/>
      <c r="C53" s="753"/>
      <c r="D53" s="753"/>
      <c r="E53" s="753"/>
      <c r="F53" s="753"/>
      <c r="G53" s="753"/>
      <c r="H53" s="23"/>
    </row>
    <row r="54" spans="1:8">
      <c r="A54" s="753"/>
      <c r="B54" s="753"/>
      <c r="C54" s="753"/>
      <c r="D54" s="753"/>
      <c r="E54" s="753"/>
      <c r="F54" s="753"/>
      <c r="G54" s="753"/>
      <c r="H54" s="753"/>
    </row>
    <row r="55" spans="1:8">
      <c r="F55" s="280"/>
      <c r="H55" s="280"/>
    </row>
    <row r="56" spans="1:8">
      <c r="F56" s="280"/>
      <c r="H56" s="280"/>
    </row>
    <row r="57" spans="1:8">
      <c r="A57" s="266"/>
      <c r="F57" s="284"/>
      <c r="H57" s="284"/>
    </row>
    <row r="58" spans="1:8">
      <c r="A58" s="266"/>
      <c r="F58" s="284"/>
      <c r="H58" s="284"/>
    </row>
    <row r="59" spans="1:8">
      <c r="A59" s="266"/>
      <c r="F59" s="284"/>
      <c r="H59" s="284"/>
    </row>
    <row r="60" spans="1:8">
      <c r="A60" s="266"/>
      <c r="F60" s="284"/>
      <c r="H60" s="284"/>
    </row>
    <row r="61" spans="1:8">
      <c r="A61" s="266"/>
      <c r="F61" s="284"/>
      <c r="H61" s="284"/>
    </row>
    <row r="62" spans="1:8">
      <c r="A62" s="266"/>
      <c r="F62" s="284"/>
      <c r="H62" s="284"/>
    </row>
    <row r="63" spans="1:8">
      <c r="A63" s="266"/>
      <c r="F63" s="284"/>
      <c r="H63" s="284"/>
    </row>
    <row r="65" spans="8:8">
      <c r="H65" s="287"/>
    </row>
    <row r="66" spans="8:8">
      <c r="H66" s="287"/>
    </row>
  </sheetData>
  <printOptions horizontalCentered="1"/>
  <pageMargins left="0.75" right="0.75" top="0.5" bottom="0.5" header="0.5" footer="0.5"/>
  <pageSetup orientation="portrait" r:id="rId1"/>
  <headerFooter alignWithMargins="0">
    <oddFooter xml:space="preserve">&amp;RAppendix B
Page 4 of 15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pageSetUpPr fitToPage="1"/>
  </sheetPr>
  <dimension ref="A1:AG46"/>
  <sheetViews>
    <sheetView workbookViewId="0">
      <selection activeCell="AA41" sqref="AA41"/>
    </sheetView>
  </sheetViews>
  <sheetFormatPr defaultColWidth="9.140625" defaultRowHeight="12.75"/>
  <cols>
    <col min="1" max="2" width="9.140625" style="101"/>
    <col min="3" max="3" width="22" style="101" customWidth="1"/>
    <col min="4" max="4" width="6.140625" style="101" customWidth="1"/>
    <col min="5" max="5" width="13.140625" style="101" hidden="1" customWidth="1"/>
    <col min="6" max="6" width="1.28515625" style="101" hidden="1" customWidth="1"/>
    <col min="7" max="7" width="13.140625" style="101" hidden="1" customWidth="1"/>
    <col min="8" max="8" width="1.28515625" style="101" hidden="1" customWidth="1"/>
    <col min="9" max="9" width="11.28515625" style="101" hidden="1" customWidth="1"/>
    <col min="10" max="10" width="1.28515625" style="101" hidden="1" customWidth="1"/>
    <col min="11" max="11" width="13.140625" style="101" hidden="1" customWidth="1"/>
    <col min="12" max="12" width="1.28515625" style="101" customWidth="1"/>
    <col min="13" max="13" width="14.140625" style="101" customWidth="1"/>
    <col min="14" max="14" width="1.28515625" style="101" customWidth="1"/>
    <col min="15" max="15" width="15.85546875" style="101" customWidth="1"/>
    <col min="16" max="16" width="1.28515625" style="101" customWidth="1"/>
    <col min="17" max="17" width="14.42578125" style="101" hidden="1" customWidth="1"/>
    <col min="18" max="18" width="1.5703125" style="101" hidden="1" customWidth="1"/>
    <col min="19" max="19" width="20.140625" style="101" hidden="1" customWidth="1"/>
    <col min="20" max="20" width="1.28515625" style="101" customWidth="1"/>
    <col min="21" max="21" width="6.28515625" style="101" customWidth="1"/>
    <col min="22" max="22" width="1.28515625" style="101" customWidth="1"/>
    <col min="23" max="23" width="14" style="101" customWidth="1"/>
    <col min="24" max="24" width="1.28515625" style="101" customWidth="1"/>
    <col min="25" max="25" width="16.28515625" style="101" customWidth="1"/>
    <col min="26" max="26" width="1.28515625" style="101" customWidth="1"/>
    <col min="27" max="27" width="15.140625" style="101" customWidth="1"/>
    <col min="28" max="28" width="6.85546875" style="101" customWidth="1"/>
    <col min="29" max="29" width="11.85546875" style="101" bestFit="1" customWidth="1"/>
    <col min="30" max="30" width="6" style="101" bestFit="1" customWidth="1"/>
    <col min="31" max="31" width="14.5703125" style="101" bestFit="1" customWidth="1"/>
    <col min="32" max="32" width="11.5703125" style="101" customWidth="1"/>
    <col min="33" max="33" width="13.42578125" style="101" bestFit="1" customWidth="1"/>
    <col min="34" max="16384" width="9.140625" style="101"/>
  </cols>
  <sheetData>
    <row r="1" spans="1:32">
      <c r="AB1" s="217" t="s">
        <v>313</v>
      </c>
      <c r="AC1" s="797" t="s">
        <v>306</v>
      </c>
      <c r="AD1" s="798"/>
      <c r="AE1" s="799"/>
    </row>
    <row r="2" spans="1:32">
      <c r="AB2" s="123">
        <f>12/12</f>
        <v>1</v>
      </c>
      <c r="AC2" s="218"/>
      <c r="AD2" s="219" t="s">
        <v>311</v>
      </c>
      <c r="AE2" s="220" t="s">
        <v>312</v>
      </c>
    </row>
    <row r="3" spans="1:32">
      <c r="A3" s="800" t="s">
        <v>14</v>
      </c>
      <c r="B3" s="800"/>
      <c r="C3" s="800"/>
      <c r="D3" s="800"/>
      <c r="E3" s="800"/>
      <c r="F3" s="800"/>
      <c r="G3" s="800"/>
      <c r="H3" s="800"/>
      <c r="I3" s="800"/>
      <c r="J3" s="800"/>
      <c r="K3" s="800"/>
      <c r="L3" s="800"/>
      <c r="M3" s="800"/>
      <c r="N3" s="800"/>
      <c r="O3" s="800"/>
      <c r="P3" s="800"/>
      <c r="Q3" s="800"/>
      <c r="R3" s="800"/>
      <c r="S3" s="800"/>
      <c r="T3" s="800"/>
      <c r="U3" s="800"/>
      <c r="V3" s="800"/>
      <c r="W3" s="800"/>
      <c r="X3" s="800"/>
      <c r="Y3" s="800"/>
      <c r="Z3" s="800"/>
      <c r="AA3" s="800"/>
      <c r="AB3" s="101">
        <f>7/12</f>
        <v>0.58333333333333337</v>
      </c>
      <c r="AC3" s="228" t="s">
        <v>307</v>
      </c>
      <c r="AD3" s="121">
        <v>0.05</v>
      </c>
      <c r="AE3" s="229">
        <v>3.7499999999999999E-2</v>
      </c>
    </row>
    <row r="4" spans="1:32">
      <c r="A4" s="800" t="s">
        <v>224</v>
      </c>
      <c r="B4" s="800"/>
      <c r="C4" s="800"/>
      <c r="D4" s="800"/>
      <c r="E4" s="800"/>
      <c r="F4" s="800"/>
      <c r="G4" s="800"/>
      <c r="H4" s="800"/>
      <c r="I4" s="800"/>
      <c r="J4" s="800"/>
      <c r="K4" s="800"/>
      <c r="L4" s="800"/>
      <c r="M4" s="800"/>
      <c r="N4" s="800"/>
      <c r="O4" s="800"/>
      <c r="P4" s="800"/>
      <c r="Q4" s="800"/>
      <c r="R4" s="800"/>
      <c r="S4" s="800"/>
      <c r="T4" s="800"/>
      <c r="U4" s="800"/>
      <c r="V4" s="800"/>
      <c r="W4" s="800"/>
      <c r="X4" s="800"/>
      <c r="Y4" s="800"/>
      <c r="Z4" s="800"/>
      <c r="AA4" s="800"/>
      <c r="AB4" s="101">
        <v>0</v>
      </c>
      <c r="AC4" s="228" t="s">
        <v>308</v>
      </c>
      <c r="AD4" s="121">
        <v>9.5000000000000001E-2</v>
      </c>
      <c r="AE4" s="229">
        <v>7.2190000000000004E-2</v>
      </c>
    </row>
    <row r="5" spans="1:32">
      <c r="A5" s="221"/>
      <c r="B5" s="222"/>
      <c r="C5" s="222"/>
      <c r="D5" s="222"/>
      <c r="E5" s="222"/>
      <c r="F5" s="224"/>
      <c r="G5" s="222"/>
      <c r="H5" s="224"/>
      <c r="I5" s="222"/>
      <c r="J5" s="223"/>
      <c r="K5" s="223"/>
      <c r="L5" s="223"/>
      <c r="M5" s="223"/>
      <c r="N5" s="223"/>
      <c r="O5" s="223"/>
      <c r="P5" s="222"/>
      <c r="Q5" s="222"/>
      <c r="R5" s="224"/>
      <c r="S5" s="222"/>
      <c r="T5" s="223"/>
      <c r="U5" s="223"/>
      <c r="V5" s="223"/>
      <c r="W5" s="223"/>
      <c r="X5" s="223"/>
      <c r="Y5" s="223"/>
      <c r="Z5" s="222"/>
      <c r="AA5" s="224"/>
      <c r="AC5" s="228" t="s">
        <v>309</v>
      </c>
      <c r="AD5" s="121">
        <v>8.5500000000000007E-2</v>
      </c>
      <c r="AE5" s="229">
        <v>6.6769999999999996E-2</v>
      </c>
      <c r="AF5" s="101">
        <f>AE3*2</f>
        <v>7.4999999999999997E-2</v>
      </c>
    </row>
    <row r="6" spans="1:32" ht="12.75" customHeight="1">
      <c r="A6" s="206" t="s">
        <v>211</v>
      </c>
      <c r="B6" s="224"/>
      <c r="C6" s="224"/>
      <c r="D6" s="222"/>
      <c r="E6" s="794" t="s">
        <v>1029</v>
      </c>
      <c r="F6" s="794"/>
      <c r="G6" s="794"/>
      <c r="H6" s="794"/>
      <c r="I6" s="794"/>
      <c r="J6" s="794"/>
      <c r="K6" s="794"/>
      <c r="L6" s="794"/>
      <c r="M6" s="794"/>
      <c r="N6" s="794"/>
      <c r="O6" s="794"/>
      <c r="P6" s="224"/>
      <c r="R6" s="225"/>
      <c r="S6" s="225"/>
      <c r="T6" s="225"/>
      <c r="U6" s="225" t="str">
        <f>+E6</f>
        <v>Mar 1 - Dec 1</v>
      </c>
      <c r="V6" s="225"/>
      <c r="W6" s="225"/>
      <c r="X6" s="225"/>
      <c r="Y6" s="225"/>
      <c r="Z6" s="224"/>
      <c r="AA6" s="224"/>
      <c r="AC6" s="228" t="s">
        <v>310</v>
      </c>
      <c r="AD6" s="121">
        <v>7.6999999999999999E-2</v>
      </c>
      <c r="AE6" s="229">
        <v>6.1769999999999999E-2</v>
      </c>
    </row>
    <row r="7" spans="1:32">
      <c r="E7" s="795" t="s">
        <v>1022</v>
      </c>
      <c r="F7" s="795"/>
      <c r="G7" s="795"/>
      <c r="H7" s="795"/>
      <c r="I7" s="795"/>
      <c r="J7" s="795"/>
      <c r="K7" s="795"/>
      <c r="L7" s="795"/>
      <c r="M7" s="795"/>
      <c r="N7" s="795"/>
      <c r="O7" s="795"/>
      <c r="R7" s="226"/>
      <c r="S7" s="226"/>
      <c r="T7" s="226"/>
      <c r="U7" s="226" t="str">
        <f>+E7</f>
        <v>2016 - 2017</v>
      </c>
      <c r="V7" s="226"/>
      <c r="W7" s="226"/>
      <c r="X7" s="226"/>
      <c r="Y7" s="226"/>
      <c r="AC7" s="230"/>
      <c r="AD7" s="124"/>
      <c r="AE7" s="231"/>
    </row>
    <row r="8" spans="1:32">
      <c r="A8" s="206" t="s">
        <v>213</v>
      </c>
      <c r="E8" s="795" t="s">
        <v>1021</v>
      </c>
      <c r="F8" s="795"/>
      <c r="G8" s="795"/>
      <c r="H8" s="795"/>
      <c r="I8" s="795"/>
      <c r="J8" s="795"/>
      <c r="K8" s="795"/>
      <c r="L8" s="795"/>
      <c r="M8" s="795"/>
      <c r="N8" s="795"/>
      <c r="O8" s="795"/>
      <c r="R8" s="226"/>
      <c r="S8" s="226"/>
      <c r="T8" s="226"/>
      <c r="U8" s="226" t="s">
        <v>1023</v>
      </c>
      <c r="V8" s="226"/>
      <c r="W8" s="226"/>
      <c r="X8" s="226"/>
      <c r="Y8" s="226"/>
      <c r="AD8" s="123"/>
    </row>
    <row r="9" spans="1:32">
      <c r="E9" s="796">
        <v>2016</v>
      </c>
      <c r="F9" s="796"/>
      <c r="G9" s="796"/>
      <c r="H9" s="796"/>
      <c r="I9" s="796"/>
      <c r="J9" s="796"/>
      <c r="K9" s="796"/>
      <c r="L9" s="796"/>
      <c r="M9" s="796"/>
      <c r="N9" s="796"/>
      <c r="O9" s="796"/>
      <c r="R9" s="227"/>
      <c r="S9" s="227"/>
      <c r="T9" s="227"/>
      <c r="U9" s="227">
        <v>2017</v>
      </c>
      <c r="V9" s="227"/>
      <c r="W9" s="227"/>
      <c r="X9" s="227"/>
      <c r="Y9" s="227"/>
      <c r="AA9" s="268" t="s">
        <v>42</v>
      </c>
      <c r="AD9" s="123"/>
    </row>
    <row r="10" spans="1:32">
      <c r="E10" s="102"/>
      <c r="G10" s="102"/>
      <c r="I10" s="102"/>
      <c r="K10" s="102" t="s">
        <v>228</v>
      </c>
      <c r="M10" s="102" t="s">
        <v>189</v>
      </c>
      <c r="O10" s="102" t="s">
        <v>184</v>
      </c>
      <c r="Q10" s="102"/>
      <c r="S10" s="102"/>
      <c r="U10" s="102"/>
      <c r="W10" s="102" t="s">
        <v>189</v>
      </c>
      <c r="Y10" s="102" t="s">
        <v>184</v>
      </c>
      <c r="AD10" s="123"/>
    </row>
    <row r="11" spans="1:32">
      <c r="E11" s="267" t="s">
        <v>157</v>
      </c>
      <c r="F11" s="121"/>
      <c r="G11" s="267" t="s">
        <v>157</v>
      </c>
      <c r="H11" s="121"/>
      <c r="I11" s="267" t="s">
        <v>157</v>
      </c>
      <c r="J11" s="121"/>
      <c r="K11" s="267" t="s">
        <v>158</v>
      </c>
      <c r="L11" s="121"/>
      <c r="M11" s="267" t="s">
        <v>158</v>
      </c>
      <c r="N11" s="121"/>
      <c r="O11" s="267" t="s">
        <v>158</v>
      </c>
      <c r="P11" s="121"/>
      <c r="Q11" s="267" t="s">
        <v>157</v>
      </c>
      <c r="R11" s="121"/>
      <c r="S11" s="267" t="s">
        <v>157</v>
      </c>
      <c r="T11" s="121"/>
      <c r="U11" s="267"/>
      <c r="V11" s="121"/>
      <c r="W11" s="267" t="s">
        <v>158</v>
      </c>
      <c r="X11" s="121"/>
      <c r="Y11" s="267" t="s">
        <v>158</v>
      </c>
      <c r="Z11" s="121"/>
      <c r="AA11" s="121"/>
      <c r="AD11" s="123"/>
    </row>
    <row r="12" spans="1:32">
      <c r="E12" s="268" t="s">
        <v>227</v>
      </c>
      <c r="F12" s="121"/>
      <c r="G12" s="268" t="s">
        <v>190</v>
      </c>
      <c r="H12" s="121"/>
      <c r="I12" s="268" t="s">
        <v>191</v>
      </c>
      <c r="J12" s="121"/>
      <c r="K12" s="268" t="s">
        <v>227</v>
      </c>
      <c r="L12" s="121"/>
      <c r="M12" s="268" t="s">
        <v>190</v>
      </c>
      <c r="N12" s="121"/>
      <c r="O12" s="268" t="s">
        <v>191</v>
      </c>
      <c r="P12" s="121"/>
      <c r="Q12" s="268" t="s">
        <v>190</v>
      </c>
      <c r="R12" s="121"/>
      <c r="S12" s="268" t="s">
        <v>191</v>
      </c>
      <c r="T12" s="121"/>
      <c r="U12" s="268"/>
      <c r="V12" s="121"/>
      <c r="W12" s="268" t="s">
        <v>190</v>
      </c>
      <c r="X12" s="121"/>
      <c r="Y12" s="268" t="s">
        <v>191</v>
      </c>
      <c r="Z12" s="121"/>
      <c r="AA12" s="124"/>
      <c r="AD12" s="123"/>
    </row>
    <row r="13" spans="1:32">
      <c r="A13" s="188" t="s">
        <v>80</v>
      </c>
      <c r="AD13" s="123"/>
    </row>
    <row r="14" spans="1:32">
      <c r="A14" s="101" t="s">
        <v>9</v>
      </c>
      <c r="E14" s="123">
        <v>0</v>
      </c>
      <c r="F14" s="123"/>
      <c r="G14" s="123">
        <v>0</v>
      </c>
      <c r="H14" s="123"/>
      <c r="I14" s="123">
        <v>0</v>
      </c>
      <c r="J14" s="123"/>
      <c r="K14" s="123">
        <f>'Summary info (bonus split)'!B8+'Summary info (bonus split)'!E8+'Summary info (bonus split)'!B10+'Summary info (bonus split)'!E10</f>
        <v>0</v>
      </c>
      <c r="L14" s="123"/>
      <c r="M14" s="123">
        <f>'Summary info (bonus split)'!C8+'Summary info (bonus split)'!C10</f>
        <v>0</v>
      </c>
      <c r="N14" s="123"/>
      <c r="O14" s="123">
        <f>'Summary info (bonus split)'!D8+'Summary info (bonus split)'!D10</f>
        <v>0</v>
      </c>
      <c r="P14" s="123"/>
      <c r="Q14" s="123"/>
      <c r="R14" s="123"/>
      <c r="S14" s="123">
        <v>0</v>
      </c>
      <c r="T14" s="123"/>
      <c r="U14" s="123">
        <f>'Summary info (bonus split)'!F8+'Summary info (bonus split)'!I8+'Summary info (bonus split)'!F10+'Summary info (bonus split)'!I10</f>
        <v>0</v>
      </c>
      <c r="V14" s="123"/>
      <c r="W14" s="123">
        <f>'Summary info (bonus split)'!G8+'Summary info (bonus split)'!G10</f>
        <v>5136929.3699999992</v>
      </c>
      <c r="X14" s="123"/>
      <c r="Y14" s="123">
        <f>'Summary info (bonus split)'!H8+'Summary info (bonus split)'!H10</f>
        <v>0</v>
      </c>
      <c r="Z14" s="123"/>
      <c r="AA14" s="123">
        <f>SUM(G14:Y14)</f>
        <v>5136929.3699999992</v>
      </c>
      <c r="AD14" s="123"/>
      <c r="AE14" s="105">
        <f>+AA14+'Def. Tax - Main Relo'!Y14</f>
        <v>6321523.8899999987</v>
      </c>
      <c r="AF14" s="105"/>
    </row>
    <row r="15" spans="1:32">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D15" s="105"/>
      <c r="AE15" s="232"/>
    </row>
    <row r="16" spans="1:32">
      <c r="A16" s="101" t="s">
        <v>193</v>
      </c>
      <c r="E16" s="104">
        <f>ROUND((E14*0.5),2)</f>
        <v>0</v>
      </c>
      <c r="F16" s="123"/>
      <c r="G16" s="104">
        <f>ROUND((G14*0.5),2)</f>
        <v>0</v>
      </c>
      <c r="H16" s="123"/>
      <c r="I16" s="104">
        <f>ROUND((I14*0),2)</f>
        <v>0</v>
      </c>
      <c r="J16" s="123"/>
      <c r="K16" s="104">
        <f>ROUND((K14*1),2)</f>
        <v>0</v>
      </c>
      <c r="L16" s="123"/>
      <c r="M16" s="104">
        <f>ROUND((M14*0.5),2)</f>
        <v>0</v>
      </c>
      <c r="N16" s="123"/>
      <c r="O16" s="104">
        <f>ROUND((O14*0),2)</f>
        <v>0</v>
      </c>
      <c r="P16" s="123"/>
      <c r="Q16" s="104">
        <f>ROUND((Q14*0.5),2)</f>
        <v>0</v>
      </c>
      <c r="R16" s="123"/>
      <c r="S16" s="104">
        <f>ROUND((S14*0),2)</f>
        <v>0</v>
      </c>
      <c r="T16" s="123"/>
      <c r="U16" s="104">
        <f>ROUND((U14*1),2)</f>
        <v>0</v>
      </c>
      <c r="V16" s="123"/>
      <c r="W16" s="104">
        <f>ROUND((W14*0.5),2)</f>
        <v>2568464.69</v>
      </c>
      <c r="X16" s="123"/>
      <c r="Y16" s="104">
        <f>ROUND((Y14*0),2)</f>
        <v>0</v>
      </c>
      <c r="Z16" s="123"/>
      <c r="AA16" s="104">
        <f>SUM(G16:Y16)</f>
        <v>2568464.69</v>
      </c>
      <c r="AD16" s="123"/>
    </row>
    <row r="17" spans="1:3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D17" s="123"/>
    </row>
    <row r="18" spans="1:33">
      <c r="A18" s="101" t="s">
        <v>72</v>
      </c>
      <c r="E18" s="123">
        <f>+E14-E16</f>
        <v>0</v>
      </c>
      <c r="F18" s="123"/>
      <c r="G18" s="123">
        <f>+G14-G16</f>
        <v>0</v>
      </c>
      <c r="H18" s="123"/>
      <c r="I18" s="123">
        <f>+I14-I16</f>
        <v>0</v>
      </c>
      <c r="J18" s="123"/>
      <c r="K18" s="123">
        <f>+K14-K16</f>
        <v>0</v>
      </c>
      <c r="L18" s="123"/>
      <c r="M18" s="123">
        <f>+M14-M16</f>
        <v>0</v>
      </c>
      <c r="N18" s="123"/>
      <c r="O18" s="123">
        <f>+O14-O16</f>
        <v>0</v>
      </c>
      <c r="P18" s="123"/>
      <c r="Q18" s="123">
        <f>+Q14-Q16</f>
        <v>0</v>
      </c>
      <c r="R18" s="123"/>
      <c r="S18" s="123">
        <f>+S14-S16</f>
        <v>0</v>
      </c>
      <c r="T18" s="123"/>
      <c r="U18" s="123">
        <f>+U14-U16</f>
        <v>0</v>
      </c>
      <c r="V18" s="123"/>
      <c r="W18" s="123">
        <f>+W14-W16</f>
        <v>2568464.6799999992</v>
      </c>
      <c r="X18" s="123"/>
      <c r="Y18" s="123">
        <f>+Y14-Y16</f>
        <v>0</v>
      </c>
      <c r="Z18" s="123"/>
      <c r="AA18" s="123">
        <f>SUM(G18:Y18)</f>
        <v>2568464.6799999992</v>
      </c>
      <c r="AD18" s="123"/>
      <c r="AE18" s="105">
        <f>+AA18+'Def. Tax - Main Relo'!Y18</f>
        <v>3160761.9399999995</v>
      </c>
    </row>
    <row r="19" spans="1:3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D19" s="123"/>
    </row>
    <row r="20" spans="1:33">
      <c r="A20" s="101" t="s">
        <v>195</v>
      </c>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D20" s="123"/>
    </row>
    <row r="21" spans="1:33">
      <c r="A21" s="233" t="s">
        <v>471</v>
      </c>
      <c r="E21" s="123">
        <f>E16*$AB$2</f>
        <v>0</v>
      </c>
      <c r="F21" s="123"/>
      <c r="G21" s="123">
        <f>G16*$AB$2</f>
        <v>0</v>
      </c>
      <c r="H21" s="123"/>
      <c r="I21" s="123">
        <f>+ROUND(I16*($AB$2+$AB$3),2)</f>
        <v>0</v>
      </c>
      <c r="J21" s="123"/>
      <c r="K21" s="123">
        <f>+ROUND(K16*($AB$2),2)</f>
        <v>0</v>
      </c>
      <c r="L21" s="123"/>
      <c r="M21" s="123">
        <f>+ROUND(M16*($AB$2),2)</f>
        <v>0</v>
      </c>
      <c r="N21" s="123"/>
      <c r="O21" s="123">
        <f>+ROUND(O16*($AB$2),2)</f>
        <v>0</v>
      </c>
      <c r="P21" s="123"/>
      <c r="Q21" s="123">
        <v>0</v>
      </c>
      <c r="R21" s="123"/>
      <c r="S21" s="123">
        <v>0</v>
      </c>
      <c r="T21" s="123"/>
      <c r="U21" s="123">
        <v>0</v>
      </c>
      <c r="V21" s="123"/>
      <c r="W21" s="123">
        <v>0</v>
      </c>
      <c r="X21" s="123"/>
      <c r="Y21" s="123">
        <v>0</v>
      </c>
      <c r="Z21" s="123"/>
      <c r="AA21" s="123">
        <f>SUM(G21:Y21)</f>
        <v>0</v>
      </c>
      <c r="AD21" s="123"/>
    </row>
    <row r="22" spans="1:33">
      <c r="A22" s="233" t="s">
        <v>472</v>
      </c>
      <c r="E22" s="123">
        <v>0</v>
      </c>
      <c r="F22" s="123"/>
      <c r="G22" s="123">
        <v>0</v>
      </c>
      <c r="H22" s="123"/>
      <c r="I22" s="123">
        <v>0</v>
      </c>
      <c r="J22" s="123"/>
      <c r="K22" s="123">
        <v>0</v>
      </c>
      <c r="L22" s="123"/>
      <c r="M22" s="123">
        <v>0</v>
      </c>
      <c r="N22" s="123"/>
      <c r="O22" s="123">
        <v>0</v>
      </c>
      <c r="P22" s="123"/>
      <c r="Q22" s="123">
        <f>Q16*$AB$3</f>
        <v>0</v>
      </c>
      <c r="R22" s="123"/>
      <c r="S22" s="123">
        <f>S16*$AB$3</f>
        <v>0</v>
      </c>
      <c r="T22" s="123"/>
      <c r="U22" s="123">
        <f>U16*$AB$2</f>
        <v>0</v>
      </c>
      <c r="V22" s="123"/>
      <c r="W22" s="123">
        <f>W16*$AB$3</f>
        <v>1498271.0691666668</v>
      </c>
      <c r="X22" s="123"/>
      <c r="Y22" s="123">
        <f>Y16*$AB$2</f>
        <v>0</v>
      </c>
      <c r="Z22" s="123"/>
      <c r="AA22" s="123">
        <f>SUM(G22:Y22)</f>
        <v>1498271.0691666668</v>
      </c>
      <c r="AD22" s="123"/>
    </row>
    <row r="23" spans="1:3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D23" s="123"/>
    </row>
    <row r="24" spans="1:33">
      <c r="A24" s="101" t="s">
        <v>73</v>
      </c>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D24" s="123"/>
    </row>
    <row r="25" spans="1:33">
      <c r="A25" s="233" t="s">
        <v>1030</v>
      </c>
      <c r="E25" s="103">
        <f>ROUND((E18*$AD$3)*$AB$2,2)</f>
        <v>0</v>
      </c>
      <c r="F25" s="103"/>
      <c r="G25" s="103">
        <f>ROUND((G18*$AD$3)*$AB$2,2)</f>
        <v>0</v>
      </c>
      <c r="H25" s="103"/>
      <c r="I25" s="103">
        <f>ROUND((I18*$AD$3)*$AB$2,2)</f>
        <v>0</v>
      </c>
      <c r="J25" s="103"/>
      <c r="K25" s="103">
        <f>ROUND((K18*$AE$3)*$AB$2,2)</f>
        <v>0</v>
      </c>
      <c r="L25" s="103"/>
      <c r="M25" s="103">
        <f>ROUND((M$18*$AE3)*$AB2,2)</f>
        <v>0</v>
      </c>
      <c r="N25" s="103"/>
      <c r="O25" s="103">
        <f>ROUND((O$18*$AE3)*$AB2,2)</f>
        <v>0</v>
      </c>
      <c r="P25" s="103"/>
      <c r="Q25" s="103">
        <v>0</v>
      </c>
      <c r="R25" s="103"/>
      <c r="S25" s="103">
        <v>0</v>
      </c>
      <c r="T25" s="103"/>
      <c r="U25" s="103">
        <v>0</v>
      </c>
      <c r="V25" s="103"/>
      <c r="W25" s="103">
        <v>0</v>
      </c>
      <c r="X25" s="103"/>
      <c r="Y25" s="103">
        <v>0</v>
      </c>
      <c r="Z25" s="103"/>
      <c r="AA25" s="103">
        <f>SUM(G25:Y25)</f>
        <v>0</v>
      </c>
      <c r="AD25" s="123"/>
      <c r="AE25" s="105">
        <f>+AA25+'Def. Tax - Main Relo'!Y25</f>
        <v>0</v>
      </c>
      <c r="AG25" s="105">
        <f>+AA25+'Def. Tax - Services'!Y25+'Def. Tax - Reg'!Y28+'Def. Tax - Main Relo'!Y25</f>
        <v>0</v>
      </c>
    </row>
    <row r="26" spans="1:33">
      <c r="A26" s="233" t="s">
        <v>1028</v>
      </c>
      <c r="E26" s="104">
        <f>ROUND((E18*$AD$4)*$AB$3,2)</f>
        <v>0</v>
      </c>
      <c r="F26" s="103"/>
      <c r="G26" s="104">
        <f>ROUND((G18*$AD$4)*$AB$3,2)</f>
        <v>0</v>
      </c>
      <c r="H26" s="103"/>
      <c r="I26" s="104">
        <f>ROUND((I18*$AD$4)*$AB$3,2)</f>
        <v>0</v>
      </c>
      <c r="J26" s="103"/>
      <c r="K26" s="104">
        <f>ROUND((K18*$AE$4)*$AB$3,2)</f>
        <v>0</v>
      </c>
      <c r="L26" s="103"/>
      <c r="M26" s="103">
        <f>ROUND((M$18*$AE4)*$AB3,2)</f>
        <v>0</v>
      </c>
      <c r="N26" s="103"/>
      <c r="O26" s="103">
        <f t="shared" ref="O26" si="0">ROUND((O$18*$AE4)*$AB3,2)</f>
        <v>0</v>
      </c>
      <c r="P26" s="103"/>
      <c r="Q26" s="103">
        <f>ROUND((Q18*$AD$3)*$AB$3,2)</f>
        <v>0</v>
      </c>
      <c r="R26" s="103"/>
      <c r="S26" s="103">
        <f>ROUND((S18*$AD$3)*$AB$3,2)</f>
        <v>0</v>
      </c>
      <c r="T26" s="103"/>
      <c r="U26" s="103">
        <f>ROUND((U18*$AE$3)*$AB$2,2)</f>
        <v>0</v>
      </c>
      <c r="V26" s="103"/>
      <c r="W26" s="103">
        <f>ROUND((W$18*$AE3)*$AB3,2)</f>
        <v>56185.16</v>
      </c>
      <c r="X26" s="103"/>
      <c r="Y26" s="103">
        <f>ROUND((Y$18*$AE3)*$AB3,2)</f>
        <v>0</v>
      </c>
      <c r="Z26" s="103"/>
      <c r="AA26" s="103">
        <f>SUM(G26:Y26)</f>
        <v>56185.16</v>
      </c>
      <c r="AD26" s="123"/>
      <c r="AE26" s="105">
        <f>+AA26+'Def. Tax - Main Relo'!Y26</f>
        <v>69141.66</v>
      </c>
      <c r="AG26" s="105">
        <f>+AA26+'Def. Tax - Services'!Y26+'Def. Tax - Reg'!Y29+'Def. Tax - Main Relo'!Y26</f>
        <v>139157.68</v>
      </c>
    </row>
    <row r="27" spans="1:33">
      <c r="A27" s="241" t="s">
        <v>438</v>
      </c>
      <c r="E27" s="104">
        <f>ROUND((E19*$AD$4)*$AB$3,2)</f>
        <v>0</v>
      </c>
      <c r="F27" s="103"/>
      <c r="G27" s="104">
        <f>ROUND((G19*$AD$4)*$AB$3,2)</f>
        <v>0</v>
      </c>
      <c r="H27" s="103"/>
      <c r="I27" s="104">
        <f>ROUND((I19*$AD$4)*$AB$3,2)</f>
        <v>0</v>
      </c>
      <c r="J27" s="103"/>
      <c r="K27" s="104">
        <f>ROUND((K19*$AE$4)*$AB$3,2)</f>
        <v>0</v>
      </c>
      <c r="L27" s="103"/>
      <c r="M27" s="104">
        <f t="shared" ref="M27" si="1">ROUND((M$18*$AE5)*$AB4,2)</f>
        <v>0</v>
      </c>
      <c r="N27" s="103"/>
      <c r="O27" s="104">
        <f t="shared" ref="O27" si="2">ROUND((O$18*$AE5)*$AB4,2)</f>
        <v>0</v>
      </c>
      <c r="P27" s="103"/>
      <c r="Q27" s="104">
        <f>ROUND((Q19*$AD$3)*$AB$3,2)</f>
        <v>0</v>
      </c>
      <c r="R27" s="103"/>
      <c r="S27" s="104">
        <f>ROUND((S19*$AD$3)*$AB$3,2)</f>
        <v>0</v>
      </c>
      <c r="T27" s="103"/>
      <c r="U27" s="104">
        <f>ROUND((U$18*$AE5)*$AB4,2)</f>
        <v>0</v>
      </c>
      <c r="V27" s="103"/>
      <c r="W27" s="104">
        <f>ROUND((W$18*$AE4)*$AB4,2)</f>
        <v>0</v>
      </c>
      <c r="X27" s="103"/>
      <c r="Y27" s="104">
        <f>ROUND((Y$18*$AE4)*$AB4,2)</f>
        <v>0</v>
      </c>
      <c r="Z27" s="103"/>
      <c r="AA27" s="104">
        <f>SUM(G27:Y27)</f>
        <v>0</v>
      </c>
      <c r="AD27" s="123"/>
    </row>
    <row r="28" spans="1:3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D28" s="123"/>
    </row>
    <row r="29" spans="1:33">
      <c r="A29" s="101" t="s">
        <v>74</v>
      </c>
      <c r="E29" s="123">
        <f>SUM(E21:E28)</f>
        <v>0</v>
      </c>
      <c r="F29" s="123"/>
      <c r="G29" s="123">
        <f>SUM(G21:G28)</f>
        <v>0</v>
      </c>
      <c r="H29" s="123"/>
      <c r="I29" s="123">
        <f>SUM(I21:I28)</f>
        <v>0</v>
      </c>
      <c r="J29" s="123"/>
      <c r="K29" s="123">
        <f>SUM(K21:K28)</f>
        <v>0</v>
      </c>
      <c r="L29" s="123"/>
      <c r="M29" s="123">
        <f>SUM(M21:M28)</f>
        <v>0</v>
      </c>
      <c r="N29" s="123"/>
      <c r="O29" s="123">
        <f>SUM(O21:O28)</f>
        <v>0</v>
      </c>
      <c r="P29" s="123"/>
      <c r="Q29" s="123">
        <f>SUM(Q21:Q28)</f>
        <v>0</v>
      </c>
      <c r="R29" s="123"/>
      <c r="S29" s="123">
        <f>SUM(S21:S28)</f>
        <v>0</v>
      </c>
      <c r="T29" s="123"/>
      <c r="U29" s="123">
        <f>SUM(U21:U28)</f>
        <v>0</v>
      </c>
      <c r="V29" s="123"/>
      <c r="W29" s="123">
        <f>SUM(W21:W28)</f>
        <v>1554456.2291666667</v>
      </c>
      <c r="X29" s="123"/>
      <c r="Y29" s="123">
        <f>SUM(Y21:Y28)</f>
        <v>0</v>
      </c>
      <c r="Z29" s="123"/>
      <c r="AA29" s="123">
        <f>SUM(G29:Y29)</f>
        <v>1554456.2291666667</v>
      </c>
      <c r="AD29" s="123"/>
      <c r="AE29" s="105">
        <f>+AA29+'Def. Tax - Main Relo'!Y29</f>
        <v>1912919.4691666667</v>
      </c>
    </row>
    <row r="30" spans="1:33">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D30" s="123"/>
    </row>
    <row r="31" spans="1:33">
      <c r="A31" s="101" t="s">
        <v>75</v>
      </c>
      <c r="E31" s="123"/>
      <c r="F31" s="123"/>
      <c r="G31" s="123"/>
      <c r="H31" s="123"/>
      <c r="I31" s="123"/>
      <c r="J31" s="123"/>
      <c r="K31" s="123"/>
      <c r="L31" s="123"/>
      <c r="M31" s="123"/>
      <c r="N31" s="123"/>
      <c r="O31" s="123"/>
      <c r="P31" s="123"/>
      <c r="Q31" s="123"/>
      <c r="R31" s="123"/>
      <c r="S31" s="123"/>
      <c r="T31" s="123"/>
      <c r="U31" s="123"/>
      <c r="V31" s="123"/>
      <c r="W31" s="123"/>
      <c r="X31" s="123"/>
      <c r="Y31" s="123"/>
      <c r="Z31" s="123"/>
      <c r="AA31" s="104">
        <f>'Summary info'!K7+'Summary info'!K9</f>
        <v>25374.620000000003</v>
      </c>
      <c r="AC31" s="105">
        <f>+AA31+'Def. Tax - Services'!Y31+'Def. Tax - Reg'!Y33</f>
        <v>105270.06999999998</v>
      </c>
      <c r="AD31" s="123"/>
      <c r="AE31" s="105">
        <f>+AA31+'Def. Tax - Main Relo'!Y31</f>
        <v>30084.690000000002</v>
      </c>
    </row>
    <row r="32" spans="1:3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D32" s="123"/>
    </row>
    <row r="33" spans="1:31">
      <c r="A33" s="101" t="s">
        <v>76</v>
      </c>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D33" s="123"/>
    </row>
    <row r="34" spans="1:31">
      <c r="B34" s="101" t="s">
        <v>77</v>
      </c>
      <c r="E34" s="123"/>
      <c r="F34" s="123"/>
      <c r="G34" s="123"/>
      <c r="H34" s="123"/>
      <c r="I34" s="123"/>
      <c r="J34" s="123"/>
      <c r="K34" s="123"/>
      <c r="L34" s="123"/>
      <c r="M34" s="123"/>
      <c r="N34" s="123"/>
      <c r="O34" s="123"/>
      <c r="P34" s="123"/>
      <c r="Q34" s="123"/>
      <c r="R34" s="123"/>
      <c r="S34" s="123"/>
      <c r="T34" s="123"/>
      <c r="U34" s="123"/>
      <c r="V34" s="123"/>
      <c r="W34" s="123"/>
      <c r="X34" s="123"/>
      <c r="Y34" s="123"/>
      <c r="Z34" s="123"/>
      <c r="AA34" s="104">
        <f>SUM(AA29-AA31)</f>
        <v>1529081.6091666666</v>
      </c>
      <c r="AD34" s="123"/>
      <c r="AE34" s="105">
        <f>+AA34+'Def. Tax - Main Relo'!Y34</f>
        <v>1882834.7791666666</v>
      </c>
    </row>
    <row r="35" spans="1:31">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D35" s="123"/>
    </row>
    <row r="36" spans="1:31" ht="13.5" thickBot="1">
      <c r="A36" s="101" t="s">
        <v>305</v>
      </c>
      <c r="E36" s="123"/>
      <c r="F36" s="123"/>
      <c r="G36" s="123"/>
      <c r="H36" s="123"/>
      <c r="I36" s="123"/>
      <c r="J36" s="123"/>
      <c r="K36" s="123"/>
      <c r="L36" s="123"/>
      <c r="M36" s="123"/>
      <c r="N36" s="123"/>
      <c r="O36" s="123"/>
      <c r="P36" s="123"/>
      <c r="Q36" s="123"/>
      <c r="R36" s="123"/>
      <c r="S36" s="123"/>
      <c r="T36" s="123"/>
      <c r="U36" s="123"/>
      <c r="V36" s="123"/>
      <c r="W36" s="123"/>
      <c r="X36" s="123"/>
      <c r="Y36" s="123"/>
      <c r="Z36" s="123"/>
      <c r="AA36" s="130">
        <f>ROUND((AA34*'Revenue Requirement'!J61),2)</f>
        <v>589113.06999999995</v>
      </c>
      <c r="AE36" s="105">
        <f>+AA36+'Def. Tax - Main Relo'!Y36</f>
        <v>725404.42999999993</v>
      </c>
    </row>
    <row r="37" spans="1:31" ht="13.5" thickTop="1"/>
    <row r="45" spans="1:31">
      <c r="AA45" s="202" t="s">
        <v>140</v>
      </c>
    </row>
    <row r="46" spans="1:31">
      <c r="AA46" s="202" t="str">
        <f>+"Page 9 of "&amp;FIXED('Revenue Requirement'!$S$1,0)</f>
        <v>Page 9 of 15</v>
      </c>
    </row>
  </sheetData>
  <mergeCells count="7">
    <mergeCell ref="E6:O6"/>
    <mergeCell ref="E7:O7"/>
    <mergeCell ref="E8:O8"/>
    <mergeCell ref="E9:O9"/>
    <mergeCell ref="AC1:AE1"/>
    <mergeCell ref="A4:AA4"/>
    <mergeCell ref="A3:AA3"/>
  </mergeCells>
  <phoneticPr fontId="10" type="noConversion"/>
  <printOptions horizontalCentered="1"/>
  <pageMargins left="0.75" right="0.75" top="1" bottom="1" header="0.5" footer="0.5"/>
  <pageSetup scale="82" orientation="landscape" r:id="rId1"/>
  <headerFooter alignWithMargins="0"/>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C46"/>
  <sheetViews>
    <sheetView workbookViewId="0">
      <selection activeCell="U35" sqref="U35"/>
    </sheetView>
  </sheetViews>
  <sheetFormatPr defaultColWidth="9.140625" defaultRowHeight="12.75"/>
  <cols>
    <col min="1" max="2" width="9.140625" style="101"/>
    <col min="3" max="3" width="22" style="101" customWidth="1"/>
    <col min="4" max="4" width="1.28515625" style="101" customWidth="1"/>
    <col min="5" max="5" width="14.28515625" style="101" hidden="1" customWidth="1"/>
    <col min="6" max="6" width="1.28515625" style="101" hidden="1" customWidth="1"/>
    <col min="7" max="7" width="11.28515625" style="101" hidden="1" customWidth="1"/>
    <col min="8" max="8" width="1.28515625" style="101" hidden="1" customWidth="1"/>
    <col min="9" max="9" width="13.140625" style="101" hidden="1" customWidth="1"/>
    <col min="10" max="10" width="1.28515625" style="101" customWidth="1"/>
    <col min="11" max="11" width="14.28515625" style="101" bestFit="1" customWidth="1"/>
    <col min="12" max="12" width="1.28515625" style="101" customWidth="1"/>
    <col min="13" max="13" width="14.85546875" style="101" customWidth="1"/>
    <col min="14" max="14" width="1.28515625" style="101" customWidth="1"/>
    <col min="15" max="15" width="13.140625" style="101" customWidth="1"/>
    <col min="16" max="16" width="1.28515625" style="101" customWidth="1"/>
    <col min="17" max="17" width="11.28515625" style="101" hidden="1" customWidth="1"/>
    <col min="18" max="18" width="1.28515625" style="101" customWidth="1"/>
    <col min="19" max="19" width="13.140625" style="101" bestFit="1" customWidth="1"/>
    <col min="20" max="20" width="1.28515625" style="101" customWidth="1"/>
    <col min="21" max="21" width="15.85546875" style="101" customWidth="1"/>
    <col min="22" max="22" width="1.28515625" style="101" customWidth="1"/>
    <col min="23" max="23" width="14.28515625" style="101" customWidth="1"/>
    <col min="24" max="24" width="1.28515625" style="101" customWidth="1"/>
    <col min="25" max="25" width="14.85546875" style="101" bestFit="1" customWidth="1"/>
    <col min="26" max="26" width="8" style="101" bestFit="1" customWidth="1"/>
    <col min="27" max="27" width="8" style="101" customWidth="1"/>
    <col min="28" max="28" width="6.140625" style="101" bestFit="1" customWidth="1"/>
    <col min="29" max="29" width="8.140625" style="101" bestFit="1" customWidth="1"/>
    <col min="30" max="16384" width="9.140625" style="101"/>
  </cols>
  <sheetData>
    <row r="1" spans="1:29">
      <c r="Z1" s="217" t="s">
        <v>314</v>
      </c>
      <c r="AA1" s="797" t="s">
        <v>306</v>
      </c>
      <c r="AB1" s="798"/>
      <c r="AC1" s="799"/>
    </row>
    <row r="2" spans="1:29">
      <c r="Z2" s="123">
        <f>'Def. Tax - Main Repl'!$AB2</f>
        <v>1</v>
      </c>
      <c r="AA2" s="228"/>
      <c r="AB2" s="219" t="s">
        <v>311</v>
      </c>
      <c r="AC2" s="220" t="s">
        <v>312</v>
      </c>
    </row>
    <row r="3" spans="1:29">
      <c r="A3" s="800" t="s">
        <v>14</v>
      </c>
      <c r="B3" s="800"/>
      <c r="C3" s="800"/>
      <c r="D3" s="800"/>
      <c r="E3" s="800"/>
      <c r="F3" s="800"/>
      <c r="G3" s="800"/>
      <c r="H3" s="800"/>
      <c r="I3" s="800"/>
      <c r="J3" s="800"/>
      <c r="K3" s="800"/>
      <c r="L3" s="800"/>
      <c r="M3" s="800"/>
      <c r="N3" s="800"/>
      <c r="O3" s="800"/>
      <c r="P3" s="800"/>
      <c r="Q3" s="800"/>
      <c r="R3" s="800"/>
      <c r="S3" s="800"/>
      <c r="T3" s="800"/>
      <c r="U3" s="800"/>
      <c r="V3" s="800"/>
      <c r="W3" s="800"/>
      <c r="X3" s="800"/>
      <c r="Y3" s="800"/>
      <c r="Z3" s="123">
        <f>'Def. Tax - Main Repl'!$AB3</f>
        <v>0.58333333333333337</v>
      </c>
      <c r="AA3" s="228" t="s">
        <v>307</v>
      </c>
      <c r="AB3" s="121">
        <f>'Def. Tax - Main Repl'!AD3</f>
        <v>0.05</v>
      </c>
      <c r="AC3" s="229">
        <f>'Def. Tax - Main Repl'!AE3</f>
        <v>3.7499999999999999E-2</v>
      </c>
    </row>
    <row r="4" spans="1:29">
      <c r="A4" s="800" t="s">
        <v>224</v>
      </c>
      <c r="B4" s="800"/>
      <c r="C4" s="800"/>
      <c r="D4" s="800"/>
      <c r="E4" s="800"/>
      <c r="F4" s="800"/>
      <c r="G4" s="800"/>
      <c r="H4" s="800"/>
      <c r="I4" s="800"/>
      <c r="J4" s="800"/>
      <c r="K4" s="800"/>
      <c r="L4" s="800"/>
      <c r="M4" s="800"/>
      <c r="N4" s="800"/>
      <c r="O4" s="800"/>
      <c r="P4" s="800"/>
      <c r="Q4" s="800"/>
      <c r="R4" s="800"/>
      <c r="S4" s="800"/>
      <c r="T4" s="800"/>
      <c r="U4" s="800"/>
      <c r="V4" s="800"/>
      <c r="W4" s="800"/>
      <c r="X4" s="800"/>
      <c r="Y4" s="800"/>
      <c r="Z4" s="123">
        <f>'Def. Tax - Main Repl'!$AB4</f>
        <v>0</v>
      </c>
      <c r="AA4" s="228" t="s">
        <v>308</v>
      </c>
      <c r="AB4" s="121">
        <f>'Def. Tax - Main Repl'!AD4</f>
        <v>9.5000000000000001E-2</v>
      </c>
      <c r="AC4" s="229">
        <f>'Def. Tax - Main Repl'!AE4</f>
        <v>7.2190000000000004E-2</v>
      </c>
    </row>
    <row r="5" spans="1:29">
      <c r="A5" s="221"/>
      <c r="B5" s="222"/>
      <c r="C5" s="222"/>
      <c r="D5" s="222"/>
      <c r="E5" s="222"/>
      <c r="F5" s="224"/>
      <c r="G5" s="222"/>
      <c r="H5" s="224"/>
      <c r="I5" s="223"/>
      <c r="J5" s="223"/>
      <c r="K5" s="223"/>
      <c r="L5" s="223"/>
      <c r="M5" s="223"/>
      <c r="N5" s="222"/>
      <c r="O5" s="222"/>
      <c r="P5" s="224"/>
      <c r="Q5" s="222"/>
      <c r="R5" s="224"/>
      <c r="S5" s="223"/>
      <c r="T5" s="223"/>
      <c r="U5" s="223"/>
      <c r="V5" s="223"/>
      <c r="W5" s="223"/>
      <c r="X5" s="222"/>
      <c r="Y5" s="224"/>
      <c r="Z5" s="123">
        <f>'Def. Tax - Main Repl'!$AB5</f>
        <v>0</v>
      </c>
      <c r="AA5" s="228" t="s">
        <v>309</v>
      </c>
      <c r="AB5" s="121">
        <f>'Def. Tax - Main Repl'!AD5</f>
        <v>8.5500000000000007E-2</v>
      </c>
      <c r="AC5" s="229">
        <f>'Def. Tax - Main Repl'!AE5</f>
        <v>6.6769999999999996E-2</v>
      </c>
    </row>
    <row r="6" spans="1:29">
      <c r="A6" s="206" t="str">
        <f>'Def. Tax - Main Repl'!A6</f>
        <v>Depreciation for the period</v>
      </c>
      <c r="B6" s="222"/>
      <c r="C6" s="222"/>
      <c r="D6" s="222"/>
      <c r="F6" s="226"/>
      <c r="G6" s="226"/>
      <c r="H6" s="226"/>
      <c r="I6" s="226" t="str">
        <f>+'Def. Tax - Main Repl'!E$6</f>
        <v>Mar 1 - Dec 1</v>
      </c>
      <c r="J6" s="226"/>
      <c r="K6" s="226" t="str">
        <f>+'Def. Tax - Main Repl'!E6</f>
        <v>Mar 1 - Dec 1</v>
      </c>
      <c r="L6" s="226"/>
      <c r="M6" s="226"/>
      <c r="N6" s="224"/>
      <c r="P6" s="226"/>
      <c r="Q6" s="226"/>
      <c r="R6" s="226"/>
      <c r="S6" s="226" t="str">
        <f>+'Def. Tax - Main Repl'!U$6</f>
        <v>Mar 1 - Dec 1</v>
      </c>
      <c r="T6" s="226"/>
      <c r="U6" s="226"/>
      <c r="V6" s="226"/>
      <c r="W6" s="226"/>
      <c r="X6" s="224"/>
      <c r="Y6" s="224"/>
      <c r="AA6" s="228" t="s">
        <v>310</v>
      </c>
      <c r="AB6" s="121">
        <f>'Def. Tax - Main Repl'!AD6</f>
        <v>7.6999999999999999E-2</v>
      </c>
      <c r="AC6" s="229">
        <f>'Def. Tax - Main Repl'!AE6</f>
        <v>6.1769999999999999E-2</v>
      </c>
    </row>
    <row r="7" spans="1:29">
      <c r="A7" s="206"/>
      <c r="B7" s="222"/>
      <c r="C7" s="222"/>
      <c r="D7" s="222"/>
      <c r="F7" s="226"/>
      <c r="G7" s="226"/>
      <c r="H7" s="226"/>
      <c r="I7" s="226" t="str">
        <f>+'Def. Tax - Main Repl'!E$7</f>
        <v>2016 - 2017</v>
      </c>
      <c r="J7" s="226"/>
      <c r="K7" s="226" t="str">
        <f>+'Def. Tax - Main Repl'!E7</f>
        <v>2016 - 2017</v>
      </c>
      <c r="L7" s="226"/>
      <c r="M7" s="226"/>
      <c r="N7" s="224"/>
      <c r="P7" s="226"/>
      <c r="Q7" s="226"/>
      <c r="R7" s="226"/>
      <c r="S7" s="226" t="str">
        <f>+'Def. Tax - Main Repl'!U$7</f>
        <v>2016 - 2017</v>
      </c>
      <c r="T7" s="226"/>
      <c r="U7" s="226"/>
      <c r="V7" s="226"/>
      <c r="W7" s="226"/>
      <c r="X7" s="224"/>
      <c r="Y7" s="224"/>
      <c r="AA7" s="230"/>
      <c r="AB7" s="124"/>
      <c r="AC7" s="231"/>
    </row>
    <row r="8" spans="1:29">
      <c r="A8" s="206" t="str">
        <f>'Def. Tax - Main Repl'!A8</f>
        <v>for Plant in Service</v>
      </c>
      <c r="B8" s="222"/>
      <c r="C8" s="222"/>
      <c r="D8" s="222"/>
      <c r="F8" s="226"/>
      <c r="G8" s="226"/>
      <c r="H8" s="226"/>
      <c r="I8" s="226" t="str">
        <f>+'Def. Tax - Main Repl'!E$8</f>
        <v>Mar - Sep</v>
      </c>
      <c r="J8" s="226"/>
      <c r="K8" s="226" t="str">
        <f>+'Def. Tax - Main Repl'!E8</f>
        <v>Mar - Sep</v>
      </c>
      <c r="L8" s="226"/>
      <c r="M8" s="226"/>
      <c r="P8" s="226"/>
      <c r="Q8" s="226"/>
      <c r="R8" s="226"/>
      <c r="S8" s="226" t="str">
        <f>+'Def. Tax - Main Repl'!U$8</f>
        <v>Oct</v>
      </c>
      <c r="T8" s="226"/>
      <c r="U8" s="226"/>
      <c r="V8" s="226"/>
      <c r="W8" s="226"/>
    </row>
    <row r="9" spans="1:29">
      <c r="D9" s="121"/>
      <c r="F9" s="227"/>
      <c r="G9" s="227"/>
      <c r="H9" s="227"/>
      <c r="I9" s="227">
        <f>'Def. Tax - Main Repl'!E$9</f>
        <v>2016</v>
      </c>
      <c r="J9" s="227"/>
      <c r="K9" s="226">
        <f>+'Def. Tax - Main Repl'!E9</f>
        <v>2016</v>
      </c>
      <c r="L9" s="227"/>
      <c r="M9" s="227"/>
      <c r="P9" s="227"/>
      <c r="Q9" s="227"/>
      <c r="R9" s="227"/>
      <c r="S9" s="227">
        <f>'Def. Tax - Main Repl'!U$9</f>
        <v>2017</v>
      </c>
      <c r="T9" s="227"/>
      <c r="U9" s="227"/>
      <c r="V9" s="227"/>
      <c r="W9" s="227"/>
      <c r="Y9" s="268" t="s">
        <v>42</v>
      </c>
    </row>
    <row r="10" spans="1:29">
      <c r="D10" s="121"/>
      <c r="E10" s="102"/>
      <c r="G10" s="102"/>
      <c r="I10" s="102" t="s">
        <v>228</v>
      </c>
      <c r="K10" s="102" t="s">
        <v>189</v>
      </c>
      <c r="M10" s="102" t="s">
        <v>184</v>
      </c>
      <c r="O10" s="102"/>
      <c r="Q10" s="102"/>
      <c r="S10" s="102"/>
      <c r="U10" s="102" t="str">
        <f>'Def. Tax - Main Repl'!W10</f>
        <v>B</v>
      </c>
      <c r="W10" s="102" t="str">
        <f>'Def. Tax - Main Repl'!Y10</f>
        <v>C</v>
      </c>
      <c r="AB10" s="123"/>
    </row>
    <row r="11" spans="1:29">
      <c r="D11" s="121"/>
      <c r="E11" s="267" t="s">
        <v>157</v>
      </c>
      <c r="F11" s="121"/>
      <c r="G11" s="267" t="s">
        <v>157</v>
      </c>
      <c r="H11" s="121"/>
      <c r="I11" s="267" t="s">
        <v>158</v>
      </c>
      <c r="J11" s="121"/>
      <c r="K11" s="267" t="s">
        <v>158</v>
      </c>
      <c r="L11" s="121"/>
      <c r="M11" s="267" t="s">
        <v>158</v>
      </c>
      <c r="N11" s="121"/>
      <c r="O11" s="267" t="s">
        <v>157</v>
      </c>
      <c r="P11" s="121"/>
      <c r="Q11" s="267" t="s">
        <v>157</v>
      </c>
      <c r="R11" s="121"/>
      <c r="S11" s="102"/>
      <c r="T11" s="121"/>
      <c r="U11" s="267" t="s">
        <v>158</v>
      </c>
      <c r="V11" s="121"/>
      <c r="W11" s="267" t="s">
        <v>158</v>
      </c>
      <c r="X11" s="121"/>
      <c r="Y11" s="121"/>
      <c r="AB11" s="123"/>
    </row>
    <row r="12" spans="1:29">
      <c r="D12" s="121"/>
      <c r="E12" s="268" t="s">
        <v>190</v>
      </c>
      <c r="F12" s="121"/>
      <c r="G12" s="268" t="s">
        <v>191</v>
      </c>
      <c r="H12" s="121"/>
      <c r="I12" s="268" t="s">
        <v>227</v>
      </c>
      <c r="J12" s="121"/>
      <c r="K12" s="268" t="s">
        <v>190</v>
      </c>
      <c r="L12" s="121"/>
      <c r="M12" s="268" t="s">
        <v>191</v>
      </c>
      <c r="N12" s="121"/>
      <c r="O12" s="268" t="s">
        <v>190</v>
      </c>
      <c r="P12" s="121"/>
      <c r="Q12" s="268" t="s">
        <v>191</v>
      </c>
      <c r="R12" s="121"/>
      <c r="S12" s="268"/>
      <c r="T12" s="121"/>
      <c r="U12" s="268" t="s">
        <v>190</v>
      </c>
      <c r="V12" s="121"/>
      <c r="W12" s="268" t="s">
        <v>191</v>
      </c>
      <c r="X12" s="121"/>
      <c r="Y12" s="124"/>
      <c r="AB12" s="123"/>
    </row>
    <row r="13" spans="1:29">
      <c r="A13" s="188" t="s">
        <v>0</v>
      </c>
      <c r="D13" s="121"/>
      <c r="F13" s="121"/>
      <c r="H13" s="121"/>
      <c r="J13" s="121"/>
      <c r="L13" s="121"/>
      <c r="N13" s="121"/>
      <c r="P13" s="121"/>
      <c r="R13" s="121"/>
      <c r="T13" s="121"/>
      <c r="V13" s="121"/>
      <c r="X13" s="121"/>
      <c r="AB13" s="123"/>
    </row>
    <row r="14" spans="1:29">
      <c r="A14" s="101" t="s">
        <v>9</v>
      </c>
      <c r="D14" s="121"/>
      <c r="E14" s="123"/>
      <c r="F14" s="123"/>
      <c r="G14" s="123">
        <v>0</v>
      </c>
      <c r="H14" s="123"/>
      <c r="I14" s="123">
        <f>'Summary info (bonus split)'!B9+'Summary info (bonus split)'!E9</f>
        <v>0</v>
      </c>
      <c r="J14" s="123"/>
      <c r="K14" s="123">
        <f>'Summary info (bonus split)'!C9</f>
        <v>0</v>
      </c>
      <c r="L14" s="123"/>
      <c r="M14" s="123">
        <f>'Summary info (bonus split)'!D9</f>
        <v>0</v>
      </c>
      <c r="N14" s="123"/>
      <c r="O14" s="123"/>
      <c r="P14" s="123"/>
      <c r="Q14" s="123">
        <v>0</v>
      </c>
      <c r="R14" s="123"/>
      <c r="S14" s="123">
        <f>'Summary info (bonus split)'!F9+'Summary info (bonus split)'!I9</f>
        <v>0</v>
      </c>
      <c r="T14" s="123"/>
      <c r="U14" s="123">
        <f>'Summary info (bonus split)'!G9</f>
        <v>6401464.4799999986</v>
      </c>
      <c r="V14" s="123"/>
      <c r="W14" s="123">
        <f>'Summary info (bonus split)'!H9</f>
        <v>0</v>
      </c>
      <c r="X14" s="103"/>
      <c r="Y14" s="123">
        <f>SUM(E14:W14)</f>
        <v>6401464.4799999986</v>
      </c>
      <c r="AB14" s="123"/>
    </row>
    <row r="15" spans="1:29">
      <c r="A15" s="188"/>
      <c r="D15" s="121"/>
      <c r="E15" s="123"/>
      <c r="F15" s="103"/>
      <c r="G15" s="123"/>
      <c r="H15" s="103"/>
      <c r="I15" s="123"/>
      <c r="J15" s="103"/>
      <c r="K15" s="123"/>
      <c r="L15" s="103"/>
      <c r="M15" s="123"/>
      <c r="N15" s="103"/>
      <c r="O15" s="123"/>
      <c r="P15" s="103"/>
      <c r="Q15" s="123"/>
      <c r="R15" s="103"/>
      <c r="S15" s="123"/>
      <c r="T15" s="103"/>
      <c r="U15" s="123"/>
      <c r="V15" s="103"/>
      <c r="W15" s="123"/>
      <c r="X15" s="103"/>
      <c r="Y15" s="123"/>
      <c r="AB15" s="123"/>
    </row>
    <row r="16" spans="1:29">
      <c r="A16" s="101" t="s">
        <v>193</v>
      </c>
      <c r="D16" s="121"/>
      <c r="E16" s="104">
        <f>ROUND((E14*0.5),2)</f>
        <v>0</v>
      </c>
      <c r="F16" s="123"/>
      <c r="G16" s="104">
        <f>ROUND((G14*0),2)</f>
        <v>0</v>
      </c>
      <c r="H16" s="123"/>
      <c r="I16" s="104">
        <f>ROUND((I14*1),2)</f>
        <v>0</v>
      </c>
      <c r="J16" s="123"/>
      <c r="K16" s="104">
        <f>ROUND((K14*0.5),2)</f>
        <v>0</v>
      </c>
      <c r="L16" s="123"/>
      <c r="M16" s="104">
        <f>ROUND((M14*0),2)</f>
        <v>0</v>
      </c>
      <c r="N16" s="123"/>
      <c r="O16" s="104">
        <f>ROUND((O14*0.5),2)</f>
        <v>0</v>
      </c>
      <c r="P16" s="123"/>
      <c r="Q16" s="104">
        <f>ROUND((Q14*0),2)</f>
        <v>0</v>
      </c>
      <c r="R16" s="123"/>
      <c r="S16" s="104">
        <f>ROUND((S14*1),2)</f>
        <v>0</v>
      </c>
      <c r="T16" s="123"/>
      <c r="U16" s="104">
        <f>ROUND((U14*0.5),2)</f>
        <v>3200732.24</v>
      </c>
      <c r="V16" s="123"/>
      <c r="W16" s="104">
        <f>ROUND((W14*0),2)</f>
        <v>0</v>
      </c>
      <c r="X16" s="123"/>
      <c r="Y16" s="104">
        <f>SUM(E16:W16)</f>
        <v>3200732.24</v>
      </c>
      <c r="AB16" s="123"/>
    </row>
    <row r="17" spans="1:28">
      <c r="A17" s="188"/>
      <c r="D17" s="121"/>
      <c r="E17" s="123"/>
      <c r="F17" s="123"/>
      <c r="G17" s="123"/>
      <c r="H17" s="123"/>
      <c r="I17" s="123"/>
      <c r="J17" s="123"/>
      <c r="K17" s="123"/>
      <c r="L17" s="123"/>
      <c r="M17" s="123"/>
      <c r="N17" s="123"/>
      <c r="O17" s="123"/>
      <c r="P17" s="123"/>
      <c r="Q17" s="123"/>
      <c r="R17" s="123"/>
      <c r="S17" s="123"/>
      <c r="T17" s="123"/>
      <c r="U17" s="123"/>
      <c r="V17" s="123"/>
      <c r="W17" s="123"/>
      <c r="X17" s="123"/>
      <c r="Y17" s="123"/>
      <c r="AB17" s="123"/>
    </row>
    <row r="18" spans="1:28">
      <c r="A18" s="101" t="s">
        <v>72</v>
      </c>
      <c r="D18" s="234"/>
      <c r="E18" s="123">
        <f>+E14-E16</f>
        <v>0</v>
      </c>
      <c r="F18" s="123"/>
      <c r="G18" s="123">
        <f>+G14-G16</f>
        <v>0</v>
      </c>
      <c r="H18" s="123"/>
      <c r="I18" s="123">
        <f>+I14-I16</f>
        <v>0</v>
      </c>
      <c r="J18" s="123"/>
      <c r="K18" s="123">
        <f>+K14-K16</f>
        <v>0</v>
      </c>
      <c r="L18" s="123"/>
      <c r="M18" s="123">
        <f>+M14-M16</f>
        <v>0</v>
      </c>
      <c r="N18" s="123"/>
      <c r="O18" s="123">
        <f>+O14-O16</f>
        <v>0</v>
      </c>
      <c r="P18" s="123"/>
      <c r="Q18" s="123">
        <f>+Q14-Q16</f>
        <v>0</v>
      </c>
      <c r="R18" s="123"/>
      <c r="S18" s="123">
        <f>+S14-S16</f>
        <v>0</v>
      </c>
      <c r="T18" s="123"/>
      <c r="U18" s="123">
        <f>+U14-U16</f>
        <v>3200732.2399999984</v>
      </c>
      <c r="V18" s="123"/>
      <c r="W18" s="123">
        <f>+W14-W16</f>
        <v>0</v>
      </c>
      <c r="X18" s="123"/>
      <c r="Y18" s="123">
        <f>SUM(E18:W18)</f>
        <v>3200732.2399999984</v>
      </c>
      <c r="AB18" s="123"/>
    </row>
    <row r="19" spans="1:28">
      <c r="D19" s="234"/>
      <c r="E19" s="123"/>
      <c r="F19" s="123"/>
      <c r="G19" s="123"/>
      <c r="H19" s="123"/>
      <c r="I19" s="123"/>
      <c r="J19" s="123"/>
      <c r="K19" s="123"/>
      <c r="L19" s="123"/>
      <c r="M19" s="123"/>
      <c r="N19" s="123"/>
      <c r="O19" s="123"/>
      <c r="P19" s="123"/>
      <c r="Q19" s="123"/>
      <c r="R19" s="123"/>
      <c r="S19" s="123"/>
      <c r="T19" s="123"/>
      <c r="U19" s="123"/>
      <c r="V19" s="123"/>
      <c r="W19" s="123"/>
      <c r="X19" s="123"/>
      <c r="Y19" s="123"/>
      <c r="AB19" s="123"/>
    </row>
    <row r="20" spans="1:28">
      <c r="A20" s="101" t="s">
        <v>194</v>
      </c>
      <c r="D20" s="234"/>
      <c r="E20" s="123"/>
      <c r="F20" s="123"/>
      <c r="G20" s="123"/>
      <c r="H20" s="123"/>
      <c r="I20" s="123"/>
      <c r="J20" s="123"/>
      <c r="K20" s="123"/>
      <c r="L20" s="123"/>
      <c r="M20" s="123"/>
      <c r="N20" s="123"/>
      <c r="O20" s="123"/>
      <c r="P20" s="123"/>
      <c r="Q20" s="123"/>
      <c r="R20" s="123"/>
      <c r="S20" s="123"/>
      <c r="T20" s="123"/>
      <c r="U20" s="123"/>
      <c r="V20" s="123"/>
      <c r="W20" s="123"/>
      <c r="X20" s="123"/>
      <c r="Y20" s="123"/>
      <c r="AB20" s="123"/>
    </row>
    <row r="21" spans="1:28">
      <c r="A21" s="233" t="str">
        <f>'Def. Tax - Main Repl'!$A$21</f>
        <v>Sept 1 - Sept 30, 2014</v>
      </c>
      <c r="D21" s="234"/>
      <c r="E21" s="123">
        <f>+ROUND(E16*$Z$2,2)</f>
        <v>0</v>
      </c>
      <c r="F21" s="123"/>
      <c r="G21" s="123">
        <f>+ROUND(G16*$Z$2,2)</f>
        <v>0</v>
      </c>
      <c r="H21" s="123"/>
      <c r="I21" s="123">
        <f>+ROUND(I16*$Z$2,2)</f>
        <v>0</v>
      </c>
      <c r="J21" s="123"/>
      <c r="K21" s="123">
        <f>+ROUND(K16*$Z$2,2)</f>
        <v>0</v>
      </c>
      <c r="L21" s="123"/>
      <c r="M21" s="123">
        <f>+ROUND(M16*$Z$2,2)</f>
        <v>0</v>
      </c>
      <c r="N21" s="123"/>
      <c r="O21" s="123">
        <v>0</v>
      </c>
      <c r="P21" s="123"/>
      <c r="Q21" s="123">
        <v>0</v>
      </c>
      <c r="R21" s="123"/>
      <c r="S21" s="123">
        <v>0</v>
      </c>
      <c r="T21" s="123"/>
      <c r="U21" s="123">
        <v>0</v>
      </c>
      <c r="V21" s="123"/>
      <c r="W21" s="123">
        <v>0</v>
      </c>
      <c r="X21" s="123"/>
      <c r="Y21" s="123">
        <f>SUM(E21:W21)</f>
        <v>0</v>
      </c>
      <c r="AB21" s="123"/>
    </row>
    <row r="22" spans="1:28">
      <c r="A22" s="233" t="str">
        <f>'Def. Tax - Main Repl'!$A$22</f>
        <v>Oct 1, 2014 - Feb 28, 2015</v>
      </c>
      <c r="D22" s="234"/>
      <c r="E22" s="123">
        <v>0</v>
      </c>
      <c r="F22" s="123"/>
      <c r="G22" s="123">
        <v>0</v>
      </c>
      <c r="H22" s="123"/>
      <c r="I22" s="123">
        <v>0</v>
      </c>
      <c r="J22" s="123"/>
      <c r="K22" s="123">
        <v>0</v>
      </c>
      <c r="L22" s="123"/>
      <c r="M22" s="123">
        <v>0</v>
      </c>
      <c r="N22" s="123"/>
      <c r="O22" s="123">
        <f>+ROUND(O16*($Z$3),2)</f>
        <v>0</v>
      </c>
      <c r="P22" s="123"/>
      <c r="Q22" s="123">
        <f>+ROUND(Q16*($Z$3),2)</f>
        <v>0</v>
      </c>
      <c r="R22" s="123"/>
      <c r="S22" s="123">
        <f>+ROUND(S16*($Z$2),2)</f>
        <v>0</v>
      </c>
      <c r="T22" s="123"/>
      <c r="U22" s="123">
        <f>+ROUND(U16*($Z$3),2)</f>
        <v>1867093.81</v>
      </c>
      <c r="V22" s="123"/>
      <c r="W22" s="123">
        <f>+ROUND(W16*($Z$2),2)</f>
        <v>0</v>
      </c>
      <c r="X22" s="123"/>
      <c r="Y22" s="123">
        <f>SUM(E22:W22)</f>
        <v>1867093.81</v>
      </c>
      <c r="AB22" s="123"/>
    </row>
    <row r="23" spans="1:28">
      <c r="D23" s="234"/>
      <c r="E23" s="123"/>
      <c r="F23" s="123"/>
      <c r="G23" s="123"/>
      <c r="H23" s="123"/>
      <c r="I23" s="123"/>
      <c r="J23" s="123"/>
      <c r="K23" s="123"/>
      <c r="L23" s="123"/>
      <c r="M23" s="123"/>
      <c r="N23" s="123"/>
      <c r="O23" s="123"/>
      <c r="P23" s="123"/>
      <c r="Q23" s="123"/>
      <c r="R23" s="123"/>
      <c r="S23" s="123"/>
      <c r="T23" s="123"/>
      <c r="U23" s="123"/>
      <c r="V23" s="123"/>
      <c r="W23" s="123"/>
      <c r="X23" s="123"/>
      <c r="Y23" s="123"/>
      <c r="AB23" s="123"/>
    </row>
    <row r="24" spans="1:28">
      <c r="A24" s="101" t="s">
        <v>73</v>
      </c>
      <c r="D24" s="234"/>
      <c r="E24" s="123"/>
      <c r="F24" s="123"/>
      <c r="G24" s="123"/>
      <c r="H24" s="123"/>
      <c r="I24" s="123"/>
      <c r="J24" s="123"/>
      <c r="K24" s="123"/>
      <c r="L24" s="123"/>
      <c r="M24" s="123"/>
      <c r="N24" s="123"/>
      <c r="O24" s="123"/>
      <c r="P24" s="123"/>
      <c r="Q24" s="123"/>
      <c r="R24" s="123"/>
      <c r="S24" s="123"/>
      <c r="T24" s="123"/>
      <c r="U24" s="123"/>
      <c r="V24" s="123"/>
      <c r="W24" s="123"/>
      <c r="X24" s="123"/>
      <c r="Y24" s="123"/>
      <c r="AB24" s="123"/>
    </row>
    <row r="25" spans="1:28">
      <c r="A25" s="233" t="str">
        <f>'Def. Tax - Main Repl'!A25</f>
        <v>Fiscal Year 2016 (Oct 1 - Sep 30)</v>
      </c>
      <c r="D25" s="234"/>
      <c r="E25" s="103">
        <f>ROUND((E18*$AB$3)*$Z$2,2)</f>
        <v>0</v>
      </c>
      <c r="F25" s="103"/>
      <c r="G25" s="103">
        <f>ROUND((G18*$AB$3)*$Z$2,2)</f>
        <v>0</v>
      </c>
      <c r="H25" s="103"/>
      <c r="I25" s="103">
        <f>ROUND((I$18*$AC3)*$Z2,2)</f>
        <v>0</v>
      </c>
      <c r="J25" s="103"/>
      <c r="K25" s="103">
        <f>ROUND((K$18*$AC3)*$Z2,2)</f>
        <v>0</v>
      </c>
      <c r="L25" s="103"/>
      <c r="M25" s="103">
        <f>ROUND((M$18*$AC3)*$Z2,2)</f>
        <v>0</v>
      </c>
      <c r="N25" s="103"/>
      <c r="O25" s="103">
        <f>ROUND((O$18*$AC3)*$Z2,2)</f>
        <v>0</v>
      </c>
      <c r="P25" s="103"/>
      <c r="Q25" s="103">
        <v>0</v>
      </c>
      <c r="R25" s="103"/>
      <c r="S25" s="103">
        <v>0</v>
      </c>
      <c r="T25" s="103"/>
      <c r="U25" s="103">
        <v>0</v>
      </c>
      <c r="V25" s="103"/>
      <c r="W25" s="103">
        <v>0</v>
      </c>
      <c r="X25" s="103"/>
      <c r="Y25" s="103">
        <f>SUM(E25:W25)</f>
        <v>0</v>
      </c>
      <c r="AB25" s="123"/>
    </row>
    <row r="26" spans="1:28">
      <c r="A26" s="233" t="str">
        <f>'Def. Tax - Main Repl'!A26</f>
        <v>Fiscal Year 2017 (Oct 1 - Nov 30)</v>
      </c>
      <c r="D26" s="234"/>
      <c r="E26" s="104">
        <f>ROUND((E18*$AB$4)*$Z$3,2)</f>
        <v>0</v>
      </c>
      <c r="F26" s="103"/>
      <c r="G26" s="104">
        <f>ROUND((G18*$AB$4)*$Z$3,2)</f>
        <v>0</v>
      </c>
      <c r="H26" s="103"/>
      <c r="I26" s="103">
        <f t="shared" ref="I26:I27" si="0">ROUND((I$18*$AC4)*$Z3,2)</f>
        <v>0</v>
      </c>
      <c r="J26" s="103"/>
      <c r="K26" s="103">
        <f>ROUND((K$18*$AC4)*$Z3,2)</f>
        <v>0</v>
      </c>
      <c r="L26" s="103"/>
      <c r="M26" s="103">
        <f>ROUND((M$18*$AC4)*$Z3,2)</f>
        <v>0</v>
      </c>
      <c r="N26" s="103"/>
      <c r="O26" s="103">
        <f t="shared" ref="O26" si="1">ROUND((O$18*$AC4)*$Z3,2)</f>
        <v>0</v>
      </c>
      <c r="P26" s="103"/>
      <c r="Q26" s="104">
        <f>ROUND((Q18*$AB$3)*$Z$3,2)</f>
        <v>0</v>
      </c>
      <c r="R26" s="103"/>
      <c r="S26" s="103">
        <f>ROUND((S$18*$AC3)*$Z3,2)</f>
        <v>0</v>
      </c>
      <c r="T26" s="103"/>
      <c r="U26" s="103">
        <f>ROUND((U$18*$AC3)*$Z3,2)</f>
        <v>70016.02</v>
      </c>
      <c r="V26" s="103"/>
      <c r="W26" s="103">
        <f>ROUND((W$18*$AC3)*$Z3,2)</f>
        <v>0</v>
      </c>
      <c r="X26" s="103"/>
      <c r="Y26" s="103">
        <f>SUM(E26:W26)</f>
        <v>70016.02</v>
      </c>
      <c r="AB26" s="123"/>
    </row>
    <row r="27" spans="1:28">
      <c r="A27" s="233" t="str">
        <f>'Def. Tax - Main Repl'!A27</f>
        <v/>
      </c>
      <c r="D27" s="234"/>
      <c r="E27" s="103"/>
      <c r="F27" s="103"/>
      <c r="G27" s="103"/>
      <c r="H27" s="103"/>
      <c r="I27" s="104">
        <f t="shared" si="0"/>
        <v>0</v>
      </c>
      <c r="J27" s="103"/>
      <c r="K27" s="104">
        <f>ROUND((K$18*$AC5)*$Z4,2)</f>
        <v>0</v>
      </c>
      <c r="L27" s="103"/>
      <c r="M27" s="104">
        <f>ROUND((M$18*$AC5)*$Z4,2)</f>
        <v>0</v>
      </c>
      <c r="N27" s="103"/>
      <c r="O27" s="104">
        <f>ROUND((O$18*$AC5)*$Z4,2)</f>
        <v>0</v>
      </c>
      <c r="P27" s="103"/>
      <c r="Q27" s="103"/>
      <c r="R27" s="103"/>
      <c r="S27" s="104">
        <f>ROUND((S$18*$AC5)*$Z4,2)</f>
        <v>0</v>
      </c>
      <c r="T27" s="103"/>
      <c r="U27" s="104">
        <f>ROUND((U$18*$AC4)*$Z4,2)</f>
        <v>0</v>
      </c>
      <c r="V27" s="103"/>
      <c r="W27" s="104">
        <f>ROUND((W$18*$AC4)*$Z4,2)</f>
        <v>0</v>
      </c>
      <c r="X27" s="103"/>
      <c r="Y27" s="104">
        <f>SUM(E27:W27)</f>
        <v>0</v>
      </c>
      <c r="AB27" s="123"/>
    </row>
    <row r="28" spans="1:28">
      <c r="D28" s="234"/>
      <c r="E28" s="123"/>
      <c r="F28" s="123"/>
      <c r="G28" s="123"/>
      <c r="H28" s="123"/>
      <c r="I28" s="123"/>
      <c r="J28" s="123"/>
      <c r="K28" s="123"/>
      <c r="L28" s="123"/>
      <c r="M28" s="123"/>
      <c r="N28" s="123"/>
      <c r="O28" s="123"/>
      <c r="P28" s="123"/>
      <c r="Q28" s="123"/>
      <c r="R28" s="123"/>
      <c r="S28" s="123"/>
      <c r="T28" s="123"/>
      <c r="U28" s="123"/>
      <c r="V28" s="123"/>
      <c r="W28" s="123"/>
      <c r="X28" s="123"/>
      <c r="Y28" s="123"/>
      <c r="AB28" s="123"/>
    </row>
    <row r="29" spans="1:28">
      <c r="A29" s="101" t="s">
        <v>74</v>
      </c>
      <c r="D29" s="234"/>
      <c r="E29" s="123">
        <f>SUM(E21:E28)</f>
        <v>0</v>
      </c>
      <c r="F29" s="123"/>
      <c r="G29" s="123">
        <f>SUM(G21:G28)</f>
        <v>0</v>
      </c>
      <c r="H29" s="123"/>
      <c r="I29" s="123">
        <f>SUM(I21:I28)</f>
        <v>0</v>
      </c>
      <c r="J29" s="123"/>
      <c r="K29" s="123">
        <f>SUM(K21:K28)</f>
        <v>0</v>
      </c>
      <c r="L29" s="123"/>
      <c r="M29" s="123">
        <f>SUM(M21:M28)</f>
        <v>0</v>
      </c>
      <c r="N29" s="123"/>
      <c r="O29" s="123">
        <f>SUM(O21:O28)</f>
        <v>0</v>
      </c>
      <c r="P29" s="123"/>
      <c r="Q29" s="123">
        <f>SUM(Q21:Q28)</f>
        <v>0</v>
      </c>
      <c r="R29" s="123"/>
      <c r="S29" s="123">
        <f>SUM(S21:S28)</f>
        <v>0</v>
      </c>
      <c r="T29" s="123"/>
      <c r="U29" s="123">
        <f>SUM(U21:U28)</f>
        <v>1937109.83</v>
      </c>
      <c r="V29" s="123"/>
      <c r="W29" s="123">
        <f>SUM(W21:W28)</f>
        <v>0</v>
      </c>
      <c r="X29" s="123"/>
      <c r="Y29" s="123">
        <f>SUM(E29:W29)</f>
        <v>1937109.83</v>
      </c>
      <c r="AB29" s="123"/>
    </row>
    <row r="30" spans="1:28">
      <c r="D30" s="121"/>
      <c r="F30" s="121"/>
      <c r="H30" s="121"/>
      <c r="J30" s="121"/>
      <c r="L30" s="121"/>
      <c r="N30" s="121"/>
      <c r="P30" s="121"/>
      <c r="R30" s="121"/>
      <c r="T30" s="121"/>
      <c r="V30" s="121"/>
      <c r="X30" s="121"/>
      <c r="AB30" s="123"/>
    </row>
    <row r="31" spans="1:28">
      <c r="A31" s="101" t="s">
        <v>75</v>
      </c>
      <c r="D31" s="121"/>
      <c r="F31" s="121"/>
      <c r="H31" s="121"/>
      <c r="J31" s="121"/>
      <c r="L31" s="121"/>
      <c r="N31" s="121"/>
      <c r="P31" s="121"/>
      <c r="R31" s="121"/>
      <c r="T31" s="121"/>
      <c r="V31" s="121"/>
      <c r="X31" s="121"/>
      <c r="Y31" s="235">
        <f>'Summary info'!K8</f>
        <v>79895.449999999983</v>
      </c>
      <c r="AB31" s="123"/>
    </row>
    <row r="32" spans="1:28">
      <c r="D32" s="121"/>
      <c r="F32" s="121"/>
      <c r="H32" s="121"/>
      <c r="J32" s="121"/>
      <c r="L32" s="121"/>
      <c r="N32" s="121"/>
      <c r="P32" s="121"/>
      <c r="R32" s="121"/>
      <c r="T32" s="121"/>
      <c r="V32" s="121"/>
      <c r="X32" s="121"/>
      <c r="AB32" s="123"/>
    </row>
    <row r="33" spans="1:28">
      <c r="A33" s="101" t="s">
        <v>76</v>
      </c>
      <c r="D33" s="121"/>
      <c r="F33" s="121"/>
      <c r="H33" s="121"/>
      <c r="J33" s="121"/>
      <c r="L33" s="121"/>
      <c r="N33" s="121"/>
      <c r="P33" s="121"/>
      <c r="R33" s="121"/>
      <c r="T33" s="121"/>
      <c r="V33" s="121"/>
      <c r="X33" s="121"/>
      <c r="AB33" s="123"/>
    </row>
    <row r="34" spans="1:28">
      <c r="B34" s="101" t="s">
        <v>77</v>
      </c>
      <c r="D34" s="121"/>
      <c r="F34" s="121"/>
      <c r="H34" s="121"/>
      <c r="J34" s="121"/>
      <c r="L34" s="121"/>
      <c r="N34" s="121"/>
      <c r="P34" s="121"/>
      <c r="R34" s="121"/>
      <c r="T34" s="121"/>
      <c r="V34" s="121"/>
      <c r="X34" s="121"/>
      <c r="Y34" s="212">
        <f>SUM(Y29-Y31)</f>
        <v>1857214.3800000001</v>
      </c>
      <c r="AB34" s="123"/>
    </row>
    <row r="35" spans="1:28">
      <c r="AB35" s="123"/>
    </row>
    <row r="36" spans="1:28" ht="13.5" thickBot="1">
      <c r="A36" s="101" t="str">
        <f>'Def. Tax - Main Repl'!A36</f>
        <v>Deferred Income Taxes (@38.5272%)</v>
      </c>
      <c r="Y36" s="236">
        <f>ROUND((Y34*'Revenue Requirement'!J61),2)</f>
        <v>715533.59</v>
      </c>
    </row>
    <row r="37" spans="1:28" ht="13.5" thickTop="1"/>
    <row r="45" spans="1:28">
      <c r="Y45" s="202" t="s">
        <v>140</v>
      </c>
    </row>
    <row r="46" spans="1:28">
      <c r="Y46" s="202" t="str">
        <f>+"Page 10 of "&amp;FIXED('Revenue Requirement'!$S$1,0)</f>
        <v>Page 10 of 15</v>
      </c>
    </row>
  </sheetData>
  <mergeCells count="3">
    <mergeCell ref="A4:Y4"/>
    <mergeCell ref="A3:Y3"/>
    <mergeCell ref="AA1:AC1"/>
  </mergeCells>
  <phoneticPr fontId="10" type="noConversion"/>
  <printOptions horizontalCentered="1"/>
  <pageMargins left="0.75" right="0.75" top="1" bottom="1" header="0.5" footer="0.5"/>
  <pageSetup scale="7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C48"/>
  <sheetViews>
    <sheetView topLeftCell="A3" workbookViewId="0">
      <selection activeCell="Y49" sqref="Y49"/>
    </sheetView>
  </sheetViews>
  <sheetFormatPr defaultColWidth="9.140625" defaultRowHeight="12.75"/>
  <cols>
    <col min="1" max="1" width="9.140625" style="101"/>
    <col min="2" max="2" width="9.85546875" style="101" customWidth="1"/>
    <col min="3" max="3" width="20.7109375" style="101" customWidth="1"/>
    <col min="4" max="4" width="1.28515625" style="101" customWidth="1"/>
    <col min="5" max="5" width="11.28515625" style="101" hidden="1" customWidth="1"/>
    <col min="6" max="6" width="1.28515625" style="101" hidden="1" customWidth="1"/>
    <col min="7" max="7" width="11.5703125" style="101" hidden="1" customWidth="1"/>
    <col min="8" max="8" width="1.28515625" style="101" customWidth="1"/>
    <col min="9" max="9" width="11.5703125" style="101" customWidth="1"/>
    <col min="10" max="10" width="1.28515625" style="101" customWidth="1"/>
    <col min="11" max="11" width="11.28515625" style="101" customWidth="1"/>
    <col min="12" max="12" width="1.28515625" style="101" customWidth="1"/>
    <col min="13" max="13" width="11.28515625" style="101" customWidth="1"/>
    <col min="14" max="14" width="1.28515625" style="101" customWidth="1"/>
    <col min="15" max="15" width="11.28515625" style="101" customWidth="1"/>
    <col min="16" max="16" width="1.28515625" style="101" customWidth="1"/>
    <col min="17" max="17" width="11.28515625" style="101" hidden="1" customWidth="1"/>
    <col min="18" max="18" width="1.28515625" style="101" customWidth="1"/>
    <col min="19" max="19" width="11.28515625" style="101" bestFit="1" customWidth="1"/>
    <col min="20" max="20" width="1.28515625" style="101" customWidth="1"/>
    <col min="21" max="21" width="11.5703125" style="101" bestFit="1" customWidth="1"/>
    <col min="22" max="22" width="1.28515625" style="101" customWidth="1"/>
    <col min="23" max="23" width="11.28515625" style="101" bestFit="1" customWidth="1"/>
    <col min="24" max="24" width="1.28515625" style="101" customWidth="1"/>
    <col min="25" max="25" width="15" style="101" customWidth="1"/>
    <col min="26" max="26" width="9.28515625" style="101" bestFit="1" customWidth="1"/>
    <col min="27" max="27" width="8" style="101" bestFit="1" customWidth="1"/>
    <col min="28" max="28" width="6.140625" style="101" bestFit="1" customWidth="1"/>
    <col min="29" max="29" width="8.140625" style="101" bestFit="1" customWidth="1"/>
    <col min="30" max="30" width="9.140625" style="101"/>
    <col min="31" max="31" width="10.5703125" style="101" customWidth="1"/>
    <col min="32" max="16384" width="9.140625" style="101"/>
  </cols>
  <sheetData>
    <row r="1" spans="1:29">
      <c r="Z1" s="237" t="s">
        <v>313</v>
      </c>
      <c r="AA1" s="797" t="s">
        <v>306</v>
      </c>
      <c r="AB1" s="798"/>
      <c r="AC1" s="799"/>
    </row>
    <row r="2" spans="1:29">
      <c r="Z2" s="391">
        <v>1</v>
      </c>
      <c r="AA2" s="218"/>
      <c r="AB2" s="219" t="s">
        <v>311</v>
      </c>
      <c r="AC2" s="220" t="s">
        <v>312</v>
      </c>
    </row>
    <row r="3" spans="1:29">
      <c r="A3" s="800" t="s">
        <v>14</v>
      </c>
      <c r="B3" s="800"/>
      <c r="C3" s="800"/>
      <c r="D3" s="800"/>
      <c r="E3" s="800"/>
      <c r="F3" s="800"/>
      <c r="G3" s="800"/>
      <c r="H3" s="800"/>
      <c r="I3" s="800"/>
      <c r="J3" s="800"/>
      <c r="K3" s="800"/>
      <c r="L3" s="800"/>
      <c r="M3" s="800"/>
      <c r="N3" s="800"/>
      <c r="O3" s="800"/>
      <c r="P3" s="800"/>
      <c r="Q3" s="800"/>
      <c r="R3" s="800"/>
      <c r="S3" s="800"/>
      <c r="T3" s="800"/>
      <c r="U3" s="800"/>
      <c r="V3" s="800"/>
      <c r="W3" s="800"/>
      <c r="X3" s="800"/>
      <c r="Y3" s="800"/>
      <c r="Z3" s="391">
        <v>1</v>
      </c>
      <c r="AA3" s="228" t="s">
        <v>307</v>
      </c>
      <c r="AB3" s="121">
        <f>'Def. Tax - Main Repl'!AD3</f>
        <v>0.05</v>
      </c>
      <c r="AC3" s="229">
        <f>'Def. Tax - Main Repl'!AE3</f>
        <v>3.7499999999999999E-2</v>
      </c>
    </row>
    <row r="4" spans="1:29">
      <c r="A4" s="800" t="s">
        <v>224</v>
      </c>
      <c r="B4" s="800"/>
      <c r="C4" s="800"/>
      <c r="D4" s="800"/>
      <c r="E4" s="800"/>
      <c r="F4" s="800"/>
      <c r="G4" s="800"/>
      <c r="H4" s="800"/>
      <c r="I4" s="800"/>
      <c r="J4" s="800"/>
      <c r="K4" s="800"/>
      <c r="L4" s="800"/>
      <c r="M4" s="800"/>
      <c r="N4" s="800"/>
      <c r="O4" s="800"/>
      <c r="P4" s="800"/>
      <c r="Q4" s="800"/>
      <c r="R4" s="800"/>
      <c r="S4" s="800"/>
      <c r="T4" s="800"/>
      <c r="U4" s="800"/>
      <c r="V4" s="800"/>
      <c r="W4" s="800"/>
      <c r="X4" s="800"/>
      <c r="Y4" s="800"/>
      <c r="Z4" s="391">
        <f>+'Def. Tax - Services'!Z3</f>
        <v>0.58333333333333337</v>
      </c>
      <c r="AA4" s="228" t="s">
        <v>308</v>
      </c>
      <c r="AB4" s="121">
        <f>'Def. Tax - Main Repl'!AD4</f>
        <v>9.5000000000000001E-2</v>
      </c>
      <c r="AC4" s="229">
        <f>'Def. Tax - Main Repl'!AE4</f>
        <v>7.2190000000000004E-2</v>
      </c>
    </row>
    <row r="5" spans="1:29">
      <c r="A5" s="221"/>
      <c r="B5" s="222"/>
      <c r="C5" s="222"/>
      <c r="D5" s="222"/>
      <c r="E5" s="222"/>
      <c r="F5" s="222"/>
      <c r="G5" s="222"/>
      <c r="H5" s="222"/>
      <c r="I5" s="222"/>
      <c r="J5" s="222"/>
      <c r="K5" s="222"/>
      <c r="L5" s="222"/>
      <c r="M5" s="222"/>
      <c r="N5" s="222"/>
      <c r="O5" s="222"/>
      <c r="P5" s="222"/>
      <c r="Q5" s="222"/>
      <c r="R5" s="222"/>
      <c r="S5" s="222"/>
      <c r="T5" s="222"/>
      <c r="U5" s="222"/>
      <c r="V5" s="222"/>
      <c r="W5" s="222"/>
      <c r="X5" s="222"/>
      <c r="Y5" s="222"/>
      <c r="Z5" s="392">
        <f>+'Def. Tax - Main Repl'!AB4</f>
        <v>0</v>
      </c>
      <c r="AA5" s="228" t="s">
        <v>309</v>
      </c>
      <c r="AB5" s="121">
        <f>'Def. Tax - Main Repl'!AD5</f>
        <v>8.5500000000000007E-2</v>
      </c>
      <c r="AC5" s="229">
        <f>'Def. Tax - Main Repl'!AE5</f>
        <v>6.6769999999999996E-2</v>
      </c>
    </row>
    <row r="6" spans="1:29">
      <c r="A6" s="206" t="str">
        <f>'Def. Tax - Main Repl'!A6</f>
        <v>Depreciation for the period</v>
      </c>
      <c r="B6" s="222"/>
      <c r="C6" s="222"/>
      <c r="D6" s="222"/>
      <c r="F6" s="226"/>
      <c r="G6" s="226"/>
      <c r="H6" s="226"/>
      <c r="I6" s="226"/>
      <c r="J6" s="226"/>
      <c r="K6" s="226" t="str">
        <f>+'Def. Tax - Main Repl'!E6</f>
        <v>Mar 1 - Dec 1</v>
      </c>
      <c r="L6" s="226"/>
      <c r="M6" s="226"/>
      <c r="N6" s="224"/>
      <c r="P6" s="189"/>
      <c r="Q6" s="189"/>
      <c r="R6" s="189"/>
      <c r="S6" s="189" t="str">
        <f>+'Def. Tax - Main Repl'!U$6</f>
        <v>Mar 1 - Dec 1</v>
      </c>
      <c r="T6" s="189"/>
      <c r="U6" s="189"/>
      <c r="V6" s="189"/>
      <c r="W6" s="189"/>
      <c r="X6" s="224"/>
      <c r="Y6" s="224"/>
      <c r="AA6" s="228" t="s">
        <v>310</v>
      </c>
      <c r="AB6" s="121">
        <f>'Def. Tax - Main Repl'!AD6</f>
        <v>7.6999999999999999E-2</v>
      </c>
      <c r="AC6" s="229">
        <f>'Def. Tax - Main Repl'!AE6</f>
        <v>6.1769999999999999E-2</v>
      </c>
    </row>
    <row r="7" spans="1:29">
      <c r="F7" s="226"/>
      <c r="G7" s="226"/>
      <c r="H7" s="226"/>
      <c r="I7" s="226"/>
      <c r="J7" s="226"/>
      <c r="K7" s="226" t="str">
        <f>+'Def. Tax - Main Repl'!E7</f>
        <v>2016 - 2017</v>
      </c>
      <c r="L7" s="226"/>
      <c r="M7" s="226"/>
      <c r="P7" s="189"/>
      <c r="Q7" s="189"/>
      <c r="R7" s="189"/>
      <c r="S7" s="189" t="str">
        <f>'Def. Tax - Main Repl'!U$7</f>
        <v>2016 - 2017</v>
      </c>
      <c r="T7" s="189"/>
      <c r="U7" s="189"/>
      <c r="V7" s="189"/>
      <c r="W7" s="189"/>
      <c r="AA7" s="230"/>
      <c r="AB7" s="124"/>
      <c r="AC7" s="231"/>
    </row>
    <row r="8" spans="1:29">
      <c r="A8" s="206" t="str">
        <f>'Def. Tax - Main Repl'!A8</f>
        <v>for Plant in Service</v>
      </c>
      <c r="B8" s="222"/>
      <c r="C8" s="222"/>
      <c r="D8" s="222"/>
      <c r="F8" s="226"/>
      <c r="G8" s="226"/>
      <c r="H8" s="226"/>
      <c r="I8" s="226" t="s">
        <v>473</v>
      </c>
      <c r="J8" s="226"/>
      <c r="K8" s="226" t="str">
        <f>+'Def. Tax - Main Repl'!E8</f>
        <v>Mar - Sep</v>
      </c>
      <c r="L8" s="226"/>
      <c r="M8" s="226"/>
      <c r="P8" s="189"/>
      <c r="Q8" s="189"/>
      <c r="R8" s="189"/>
      <c r="S8" s="189" t="str">
        <f>+'Def. Tax - Main Repl'!U$8</f>
        <v>Oct</v>
      </c>
      <c r="T8" s="189"/>
      <c r="U8" s="189"/>
      <c r="V8" s="189"/>
      <c r="W8" s="189"/>
    </row>
    <row r="9" spans="1:29">
      <c r="F9" s="227"/>
      <c r="G9" s="227"/>
      <c r="H9" s="227"/>
      <c r="I9" s="227" t="s">
        <v>474</v>
      </c>
      <c r="J9" s="227"/>
      <c r="K9" s="226">
        <f>+'Def. Tax - Main Repl'!E9</f>
        <v>2016</v>
      </c>
      <c r="L9" s="227"/>
      <c r="M9" s="227"/>
      <c r="P9" s="227"/>
      <c r="Q9" s="227"/>
      <c r="R9" s="227"/>
      <c r="S9" s="227">
        <f>'Def. Tax - Main Repl'!U$9</f>
        <v>2017</v>
      </c>
      <c r="T9" s="227"/>
      <c r="U9" s="227"/>
      <c r="V9" s="227"/>
      <c r="W9" s="227"/>
      <c r="Y9" s="268" t="s">
        <v>42</v>
      </c>
    </row>
    <row r="10" spans="1:29">
      <c r="E10" s="102"/>
      <c r="G10" s="102"/>
      <c r="I10" s="102"/>
      <c r="K10" s="102"/>
      <c r="M10" s="102"/>
      <c r="O10" s="102"/>
      <c r="Q10" s="102"/>
      <c r="S10" s="102"/>
      <c r="U10" s="102"/>
      <c r="W10" s="102"/>
    </row>
    <row r="11" spans="1:29">
      <c r="E11" s="267" t="s">
        <v>157</v>
      </c>
      <c r="F11" s="121"/>
      <c r="G11" s="267" t="s">
        <v>157</v>
      </c>
      <c r="H11" s="121"/>
      <c r="I11" s="267" t="s">
        <v>158</v>
      </c>
      <c r="J11" s="121"/>
      <c r="K11" s="267" t="s">
        <v>158</v>
      </c>
      <c r="L11" s="121"/>
      <c r="M11" s="267" t="s">
        <v>158</v>
      </c>
      <c r="N11" s="121"/>
      <c r="O11" s="267" t="s">
        <v>157</v>
      </c>
      <c r="P11" s="121"/>
      <c r="Q11" s="267" t="s">
        <v>157</v>
      </c>
      <c r="R11" s="121"/>
      <c r="S11" s="267" t="s">
        <v>158</v>
      </c>
      <c r="T11" s="121"/>
      <c r="U11" s="267" t="s">
        <v>158</v>
      </c>
      <c r="V11" s="121"/>
      <c r="W11" s="267" t="s">
        <v>158</v>
      </c>
      <c r="X11" s="121"/>
      <c r="Y11" s="121"/>
    </row>
    <row r="12" spans="1:29">
      <c r="E12" s="268" t="s">
        <v>190</v>
      </c>
      <c r="F12" s="121"/>
      <c r="G12" s="268" t="s">
        <v>191</v>
      </c>
      <c r="H12" s="121"/>
      <c r="I12" s="331" t="s">
        <v>190</v>
      </c>
      <c r="J12" s="121"/>
      <c r="K12" s="268" t="s">
        <v>190</v>
      </c>
      <c r="L12" s="121"/>
      <c r="M12" s="268" t="s">
        <v>191</v>
      </c>
      <c r="N12" s="121"/>
      <c r="O12" s="268" t="s">
        <v>190</v>
      </c>
      <c r="P12" s="121"/>
      <c r="Q12" s="268" t="s">
        <v>191</v>
      </c>
      <c r="R12" s="121"/>
      <c r="S12" s="268" t="s">
        <v>227</v>
      </c>
      <c r="T12" s="121"/>
      <c r="U12" s="268" t="s">
        <v>190</v>
      </c>
      <c r="V12" s="121"/>
      <c r="W12" s="268" t="s">
        <v>191</v>
      </c>
      <c r="X12" s="121"/>
      <c r="Y12" s="124"/>
    </row>
    <row r="13" spans="1:29">
      <c r="A13" s="188" t="s">
        <v>37</v>
      </c>
    </row>
    <row r="14" spans="1:29">
      <c r="A14" s="101" t="s">
        <v>9</v>
      </c>
      <c r="E14" s="123">
        <v>0</v>
      </c>
      <c r="F14" s="123"/>
      <c r="G14" s="123">
        <v>0</v>
      </c>
      <c r="H14" s="123"/>
      <c r="I14" s="123">
        <f>'Summary info (bonus split)'!B11+'Summary info (bonus split)'!E11</f>
        <v>0</v>
      </c>
      <c r="J14" s="123"/>
      <c r="K14" s="123">
        <f>'Summary info (bonus split)'!C11</f>
        <v>0</v>
      </c>
      <c r="L14" s="123"/>
      <c r="M14" s="123">
        <f>'Summary info (bonus split)'!D11</f>
        <v>0</v>
      </c>
      <c r="N14" s="123"/>
      <c r="O14" s="123"/>
      <c r="P14" s="123"/>
      <c r="Q14" s="123">
        <v>0</v>
      </c>
      <c r="R14" s="123"/>
      <c r="S14" s="123">
        <f>'Summary info (bonus split)'!F11+'Summary info (bonus split)'!I11</f>
        <v>0</v>
      </c>
      <c r="T14" s="123"/>
      <c r="U14" s="123">
        <f>'Summary info (bonus split)'!G11</f>
        <v>0</v>
      </c>
      <c r="V14" s="123"/>
      <c r="W14" s="123">
        <f>'Summary info (bonus split)'!H11</f>
        <v>0</v>
      </c>
      <c r="X14" s="123"/>
      <c r="Y14" s="123">
        <f>SUM(E14:W14)</f>
        <v>0</v>
      </c>
    </row>
    <row r="16" spans="1:29">
      <c r="A16" s="101" t="s">
        <v>193</v>
      </c>
      <c r="E16" s="104">
        <f>ROUND((E14*0.5),2)</f>
        <v>0</v>
      </c>
      <c r="F16" s="123"/>
      <c r="G16" s="104">
        <f>ROUND((G14*0),2)</f>
        <v>0</v>
      </c>
      <c r="H16" s="123"/>
      <c r="I16" s="104">
        <f>ROUND((I14*0.5),2)</f>
        <v>0</v>
      </c>
      <c r="J16" s="123"/>
      <c r="K16" s="104">
        <f>ROUND((K14*0.5),2)</f>
        <v>0</v>
      </c>
      <c r="L16" s="123"/>
      <c r="M16" s="104">
        <f>ROUND((M14*0),2)</f>
        <v>0</v>
      </c>
      <c r="N16" s="123"/>
      <c r="O16" s="104">
        <f>ROUND((O14*0.5),2)</f>
        <v>0</v>
      </c>
      <c r="P16" s="123"/>
      <c r="Q16" s="104">
        <f>ROUND((Q14*0),2)</f>
        <v>0</v>
      </c>
      <c r="R16" s="123"/>
      <c r="S16" s="104">
        <f>ROUND((S14*1),2)</f>
        <v>0</v>
      </c>
      <c r="T16" s="123"/>
      <c r="U16" s="104">
        <f>ROUND((U14*0.5),2)</f>
        <v>0</v>
      </c>
      <c r="V16" s="123"/>
      <c r="W16" s="104">
        <f>ROUND((W14*0),2)</f>
        <v>0</v>
      </c>
      <c r="X16" s="123"/>
      <c r="Y16" s="104">
        <f>SUM(E16:W16)</f>
        <v>0</v>
      </c>
    </row>
    <row r="17" spans="1:28">
      <c r="E17" s="123"/>
      <c r="F17" s="123"/>
      <c r="G17" s="123"/>
      <c r="H17" s="123"/>
      <c r="I17" s="123"/>
      <c r="J17" s="123"/>
      <c r="K17" s="123"/>
      <c r="L17" s="123"/>
      <c r="M17" s="123"/>
      <c r="N17" s="123"/>
      <c r="O17" s="123"/>
      <c r="P17" s="123"/>
      <c r="Q17" s="123"/>
      <c r="R17" s="123"/>
      <c r="S17" s="123"/>
      <c r="T17" s="123"/>
      <c r="U17" s="123"/>
      <c r="V17" s="123"/>
      <c r="W17" s="123"/>
      <c r="X17" s="123"/>
      <c r="Y17" s="123"/>
    </row>
    <row r="18" spans="1:28">
      <c r="A18" s="101" t="s">
        <v>72</v>
      </c>
      <c r="E18" s="123">
        <f>+E14-E16</f>
        <v>0</v>
      </c>
      <c r="F18" s="123"/>
      <c r="G18" s="123">
        <f>+G14-G16</f>
        <v>0</v>
      </c>
      <c r="H18" s="123"/>
      <c r="I18" s="123">
        <f>+I14-I16</f>
        <v>0</v>
      </c>
      <c r="J18" s="123"/>
      <c r="K18" s="123">
        <f>+K14-K16</f>
        <v>0</v>
      </c>
      <c r="L18" s="123"/>
      <c r="M18" s="123">
        <f>+M14-M16</f>
        <v>0</v>
      </c>
      <c r="N18" s="123"/>
      <c r="O18" s="123">
        <f>+O14-O16</f>
        <v>0</v>
      </c>
      <c r="P18" s="123"/>
      <c r="Q18" s="123">
        <f>+Q14-Q16</f>
        <v>0</v>
      </c>
      <c r="R18" s="123"/>
      <c r="S18" s="123">
        <f>+S14-S16</f>
        <v>0</v>
      </c>
      <c r="T18" s="123"/>
      <c r="U18" s="123">
        <f>+U14-U16</f>
        <v>0</v>
      </c>
      <c r="V18" s="123"/>
      <c r="W18" s="123">
        <f>+W14-W16</f>
        <v>0</v>
      </c>
      <c r="X18" s="123"/>
      <c r="Y18" s="123">
        <f>SUM(E18:W18)</f>
        <v>0</v>
      </c>
    </row>
    <row r="19" spans="1:28">
      <c r="E19" s="123"/>
      <c r="F19" s="123"/>
      <c r="G19" s="123"/>
      <c r="H19" s="123"/>
      <c r="I19" s="123"/>
      <c r="J19" s="123"/>
      <c r="K19" s="123"/>
      <c r="L19" s="123"/>
      <c r="M19" s="123"/>
      <c r="N19" s="123"/>
      <c r="O19" s="123"/>
      <c r="P19" s="123"/>
      <c r="Q19" s="123"/>
      <c r="R19" s="123"/>
      <c r="S19" s="123"/>
      <c r="T19" s="123"/>
      <c r="U19" s="123"/>
      <c r="V19" s="123"/>
      <c r="W19" s="123"/>
      <c r="X19" s="123"/>
      <c r="Y19" s="123"/>
    </row>
    <row r="20" spans="1:28">
      <c r="A20" s="101" t="s">
        <v>194</v>
      </c>
      <c r="E20" s="123"/>
      <c r="F20" s="123"/>
      <c r="G20" s="123"/>
      <c r="H20" s="123"/>
      <c r="I20" s="123"/>
      <c r="J20" s="123"/>
      <c r="K20" s="123"/>
      <c r="L20" s="123"/>
      <c r="M20" s="123"/>
      <c r="N20" s="123"/>
      <c r="O20" s="123"/>
      <c r="P20" s="123"/>
      <c r="Q20" s="123"/>
      <c r="R20" s="123"/>
      <c r="S20" s="123"/>
      <c r="T20" s="123"/>
      <c r="U20" s="123"/>
      <c r="V20" s="123"/>
      <c r="W20" s="123"/>
      <c r="X20" s="123"/>
      <c r="Y20" s="123"/>
    </row>
    <row r="21" spans="1:28">
      <c r="A21" s="348" t="s">
        <v>475</v>
      </c>
      <c r="E21" s="123"/>
      <c r="F21" s="123"/>
      <c r="G21" s="123"/>
      <c r="H21" s="123"/>
      <c r="I21" s="123">
        <f>+I18</f>
        <v>0</v>
      </c>
      <c r="J21" s="123"/>
      <c r="K21" s="123"/>
      <c r="L21" s="123"/>
      <c r="M21" s="123"/>
      <c r="N21" s="123"/>
      <c r="O21" s="123"/>
      <c r="P21" s="123"/>
      <c r="Q21" s="123"/>
      <c r="R21" s="123"/>
      <c r="S21" s="123"/>
      <c r="T21" s="123"/>
      <c r="U21" s="123"/>
      <c r="V21" s="123"/>
      <c r="W21" s="123"/>
      <c r="X21" s="123"/>
      <c r="Y21" s="123"/>
    </row>
    <row r="22" spans="1:28">
      <c r="A22" s="233" t="str">
        <f>'Def. Tax - Main Repl'!$A21</f>
        <v>Sept 1 - Sept 30, 2014</v>
      </c>
      <c r="D22" s="209">
        <f>SUM(E22:Y22)</f>
        <v>0</v>
      </c>
      <c r="E22" s="123">
        <f>+ROUND(E16*$Z$2,2)</f>
        <v>0</v>
      </c>
      <c r="F22" s="123"/>
      <c r="G22" s="123">
        <f>+ROUND(G16*$Z$2,2)</f>
        <v>0</v>
      </c>
      <c r="H22" s="123"/>
      <c r="I22" s="123">
        <v>0</v>
      </c>
      <c r="J22" s="123"/>
      <c r="K22" s="123">
        <f>+ROUND(K16*$Z$2,2)</f>
        <v>0</v>
      </c>
      <c r="L22" s="123"/>
      <c r="M22" s="123">
        <f>+ROUND(M16*$Z$2,2)</f>
        <v>0</v>
      </c>
      <c r="N22" s="123"/>
      <c r="O22" s="123">
        <v>0</v>
      </c>
      <c r="P22" s="123"/>
      <c r="Q22" s="123">
        <v>0</v>
      </c>
      <c r="R22" s="123"/>
      <c r="S22" s="123">
        <v>0</v>
      </c>
      <c r="T22" s="123"/>
      <c r="U22" s="123">
        <v>0</v>
      </c>
      <c r="V22" s="123"/>
      <c r="W22" s="123">
        <v>0</v>
      </c>
      <c r="X22" s="123"/>
      <c r="Y22" s="123">
        <f>SUM(E22:W22)</f>
        <v>0</v>
      </c>
    </row>
    <row r="23" spans="1:28">
      <c r="A23" s="233" t="str">
        <f>'Def. Tax - Main Repl'!$A22</f>
        <v>Oct 1, 2014 - Feb 28, 2015</v>
      </c>
      <c r="D23" s="209"/>
      <c r="E23" s="123">
        <v>0</v>
      </c>
      <c r="F23" s="123"/>
      <c r="G23" s="123">
        <v>0</v>
      </c>
      <c r="H23" s="123"/>
      <c r="I23" s="123">
        <v>0</v>
      </c>
      <c r="J23" s="123"/>
      <c r="K23" s="123">
        <v>0</v>
      </c>
      <c r="L23" s="123"/>
      <c r="M23" s="123">
        <v>0</v>
      </c>
      <c r="N23" s="123"/>
      <c r="O23" s="123">
        <f>+ROUND(O16*($Z$3),2)</f>
        <v>0</v>
      </c>
      <c r="P23" s="123"/>
      <c r="Q23" s="123">
        <f>+ROUND(Q16*($Z$3),2)</f>
        <v>0</v>
      </c>
      <c r="R23" s="123"/>
      <c r="S23" s="123">
        <f>+ROUND(S16*($Z$2),2)</f>
        <v>0</v>
      </c>
      <c r="T23" s="123"/>
      <c r="U23" s="123">
        <f>+ROUND(U16*($Z$2),2)</f>
        <v>0</v>
      </c>
      <c r="V23" s="123"/>
      <c r="W23" s="123">
        <f>+ROUND(W16*($Z$2),2)</f>
        <v>0</v>
      </c>
      <c r="X23" s="123"/>
      <c r="Y23" s="123">
        <f>SUM(E23:W23)</f>
        <v>0</v>
      </c>
    </row>
    <row r="24" spans="1:28">
      <c r="E24" s="123"/>
      <c r="F24" s="123"/>
      <c r="G24" s="123"/>
      <c r="H24" s="123"/>
      <c r="I24" s="123"/>
      <c r="J24" s="123"/>
      <c r="K24" s="123"/>
      <c r="L24" s="123"/>
      <c r="M24" s="123"/>
      <c r="N24" s="123"/>
      <c r="O24" s="123"/>
      <c r="P24" s="123"/>
      <c r="Q24" s="123"/>
      <c r="R24" s="123"/>
      <c r="S24" s="123"/>
      <c r="T24" s="123"/>
      <c r="U24" s="123"/>
      <c r="V24" s="123"/>
      <c r="W24" s="123"/>
      <c r="X24" s="123"/>
      <c r="Y24" s="123"/>
    </row>
    <row r="25" spans="1:28">
      <c r="A25" s="101" t="s">
        <v>73</v>
      </c>
      <c r="E25" s="123"/>
      <c r="F25" s="123"/>
      <c r="G25" s="123"/>
      <c r="H25" s="123"/>
      <c r="I25" s="123"/>
      <c r="J25" s="123"/>
      <c r="K25" s="123"/>
      <c r="L25" s="123"/>
      <c r="M25" s="123"/>
      <c r="N25" s="123"/>
      <c r="O25" s="123"/>
      <c r="P25" s="123"/>
      <c r="Q25" s="123"/>
      <c r="R25" s="123"/>
      <c r="S25" s="123"/>
      <c r="T25" s="123"/>
      <c r="U25" s="123"/>
      <c r="V25" s="123"/>
      <c r="W25" s="123"/>
      <c r="X25" s="123"/>
      <c r="Y25" s="123"/>
    </row>
    <row r="26" spans="1:28">
      <c r="A26" s="348" t="s">
        <v>476</v>
      </c>
      <c r="E26" s="123"/>
      <c r="F26" s="123"/>
      <c r="G26" s="123"/>
      <c r="H26" s="123"/>
      <c r="I26" s="123">
        <f>ROUND((I$18*$AC3)*$Z2,2)</f>
        <v>0</v>
      </c>
      <c r="J26" s="123"/>
      <c r="K26" s="123"/>
      <c r="L26" s="123"/>
      <c r="M26" s="123"/>
      <c r="N26" s="123"/>
      <c r="O26" s="123"/>
      <c r="P26" s="123"/>
      <c r="Q26" s="123"/>
      <c r="R26" s="123"/>
      <c r="S26" s="123"/>
      <c r="T26" s="123"/>
      <c r="U26" s="123"/>
      <c r="V26" s="123"/>
      <c r="W26" s="123"/>
      <c r="X26" s="123"/>
      <c r="Y26" s="123"/>
    </row>
    <row r="27" spans="1:28">
      <c r="A27" s="233" t="str">
        <f>'Def. Tax - Main Repl'!A25</f>
        <v>Fiscal Year 2016 (Oct 1 - Sep 30)</v>
      </c>
      <c r="E27" s="103">
        <f>ROUND((E18*$AB$3)*$Z$2,2)</f>
        <v>0</v>
      </c>
      <c r="F27" s="103"/>
      <c r="G27" s="103">
        <f>ROUND((G18*$AB$3)*$Z$2,2)</f>
        <v>0</v>
      </c>
      <c r="H27" s="103"/>
      <c r="I27" s="103">
        <f>ROUND((I$18*$AC4)*$Z3,2)</f>
        <v>0</v>
      </c>
      <c r="J27" s="103"/>
      <c r="K27" s="103">
        <f>ROUND((K$18*$AC3)*$Z3,2)</f>
        <v>0</v>
      </c>
      <c r="L27" s="103"/>
      <c r="M27" s="103">
        <f>ROUND((M$18*$AC3)*$Z3,2)</f>
        <v>0</v>
      </c>
      <c r="N27" s="103"/>
      <c r="O27" s="103">
        <v>0</v>
      </c>
      <c r="P27" s="103"/>
      <c r="Q27" s="103">
        <v>0</v>
      </c>
      <c r="R27" s="103"/>
      <c r="S27" s="103">
        <v>0</v>
      </c>
      <c r="T27" s="103"/>
      <c r="U27" s="103">
        <v>0</v>
      </c>
      <c r="V27" s="103"/>
      <c r="W27" s="103">
        <v>0</v>
      </c>
      <c r="X27" s="103"/>
      <c r="Y27" s="103">
        <f>SUM(E27:W27)</f>
        <v>0</v>
      </c>
      <c r="AB27" s="238"/>
    </row>
    <row r="28" spans="1:28">
      <c r="A28" s="233" t="str">
        <f>'Def. Tax - Main Repl'!A26</f>
        <v>Fiscal Year 2017 (Oct 1 - Nov 30)</v>
      </c>
      <c r="E28" s="104">
        <f>ROUND((E18*$AB$4)*$Z$3,2)</f>
        <v>0</v>
      </c>
      <c r="F28" s="103"/>
      <c r="G28" s="104">
        <f>ROUND((G18*$AB$4)*$Z$3,2)</f>
        <v>0</v>
      </c>
      <c r="H28" s="103"/>
      <c r="I28" s="103">
        <f>ROUND((I$18*$AC5)*$Z4,2)</f>
        <v>0</v>
      </c>
      <c r="J28" s="103"/>
      <c r="K28" s="103">
        <f>ROUND((K$18*$AC4)*$Z4,2)</f>
        <v>0</v>
      </c>
      <c r="L28" s="103"/>
      <c r="M28" s="103">
        <f>ROUND((M$18*$AC4)*$Z4,2)</f>
        <v>0</v>
      </c>
      <c r="N28" s="103"/>
      <c r="O28" s="103">
        <f>ROUND((O$18*$AC3)*$Z3,2)</f>
        <v>0</v>
      </c>
      <c r="P28" s="103"/>
      <c r="Q28" s="104">
        <f>ROUND((Q18*$AB$3)*$Z$3,2)</f>
        <v>0</v>
      </c>
      <c r="R28" s="103"/>
      <c r="S28" s="103">
        <f>ROUND((S$18*$AC3)*$Z3,2)</f>
        <v>0</v>
      </c>
      <c r="T28" s="103"/>
      <c r="U28" s="103">
        <f>ROUND((U$18*$AC3)*$Z4,2)</f>
        <v>0</v>
      </c>
      <c r="V28" s="103"/>
      <c r="W28" s="103">
        <f>ROUND((W$18*$AC3)*$Z4,2)</f>
        <v>0</v>
      </c>
      <c r="X28" s="103"/>
      <c r="Y28" s="103">
        <f t="shared" ref="Y28:Y29" si="0">SUM(E28:W28)</f>
        <v>0</v>
      </c>
      <c r="AB28" s="239"/>
    </row>
    <row r="29" spans="1:28">
      <c r="A29" s="233" t="str">
        <f>'Def. Tax - Main Repl'!A27</f>
        <v/>
      </c>
      <c r="E29" s="103"/>
      <c r="F29" s="103"/>
      <c r="G29" s="103"/>
      <c r="H29" s="103"/>
      <c r="I29" s="104">
        <f>ROUND((I$18*$AC6)*$Z5,2)</f>
        <v>0</v>
      </c>
      <c r="J29" s="103"/>
      <c r="K29" s="104">
        <f>ROUND((K$18*$AC5)*$Z5,2)</f>
        <v>0</v>
      </c>
      <c r="L29" s="103"/>
      <c r="M29" s="104">
        <f>ROUND((M$18*$AC5)*$Z5,2)</f>
        <v>0</v>
      </c>
      <c r="N29" s="103"/>
      <c r="O29" s="104">
        <f>ROUND((O$18*$AC4)*$Z4,2)</f>
        <v>0</v>
      </c>
      <c r="P29" s="103"/>
      <c r="Q29" s="103"/>
      <c r="R29" s="103"/>
      <c r="S29" s="104">
        <f>ROUND((S$18*$AC4)*$Z4,2)</f>
        <v>0</v>
      </c>
      <c r="T29" s="103"/>
      <c r="U29" s="104">
        <f>ROUND((U$18*$AC4)*$Z5,2)</f>
        <v>0</v>
      </c>
      <c r="V29" s="103"/>
      <c r="W29" s="104">
        <f>ROUND((W$18*$AC4)*$Z5,2)</f>
        <v>0</v>
      </c>
      <c r="X29" s="103"/>
      <c r="Y29" s="104">
        <f t="shared" si="0"/>
        <v>0</v>
      </c>
      <c r="AB29" s="239"/>
    </row>
    <row r="30" spans="1:28">
      <c r="E30" s="123"/>
      <c r="F30" s="123"/>
      <c r="G30" s="123"/>
      <c r="H30" s="123"/>
      <c r="I30" s="123"/>
      <c r="J30" s="123"/>
      <c r="K30" s="123"/>
      <c r="L30" s="123"/>
      <c r="M30" s="123"/>
      <c r="N30" s="123"/>
      <c r="O30" s="123"/>
      <c r="P30" s="123"/>
      <c r="Q30" s="123"/>
      <c r="R30" s="123"/>
      <c r="S30" s="123"/>
      <c r="T30" s="123"/>
      <c r="U30" s="123"/>
      <c r="V30" s="123"/>
      <c r="W30" s="123"/>
      <c r="X30" s="123"/>
      <c r="Y30" s="123"/>
      <c r="AB30" s="239"/>
    </row>
    <row r="31" spans="1:28">
      <c r="A31" s="101" t="s">
        <v>74</v>
      </c>
      <c r="E31" s="123">
        <f>SUM(E22:E30)</f>
        <v>0</v>
      </c>
      <c r="F31" s="123"/>
      <c r="G31" s="123">
        <f>SUM(G22:G30)</f>
        <v>0</v>
      </c>
      <c r="H31" s="123"/>
      <c r="I31" s="123">
        <f>SUM(I22:I30)</f>
        <v>0</v>
      </c>
      <c r="J31" s="123"/>
      <c r="K31" s="123">
        <f>SUM(K22:K30)</f>
        <v>0</v>
      </c>
      <c r="L31" s="123"/>
      <c r="M31" s="123">
        <f>SUM(M22:M30)</f>
        <v>0</v>
      </c>
      <c r="N31" s="123"/>
      <c r="O31" s="123">
        <f>SUM(O22:O30)</f>
        <v>0</v>
      </c>
      <c r="P31" s="123"/>
      <c r="Q31" s="123">
        <f>SUM(Q22:Q30)</f>
        <v>0</v>
      </c>
      <c r="R31" s="123"/>
      <c r="S31" s="123">
        <f>SUM(S22:S30)</f>
        <v>0</v>
      </c>
      <c r="T31" s="123"/>
      <c r="U31" s="123">
        <f>SUM(U22:U30)</f>
        <v>0</v>
      </c>
      <c r="V31" s="123"/>
      <c r="W31" s="123">
        <f>SUM(W22:W30)</f>
        <v>0</v>
      </c>
      <c r="X31" s="123"/>
      <c r="Y31" s="123">
        <f>SUM(E31:W31)</f>
        <v>0</v>
      </c>
      <c r="AB31" s="239"/>
    </row>
    <row r="33" spans="1:25">
      <c r="A33" s="101" t="s">
        <v>75</v>
      </c>
      <c r="Y33" s="235">
        <f>'Summary info'!K10</f>
        <v>0</v>
      </c>
    </row>
    <row r="35" spans="1:25">
      <c r="A35" s="101" t="s">
        <v>76</v>
      </c>
    </row>
    <row r="36" spans="1:25">
      <c r="B36" s="101" t="s">
        <v>77</v>
      </c>
      <c r="Y36" s="212">
        <f>SUM(Y31-Y33)</f>
        <v>0</v>
      </c>
    </row>
    <row r="38" spans="1:25" ht="13.5" thickBot="1">
      <c r="A38" s="101" t="str">
        <f>'Def. Tax - Main Repl'!A36</f>
        <v>Deferred Income Taxes (@38.5272%)</v>
      </c>
      <c r="Y38" s="236">
        <f>ROUND((Y36*'Revenue Requirement'!J61),2)</f>
        <v>0</v>
      </c>
    </row>
    <row r="39" spans="1:25" ht="13.5" thickTop="1"/>
    <row r="47" spans="1:25">
      <c r="Y47" s="202" t="s">
        <v>140</v>
      </c>
    </row>
    <row r="48" spans="1:25">
      <c r="Y48" s="202" t="str">
        <f>+"Page 11 of "&amp;FIXED('Revenue Requirement'!$S$1,0)</f>
        <v>Page 11 of 15</v>
      </c>
    </row>
  </sheetData>
  <mergeCells count="3">
    <mergeCell ref="A3:Y3"/>
    <mergeCell ref="A4:Y4"/>
    <mergeCell ref="AA1:AC1"/>
  </mergeCells>
  <phoneticPr fontId="10" type="noConversion"/>
  <printOptions horizontalCentered="1"/>
  <pageMargins left="0.75" right="0.75" top="1" bottom="1" header="0.5" footer="0.5"/>
  <pageSetup scale="7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AC56"/>
  <sheetViews>
    <sheetView workbookViewId="0">
      <selection activeCell="Y47" sqref="Y47"/>
    </sheetView>
  </sheetViews>
  <sheetFormatPr defaultColWidth="9.140625" defaultRowHeight="12.75"/>
  <cols>
    <col min="1" max="2" width="9.140625" style="101"/>
    <col min="3" max="3" width="31" style="101" customWidth="1"/>
    <col min="4" max="4" width="1.28515625" style="101" customWidth="1"/>
    <col min="5" max="5" width="13.140625" style="101" hidden="1" customWidth="1"/>
    <col min="6" max="6" width="1.28515625" style="101" hidden="1" customWidth="1"/>
    <col min="7" max="7" width="11.28515625" style="101" hidden="1" customWidth="1"/>
    <col min="8" max="8" width="1.28515625" style="101" hidden="1" customWidth="1"/>
    <col min="9" max="9" width="13.140625" style="101" customWidth="1"/>
    <col min="10" max="10" width="1.28515625" style="101" customWidth="1"/>
    <col min="11" max="11" width="13.140625" style="101" bestFit="1" customWidth="1"/>
    <col min="12" max="12" width="1.28515625" style="101" customWidth="1"/>
    <col min="13" max="13" width="16.140625" style="101" customWidth="1"/>
    <col min="14" max="14" width="1.28515625" style="101" customWidth="1"/>
    <col min="15" max="15" width="14.5703125" style="101" hidden="1" customWidth="1"/>
    <col min="16" max="16" width="1.28515625" style="101" hidden="1" customWidth="1"/>
    <col min="17" max="17" width="11.28515625" style="101" hidden="1" customWidth="1"/>
    <col min="18" max="18" width="1.28515625" style="101" customWidth="1"/>
    <col min="19" max="19" width="11.5703125" style="101" bestFit="1" customWidth="1"/>
    <col min="20" max="20" width="1.28515625" style="101" customWidth="1"/>
    <col min="21" max="21" width="14.28515625" style="101" customWidth="1"/>
    <col min="22" max="22" width="1.28515625" style="101" customWidth="1"/>
    <col min="23" max="23" width="13" style="101" customWidth="1"/>
    <col min="24" max="24" width="1.28515625" style="101" customWidth="1"/>
    <col min="25" max="25" width="13.140625" style="101" bestFit="1" customWidth="1"/>
    <col min="26" max="27" width="9.140625" style="101"/>
    <col min="28" max="28" width="6.140625" style="101" bestFit="1" customWidth="1"/>
    <col min="29" max="29" width="8.140625" style="101" bestFit="1" customWidth="1"/>
    <col min="30" max="16384" width="9.140625" style="101"/>
  </cols>
  <sheetData>
    <row r="1" spans="1:29">
      <c r="Z1" s="237" t="s">
        <v>313</v>
      </c>
      <c r="AA1" s="797" t="s">
        <v>306</v>
      </c>
      <c r="AB1" s="798"/>
      <c r="AC1" s="799"/>
    </row>
    <row r="2" spans="1:29">
      <c r="Z2" s="123">
        <f>'Def. Tax - Main Repl'!$AB2</f>
        <v>1</v>
      </c>
      <c r="AA2" s="218"/>
      <c r="AB2" s="121" t="s">
        <v>311</v>
      </c>
      <c r="AC2" s="229" t="s">
        <v>312</v>
      </c>
    </row>
    <row r="3" spans="1:29">
      <c r="A3" s="800" t="s">
        <v>14</v>
      </c>
      <c r="B3" s="800"/>
      <c r="C3" s="800"/>
      <c r="D3" s="800"/>
      <c r="E3" s="800"/>
      <c r="F3" s="800"/>
      <c r="G3" s="800"/>
      <c r="H3" s="800"/>
      <c r="I3" s="800"/>
      <c r="J3" s="800"/>
      <c r="K3" s="800"/>
      <c r="L3" s="800"/>
      <c r="M3" s="800"/>
      <c r="N3" s="800"/>
      <c r="O3" s="800"/>
      <c r="P3" s="800"/>
      <c r="Q3" s="800"/>
      <c r="R3" s="800"/>
      <c r="S3" s="800"/>
      <c r="T3" s="800"/>
      <c r="U3" s="800"/>
      <c r="V3" s="800"/>
      <c r="W3" s="800"/>
      <c r="X3" s="800"/>
      <c r="Y3" s="800"/>
      <c r="Z3" s="123">
        <f>'Def. Tax - Main Repl'!$AB3</f>
        <v>0.58333333333333337</v>
      </c>
      <c r="AA3" s="228" t="s">
        <v>307</v>
      </c>
      <c r="AB3" s="121">
        <f>'Def. Tax - Main Repl'!AD3</f>
        <v>0.05</v>
      </c>
      <c r="AC3" s="229">
        <f>'Def. Tax - Main Repl'!AE3</f>
        <v>3.7499999999999999E-2</v>
      </c>
    </row>
    <row r="4" spans="1:29">
      <c r="A4" s="800" t="s">
        <v>224</v>
      </c>
      <c r="B4" s="800"/>
      <c r="C4" s="800"/>
      <c r="D4" s="800"/>
      <c r="E4" s="800"/>
      <c r="F4" s="800"/>
      <c r="G4" s="800"/>
      <c r="H4" s="800"/>
      <c r="I4" s="800"/>
      <c r="J4" s="800"/>
      <c r="K4" s="800"/>
      <c r="L4" s="800"/>
      <c r="M4" s="800"/>
      <c r="N4" s="800"/>
      <c r="O4" s="800"/>
      <c r="P4" s="800"/>
      <c r="Q4" s="800"/>
      <c r="R4" s="800"/>
      <c r="S4" s="800"/>
      <c r="T4" s="800"/>
      <c r="U4" s="800"/>
      <c r="V4" s="800"/>
      <c r="W4" s="800"/>
      <c r="X4" s="800"/>
      <c r="Y4" s="800"/>
      <c r="Z4" s="123">
        <f>'Def. Tax - Main Repl'!$AB4</f>
        <v>0</v>
      </c>
      <c r="AA4" s="228" t="s">
        <v>308</v>
      </c>
      <c r="AB4" s="121">
        <f>'Def. Tax - Main Repl'!AD4</f>
        <v>9.5000000000000001E-2</v>
      </c>
      <c r="AC4" s="229">
        <f>'Def. Tax - Main Repl'!AE4</f>
        <v>7.2190000000000004E-2</v>
      </c>
    </row>
    <row r="5" spans="1:29">
      <c r="A5" s="221"/>
      <c r="B5" s="222"/>
      <c r="C5" s="222"/>
      <c r="D5" s="224"/>
      <c r="E5" s="222"/>
      <c r="F5" s="224"/>
      <c r="G5" s="222"/>
      <c r="H5" s="224"/>
      <c r="I5" s="223"/>
      <c r="J5" s="223"/>
      <c r="K5" s="223"/>
      <c r="L5" s="223"/>
      <c r="M5" s="223"/>
      <c r="N5" s="222"/>
      <c r="O5" s="222"/>
      <c r="P5" s="224"/>
      <c r="Q5" s="222"/>
      <c r="R5" s="224"/>
      <c r="S5" s="223"/>
      <c r="T5" s="223"/>
      <c r="U5" s="223"/>
      <c r="V5" s="223"/>
      <c r="W5" s="223"/>
      <c r="X5" s="222"/>
      <c r="Y5" s="224"/>
      <c r="AA5" s="228" t="s">
        <v>309</v>
      </c>
      <c r="AB5" s="121">
        <f>'Def. Tax - Main Repl'!AD5</f>
        <v>8.5500000000000007E-2</v>
      </c>
      <c r="AC5" s="229">
        <f>'Def. Tax - Main Repl'!AE5</f>
        <v>6.6769999999999996E-2</v>
      </c>
    </row>
    <row r="6" spans="1:29">
      <c r="A6" s="206" t="str">
        <f>'Def. Tax - Main Repl'!A6</f>
        <v>Depreciation for the period</v>
      </c>
      <c r="B6" s="222"/>
      <c r="C6" s="222"/>
      <c r="D6" s="222"/>
      <c r="F6" s="226"/>
      <c r="G6" s="226"/>
      <c r="H6" s="226"/>
      <c r="I6" s="226" t="str">
        <f>+'Def. Tax - Main Repl'!E6</f>
        <v>Mar 1 - Dec 1</v>
      </c>
      <c r="J6" s="226"/>
      <c r="K6" s="226"/>
      <c r="L6" s="226"/>
      <c r="M6" s="226"/>
      <c r="N6" s="224"/>
      <c r="P6" s="226"/>
      <c r="Q6" s="226"/>
      <c r="R6" s="226"/>
      <c r="S6" s="226" t="str">
        <f>+'Def. Tax - Main Repl'!U6</f>
        <v>Mar 1 - Dec 1</v>
      </c>
      <c r="T6" s="226"/>
      <c r="U6" s="226"/>
      <c r="V6" s="226"/>
      <c r="W6" s="226"/>
      <c r="X6" s="224"/>
      <c r="Y6" s="224"/>
      <c r="AA6" s="228" t="s">
        <v>310</v>
      </c>
      <c r="AB6" s="121">
        <f>'Def. Tax - Main Repl'!AD6</f>
        <v>7.6999999999999999E-2</v>
      </c>
      <c r="AC6" s="229">
        <f>'Def. Tax - Main Repl'!AE6</f>
        <v>6.1769999999999999E-2</v>
      </c>
    </row>
    <row r="7" spans="1:29">
      <c r="A7" s="206"/>
      <c r="B7" s="222"/>
      <c r="C7" s="222"/>
      <c r="D7" s="222"/>
      <c r="F7" s="226"/>
      <c r="G7" s="226"/>
      <c r="H7" s="226"/>
      <c r="I7" s="226" t="str">
        <f>+'Def. Tax - Main Repl'!E7</f>
        <v>2016 - 2017</v>
      </c>
      <c r="J7" s="226"/>
      <c r="K7" s="226"/>
      <c r="L7" s="226"/>
      <c r="M7" s="226"/>
      <c r="N7" s="224"/>
      <c r="P7" s="226"/>
      <c r="Q7" s="226"/>
      <c r="R7" s="226"/>
      <c r="S7" s="226" t="str">
        <f>+'Def. Tax - Main Repl'!U7</f>
        <v>2016 - 2017</v>
      </c>
      <c r="T7" s="226"/>
      <c r="U7" s="226"/>
      <c r="V7" s="226"/>
      <c r="W7" s="226"/>
      <c r="X7" s="224"/>
      <c r="Y7" s="224"/>
      <c r="AA7" s="230"/>
      <c r="AB7" s="124"/>
      <c r="AC7" s="231"/>
    </row>
    <row r="8" spans="1:29">
      <c r="A8" s="206" t="str">
        <f>'Def. Tax - Main Repl'!A8</f>
        <v>for Plant in Service</v>
      </c>
      <c r="B8" s="222"/>
      <c r="C8" s="222"/>
      <c r="D8" s="222"/>
      <c r="F8" s="226"/>
      <c r="G8" s="226"/>
      <c r="H8" s="226"/>
      <c r="I8" s="226" t="str">
        <f>+'Def. Tax - Main Repl'!E8</f>
        <v>Mar - Sep</v>
      </c>
      <c r="J8" s="226"/>
      <c r="K8" s="226"/>
      <c r="L8" s="226"/>
      <c r="M8" s="226"/>
      <c r="P8" s="226"/>
      <c r="Q8" s="226"/>
      <c r="R8" s="226"/>
      <c r="S8" s="226" t="str">
        <f>+'Def. Tax - Main Repl'!U8</f>
        <v>Oct</v>
      </c>
      <c r="T8" s="226"/>
      <c r="U8" s="226"/>
      <c r="V8" s="226"/>
      <c r="W8" s="226"/>
      <c r="X8" s="206"/>
    </row>
    <row r="9" spans="1:29">
      <c r="D9" s="101">
        <f>'Def. Tax - Main Repl'!D9</f>
        <v>0</v>
      </c>
      <c r="F9" s="227"/>
      <c r="G9" s="227"/>
      <c r="H9" s="227"/>
      <c r="I9" s="227">
        <f>+'Def. Tax - Main Repl'!E9</f>
        <v>2016</v>
      </c>
      <c r="J9" s="227"/>
      <c r="K9" s="227"/>
      <c r="L9" s="227"/>
      <c r="M9" s="227"/>
      <c r="P9" s="227"/>
      <c r="Q9" s="227"/>
      <c r="R9" s="227"/>
      <c r="S9" s="227">
        <f>+'Def. Tax - Main Repl'!U9</f>
        <v>2017</v>
      </c>
      <c r="T9" s="227"/>
      <c r="U9" s="227"/>
      <c r="V9" s="227"/>
      <c r="W9" s="227"/>
      <c r="Y9" s="268" t="s">
        <v>42</v>
      </c>
    </row>
    <row r="10" spans="1:29">
      <c r="E10" s="102"/>
      <c r="G10" s="102"/>
      <c r="I10" s="102"/>
      <c r="K10" s="102"/>
      <c r="M10" s="102"/>
      <c r="O10" s="102"/>
      <c r="Q10" s="102"/>
      <c r="S10" s="102">
        <f>'Def. Tax - Main Repl'!U10</f>
        <v>0</v>
      </c>
      <c r="U10" s="102" t="str">
        <f>'Def. Tax - Main Repl'!W10</f>
        <v>B</v>
      </c>
      <c r="W10" s="102" t="str">
        <f>'Def. Tax - Main Repl'!Y10</f>
        <v>C</v>
      </c>
    </row>
    <row r="11" spans="1:29">
      <c r="D11" s="121"/>
      <c r="E11" s="267" t="s">
        <v>157</v>
      </c>
      <c r="F11" s="121"/>
      <c r="G11" s="267" t="s">
        <v>157</v>
      </c>
      <c r="H11" s="121"/>
      <c r="I11" s="267" t="s">
        <v>158</v>
      </c>
      <c r="J11" s="121"/>
      <c r="K11" s="267" t="s">
        <v>158</v>
      </c>
      <c r="L11" s="121"/>
      <c r="M11" s="267" t="s">
        <v>158</v>
      </c>
      <c r="N11" s="121"/>
      <c r="O11" s="267" t="s">
        <v>157</v>
      </c>
      <c r="P11" s="121"/>
      <c r="Q11" s="267" t="s">
        <v>157</v>
      </c>
      <c r="R11" s="121"/>
      <c r="S11" s="267" t="s">
        <v>158</v>
      </c>
      <c r="T11" s="121"/>
      <c r="U11" s="267" t="s">
        <v>158</v>
      </c>
      <c r="V11" s="121"/>
      <c r="W11" s="267" t="s">
        <v>158</v>
      </c>
      <c r="X11" s="121"/>
      <c r="Y11" s="121"/>
    </row>
    <row r="12" spans="1:29">
      <c r="D12" s="121"/>
      <c r="E12" s="268" t="s">
        <v>190</v>
      </c>
      <c r="F12" s="121"/>
      <c r="G12" s="268" t="s">
        <v>191</v>
      </c>
      <c r="H12" s="121"/>
      <c r="I12" s="268" t="s">
        <v>227</v>
      </c>
      <c r="J12" s="121"/>
      <c r="K12" s="268" t="s">
        <v>190</v>
      </c>
      <c r="L12" s="121"/>
      <c r="M12" s="268" t="s">
        <v>191</v>
      </c>
      <c r="N12" s="121"/>
      <c r="O12" s="268" t="s">
        <v>190</v>
      </c>
      <c r="P12" s="121"/>
      <c r="Q12" s="268" t="s">
        <v>191</v>
      </c>
      <c r="R12" s="121"/>
      <c r="S12" s="268" t="s">
        <v>227</v>
      </c>
      <c r="T12" s="121"/>
      <c r="U12" s="268" t="s">
        <v>190</v>
      </c>
      <c r="V12" s="121"/>
      <c r="W12" s="268" t="s">
        <v>191</v>
      </c>
      <c r="X12" s="121"/>
      <c r="Y12" s="124"/>
    </row>
    <row r="13" spans="1:29">
      <c r="A13" s="188" t="s">
        <v>79</v>
      </c>
    </row>
    <row r="14" spans="1:29">
      <c r="A14" s="101" t="s">
        <v>9</v>
      </c>
      <c r="E14" s="123">
        <v>0</v>
      </c>
      <c r="F14" s="123"/>
      <c r="G14" s="123">
        <v>0</v>
      </c>
      <c r="H14" s="123"/>
      <c r="I14" s="123">
        <f>'Summary info (bonus split)'!B7+'Summary info (bonus split)'!E7</f>
        <v>0</v>
      </c>
      <c r="J14" s="123"/>
      <c r="K14" s="123">
        <f>'Summary info (bonus split)'!C7</f>
        <v>0</v>
      </c>
      <c r="L14" s="123"/>
      <c r="M14" s="123">
        <f>'Summary info (bonus split)'!D7</f>
        <v>0</v>
      </c>
      <c r="N14" s="123"/>
      <c r="O14" s="123"/>
      <c r="P14" s="123"/>
      <c r="Q14" s="123">
        <v>0</v>
      </c>
      <c r="R14" s="123"/>
      <c r="S14" s="123">
        <f>'Summary info (bonus split)'!F7+'Summary info (bonus split)'!I7</f>
        <v>0</v>
      </c>
      <c r="T14" s="123"/>
      <c r="U14" s="123">
        <f>'Summary info (bonus split)'!G7</f>
        <v>1184594.52</v>
      </c>
      <c r="V14" s="123"/>
      <c r="W14" s="123">
        <f>'Summary info (bonus split)'!H7</f>
        <v>0</v>
      </c>
      <c r="Y14" s="123">
        <f>+SUM(E14:W14)</f>
        <v>1184594.52</v>
      </c>
    </row>
    <row r="15" spans="1:29">
      <c r="A15" s="188"/>
      <c r="Y15" s="123"/>
    </row>
    <row r="16" spans="1:29">
      <c r="A16" s="101" t="s">
        <v>193</v>
      </c>
      <c r="E16" s="235">
        <f>ROUND((E14*0.5),2)</f>
        <v>0</v>
      </c>
      <c r="G16" s="235">
        <f>ROUND((G14*0),2)</f>
        <v>0</v>
      </c>
      <c r="I16" s="235">
        <f>ROUND((I14*1),2)</f>
        <v>0</v>
      </c>
      <c r="K16" s="235">
        <f>ROUND((K14*0.5),2)</f>
        <v>0</v>
      </c>
      <c r="M16" s="235">
        <f>ROUND((M14*0),2)</f>
        <v>0</v>
      </c>
      <c r="O16" s="235">
        <f>ROUND((O14*0.5),2)</f>
        <v>0</v>
      </c>
      <c r="Q16" s="235">
        <f>ROUND((Q14*0),2)</f>
        <v>0</v>
      </c>
      <c r="S16" s="235">
        <f>ROUND((S14*1),2)</f>
        <v>0</v>
      </c>
      <c r="U16" s="235">
        <f>ROUND((U14*0.5),2)</f>
        <v>592297.26</v>
      </c>
      <c r="W16" s="235">
        <f>ROUND((W14*0),2)</f>
        <v>0</v>
      </c>
      <c r="Y16" s="104">
        <f>+SUM(E16:W16)</f>
        <v>592297.26</v>
      </c>
    </row>
    <row r="17" spans="1:25">
      <c r="A17" s="188"/>
      <c r="Y17" s="123"/>
    </row>
    <row r="18" spans="1:25">
      <c r="A18" s="101" t="s">
        <v>72</v>
      </c>
      <c r="D18" s="211"/>
      <c r="E18" s="209">
        <f>+E14-E16</f>
        <v>0</v>
      </c>
      <c r="F18" s="211"/>
      <c r="G18" s="209">
        <f>+G14-G16</f>
        <v>0</v>
      </c>
      <c r="H18" s="211"/>
      <c r="I18" s="209">
        <f>+I14-I16</f>
        <v>0</v>
      </c>
      <c r="J18" s="211"/>
      <c r="K18" s="209">
        <f>+K14-K16</f>
        <v>0</v>
      </c>
      <c r="L18" s="211"/>
      <c r="M18" s="209">
        <f>+M14-M16</f>
        <v>0</v>
      </c>
      <c r="N18" s="211"/>
      <c r="O18" s="209">
        <f>+O14-O16</f>
        <v>0</v>
      </c>
      <c r="P18" s="211"/>
      <c r="Q18" s="209">
        <f>+Q14-Q16</f>
        <v>0</v>
      </c>
      <c r="R18" s="211"/>
      <c r="S18" s="209">
        <f>+S14-S16</f>
        <v>0</v>
      </c>
      <c r="T18" s="211"/>
      <c r="U18" s="209">
        <f>+U14-U16</f>
        <v>592297.26</v>
      </c>
      <c r="V18" s="211"/>
      <c r="W18" s="209">
        <f>+W14-W16</f>
        <v>0</v>
      </c>
      <c r="X18" s="211"/>
      <c r="Y18" s="123">
        <f>SUM(E18:W18)</f>
        <v>592297.26</v>
      </c>
    </row>
    <row r="19" spans="1:25">
      <c r="D19" s="211"/>
      <c r="E19" s="211"/>
      <c r="F19" s="211"/>
      <c r="G19" s="211"/>
      <c r="H19" s="211"/>
      <c r="I19" s="211"/>
      <c r="J19" s="211"/>
      <c r="K19" s="211"/>
      <c r="L19" s="211"/>
      <c r="M19" s="211"/>
      <c r="N19" s="211"/>
      <c r="O19" s="211"/>
      <c r="P19" s="211"/>
      <c r="Q19" s="211"/>
      <c r="R19" s="211"/>
      <c r="S19" s="211"/>
      <c r="T19" s="211"/>
      <c r="U19" s="211"/>
      <c r="V19" s="211"/>
      <c r="W19" s="211"/>
      <c r="X19" s="211"/>
      <c r="Y19" s="123"/>
    </row>
    <row r="20" spans="1:25">
      <c r="A20" s="101" t="s">
        <v>194</v>
      </c>
      <c r="D20" s="211"/>
      <c r="E20" s="211"/>
      <c r="F20" s="211"/>
      <c r="G20" s="211"/>
      <c r="H20" s="211"/>
      <c r="I20" s="211"/>
      <c r="J20" s="211"/>
      <c r="K20" s="211"/>
      <c r="L20" s="211"/>
      <c r="M20" s="211"/>
      <c r="N20" s="211"/>
      <c r="O20" s="211"/>
      <c r="P20" s="211"/>
      <c r="Q20" s="211"/>
      <c r="R20" s="211"/>
      <c r="S20" s="211"/>
      <c r="T20" s="211"/>
      <c r="U20" s="211"/>
      <c r="V20" s="211"/>
      <c r="W20" s="211"/>
      <c r="X20" s="211"/>
      <c r="Y20" s="123"/>
    </row>
    <row r="21" spans="1:25">
      <c r="A21" s="233" t="str">
        <f>'Def. Tax - Main Repl'!A21</f>
        <v>Sept 1 - Sept 30, 2014</v>
      </c>
      <c r="D21" s="211"/>
      <c r="E21" s="123">
        <f>+ROUND(E16*$Z$2,2)</f>
        <v>0</v>
      </c>
      <c r="F21" s="123"/>
      <c r="G21" s="123">
        <f>+ROUND(G16*$Z$2,2)</f>
        <v>0</v>
      </c>
      <c r="H21" s="123"/>
      <c r="I21" s="123">
        <f>+ROUND(I16*$Z$2,2)</f>
        <v>0</v>
      </c>
      <c r="J21" s="123"/>
      <c r="K21" s="123">
        <f>+ROUND(K16*$Z$2,2)</f>
        <v>0</v>
      </c>
      <c r="L21" s="123"/>
      <c r="M21" s="123">
        <f>+ROUND(M16*$Z$2,2)</f>
        <v>0</v>
      </c>
      <c r="N21" s="123"/>
      <c r="O21" s="123">
        <v>0</v>
      </c>
      <c r="P21" s="123"/>
      <c r="Q21" s="123">
        <v>0</v>
      </c>
      <c r="R21" s="123"/>
      <c r="S21" s="123">
        <v>0</v>
      </c>
      <c r="T21" s="123"/>
      <c r="U21" s="123">
        <v>0</v>
      </c>
      <c r="V21" s="123"/>
      <c r="W21" s="123">
        <v>0</v>
      </c>
      <c r="X21" s="211"/>
      <c r="Y21" s="123">
        <f>+SUM(E21:W21)</f>
        <v>0</v>
      </c>
    </row>
    <row r="22" spans="1:25">
      <c r="A22" s="233" t="str">
        <f>'Def. Tax - Main Repl'!A22</f>
        <v>Oct 1, 2014 - Feb 28, 2015</v>
      </c>
      <c r="D22" s="211"/>
      <c r="E22" s="123">
        <v>0</v>
      </c>
      <c r="F22" s="123"/>
      <c r="G22" s="123">
        <v>0</v>
      </c>
      <c r="H22" s="123"/>
      <c r="I22" s="123">
        <v>0</v>
      </c>
      <c r="J22" s="123"/>
      <c r="K22" s="123">
        <v>0</v>
      </c>
      <c r="L22" s="123"/>
      <c r="M22" s="123">
        <v>0</v>
      </c>
      <c r="N22" s="123"/>
      <c r="O22" s="123">
        <f>+ROUND(O16*($Z$3),2)</f>
        <v>0</v>
      </c>
      <c r="P22" s="123"/>
      <c r="Q22" s="123">
        <f>+ROUND(Q16*($Z$3),2)</f>
        <v>0</v>
      </c>
      <c r="R22" s="123"/>
      <c r="S22" s="123">
        <f>+ROUND(S16*($Z$2),2)</f>
        <v>0</v>
      </c>
      <c r="T22" s="123"/>
      <c r="U22" s="123">
        <f>+ROUND(U16*($Z$3),2)</f>
        <v>345506.74</v>
      </c>
      <c r="V22" s="123"/>
      <c r="W22" s="123">
        <f>+ROUND(W16*($Z$2),2)</f>
        <v>0</v>
      </c>
      <c r="X22" s="211"/>
      <c r="Y22" s="123">
        <f>+SUM(E22:W22)</f>
        <v>345506.74</v>
      </c>
    </row>
    <row r="23" spans="1:25">
      <c r="D23" s="211"/>
      <c r="E23" s="211"/>
      <c r="F23" s="211"/>
      <c r="G23" s="211"/>
      <c r="H23" s="211"/>
      <c r="I23" s="211"/>
      <c r="J23" s="211"/>
      <c r="K23" s="211"/>
      <c r="L23" s="211"/>
      <c r="M23" s="211"/>
      <c r="N23" s="211"/>
      <c r="O23" s="211"/>
      <c r="P23" s="211"/>
      <c r="Q23" s="211"/>
      <c r="R23" s="211"/>
      <c r="S23" s="211"/>
      <c r="T23" s="211"/>
      <c r="U23" s="211"/>
      <c r="V23" s="211"/>
      <c r="W23" s="211"/>
      <c r="X23" s="211"/>
      <c r="Y23" s="123"/>
    </row>
    <row r="24" spans="1:25">
      <c r="A24" s="101" t="s">
        <v>73</v>
      </c>
      <c r="D24" s="211"/>
      <c r="E24" s="211"/>
      <c r="F24" s="211"/>
      <c r="G24" s="211"/>
      <c r="H24" s="211"/>
      <c r="I24" s="211"/>
      <c r="J24" s="211"/>
      <c r="K24" s="211"/>
      <c r="L24" s="211"/>
      <c r="M24" s="211"/>
      <c r="N24" s="211"/>
      <c r="O24" s="211"/>
      <c r="P24" s="211"/>
      <c r="Q24" s="211"/>
      <c r="R24" s="211"/>
      <c r="S24" s="211"/>
      <c r="T24" s="211"/>
      <c r="U24" s="211"/>
      <c r="V24" s="211"/>
      <c r="W24" s="211"/>
      <c r="X24" s="211"/>
      <c r="Y24" s="123"/>
    </row>
    <row r="25" spans="1:25">
      <c r="A25" s="233" t="str">
        <f>'Def. Tax - Main Repl'!A25</f>
        <v>Fiscal Year 2016 (Oct 1 - Sep 30)</v>
      </c>
      <c r="D25" s="234"/>
      <c r="E25" s="240">
        <f>ROUND((E18*$AB$3)*$Z$2,2)</f>
        <v>0</v>
      </c>
      <c r="F25" s="234"/>
      <c r="G25" s="240">
        <f>ROUND((G18*$AB$3)*$Z$2,2)</f>
        <v>0</v>
      </c>
      <c r="H25" s="234"/>
      <c r="I25" s="240">
        <f>ROUND((I$18*$AC3)*$Z2,2)</f>
        <v>0</v>
      </c>
      <c r="J25" s="234"/>
      <c r="K25" s="240">
        <f>ROUND((K$18*$AC3)*$Z2,2)</f>
        <v>0</v>
      </c>
      <c r="L25" s="234"/>
      <c r="M25" s="240">
        <f>ROUND((M$18*$AC3)*$Z2,2)</f>
        <v>0</v>
      </c>
      <c r="N25" s="234"/>
      <c r="O25" s="240">
        <v>0</v>
      </c>
      <c r="P25" s="234"/>
      <c r="Q25" s="240">
        <v>0</v>
      </c>
      <c r="R25" s="234"/>
      <c r="S25" s="240">
        <v>0</v>
      </c>
      <c r="T25" s="234"/>
      <c r="U25" s="240">
        <v>0</v>
      </c>
      <c r="V25" s="234"/>
      <c r="W25" s="240">
        <v>0</v>
      </c>
      <c r="X25" s="234"/>
      <c r="Y25" s="103">
        <f>+SUM(E25:W25)</f>
        <v>0</v>
      </c>
    </row>
    <row r="26" spans="1:25">
      <c r="A26" s="233" t="str">
        <f>'Def. Tax - Main Repl'!A26</f>
        <v>Fiscal Year 2017 (Oct 1 - Nov 30)</v>
      </c>
      <c r="D26" s="234"/>
      <c r="E26" s="235">
        <f>ROUND((E18*$AB$4)*$Z$3,2)</f>
        <v>0</v>
      </c>
      <c r="F26" s="234"/>
      <c r="G26" s="235">
        <f>ROUND((G18*$AB$4)*$Z$3,2)</f>
        <v>0</v>
      </c>
      <c r="H26" s="234"/>
      <c r="I26" s="240">
        <f>ROUND((I$18*$AC4)*$Z3,2)</f>
        <v>0</v>
      </c>
      <c r="J26" s="234"/>
      <c r="K26" s="240">
        <f>ROUND((K$18*$AC4)*$Z3,2)</f>
        <v>0</v>
      </c>
      <c r="L26" s="234"/>
      <c r="M26" s="240">
        <f>ROUND((M$18*$AC4)*$Z3,2)</f>
        <v>0</v>
      </c>
      <c r="N26" s="234"/>
      <c r="O26" s="235">
        <f>ROUND((O18*$AB$3)*$Z$3,2)</f>
        <v>0</v>
      </c>
      <c r="P26" s="234"/>
      <c r="Q26" s="235">
        <f>ROUND((Q18*$AB$3)*$Z$3,2)</f>
        <v>0</v>
      </c>
      <c r="R26" s="234"/>
      <c r="S26" s="240">
        <f>ROUND((S$18*$AC3)*$Z3,2)</f>
        <v>0</v>
      </c>
      <c r="T26" s="234"/>
      <c r="U26" s="240">
        <f>ROUND((U$18*$AC3)*$Z3,2)</f>
        <v>12956.5</v>
      </c>
      <c r="V26" s="234"/>
      <c r="W26" s="240">
        <f>ROUND((W$18*$AC3)*$Z3,2)</f>
        <v>0</v>
      </c>
      <c r="X26" s="234"/>
      <c r="Y26" s="103">
        <f>+SUM(E26:W26)</f>
        <v>12956.5</v>
      </c>
    </row>
    <row r="27" spans="1:25">
      <c r="A27" s="233" t="str">
        <f>'Def. Tax - Main Repl'!A27</f>
        <v/>
      </c>
      <c r="D27" s="234"/>
      <c r="E27" s="240"/>
      <c r="F27" s="234"/>
      <c r="G27" s="240"/>
      <c r="H27" s="234"/>
      <c r="I27" s="235">
        <f>ROUND((I$18*$AC5)*$Z4,2)</f>
        <v>0</v>
      </c>
      <c r="J27" s="234"/>
      <c r="K27" s="235">
        <f>ROUND((K$18*$AC5)*$Z4,2)</f>
        <v>0</v>
      </c>
      <c r="L27" s="234"/>
      <c r="M27" s="235">
        <f>ROUND((M$18*$AC5)*$Z4,2)</f>
        <v>0</v>
      </c>
      <c r="N27" s="234"/>
      <c r="O27" s="240"/>
      <c r="P27" s="234"/>
      <c r="Q27" s="240"/>
      <c r="R27" s="234"/>
      <c r="S27" s="235">
        <f>ROUND((S$18*$AC4)*$Z4,2)</f>
        <v>0</v>
      </c>
      <c r="T27" s="234"/>
      <c r="U27" s="235">
        <f>ROUND((U$18*$AC4)*$Z4,2)</f>
        <v>0</v>
      </c>
      <c r="V27" s="234"/>
      <c r="W27" s="235">
        <f>ROUND((W$18*$AC4)*$Z4,2)</f>
        <v>0</v>
      </c>
      <c r="X27" s="234"/>
      <c r="Y27" s="104">
        <f>+SUM(E27:W27)</f>
        <v>0</v>
      </c>
    </row>
    <row r="28" spans="1:25">
      <c r="D28" s="211"/>
      <c r="E28" s="211"/>
      <c r="F28" s="211"/>
      <c r="G28" s="211"/>
      <c r="H28" s="211"/>
      <c r="I28" s="211"/>
      <c r="J28" s="211"/>
      <c r="K28" s="211"/>
      <c r="L28" s="211"/>
      <c r="M28" s="211"/>
      <c r="N28" s="211"/>
      <c r="O28" s="211"/>
      <c r="P28" s="211"/>
      <c r="Q28" s="211"/>
      <c r="R28" s="211"/>
      <c r="S28" s="211"/>
      <c r="T28" s="211"/>
      <c r="U28" s="211"/>
      <c r="V28" s="211"/>
      <c r="W28" s="211"/>
      <c r="X28" s="211"/>
      <c r="Y28" s="123"/>
    </row>
    <row r="29" spans="1:25">
      <c r="A29" s="101" t="s">
        <v>74</v>
      </c>
      <c r="D29" s="211"/>
      <c r="E29" s="209">
        <f>SUM(E21:E28)</f>
        <v>0</v>
      </c>
      <c r="F29" s="211"/>
      <c r="G29" s="209">
        <f>SUM(G21:G28)</f>
        <v>0</v>
      </c>
      <c r="H29" s="211"/>
      <c r="I29" s="209">
        <f>SUM(I21:I28)</f>
        <v>0</v>
      </c>
      <c r="J29" s="211"/>
      <c r="K29" s="209">
        <f>SUM(K21:K28)</f>
        <v>0</v>
      </c>
      <c r="L29" s="211"/>
      <c r="M29" s="209">
        <f>SUM(M21:M28)</f>
        <v>0</v>
      </c>
      <c r="N29" s="211"/>
      <c r="O29" s="209">
        <f>SUM(O21:O28)</f>
        <v>0</v>
      </c>
      <c r="P29" s="211"/>
      <c r="Q29" s="209">
        <f>SUM(Q21:Q28)</f>
        <v>0</v>
      </c>
      <c r="R29" s="211"/>
      <c r="S29" s="209">
        <f>SUM(S21:S28)</f>
        <v>0</v>
      </c>
      <c r="T29" s="211"/>
      <c r="U29" s="209">
        <f>SUM(U21:U28)</f>
        <v>358463.24</v>
      </c>
      <c r="V29" s="211"/>
      <c r="W29" s="209">
        <f>SUM(W21:W28)</f>
        <v>0</v>
      </c>
      <c r="X29" s="211"/>
      <c r="Y29" s="123">
        <f>SUM(E29:W29)</f>
        <v>358463.24</v>
      </c>
    </row>
    <row r="30" spans="1:25">
      <c r="Y30" s="123"/>
    </row>
    <row r="31" spans="1:25">
      <c r="A31" s="101" t="s">
        <v>75</v>
      </c>
      <c r="Y31" s="104">
        <f>'Summary info'!K6</f>
        <v>4710.07</v>
      </c>
    </row>
    <row r="32" spans="1:25">
      <c r="Y32" s="123"/>
    </row>
    <row r="33" spans="1:25">
      <c r="A33" s="101" t="s">
        <v>76</v>
      </c>
      <c r="Y33" s="123"/>
    </row>
    <row r="34" spans="1:25">
      <c r="B34" s="101" t="s">
        <v>77</v>
      </c>
      <c r="Y34" s="104">
        <f>SUM(Y29-Y31)</f>
        <v>353753.17</v>
      </c>
    </row>
    <row r="35" spans="1:25">
      <c r="Y35" s="123"/>
    </row>
    <row r="36" spans="1:25" ht="13.5" thickBot="1">
      <c r="A36" s="101" t="str">
        <f>'Def. Tax - Main Repl'!A36</f>
        <v>Deferred Income Taxes (@38.5272%)</v>
      </c>
      <c r="Y36" s="130">
        <f>ROUND((Y34*'Revenue Requirement'!J61),2)</f>
        <v>136291.35999999999</v>
      </c>
    </row>
    <row r="37" spans="1:25" ht="13.5" thickTop="1"/>
    <row r="45" spans="1:25">
      <c r="Y45" s="202" t="s">
        <v>140</v>
      </c>
    </row>
    <row r="46" spans="1:25">
      <c r="Y46" s="202" t="str">
        <f>+"Page 12 of "&amp;FIXED('Revenue Requirement'!$S$1,0)</f>
        <v>Page 12 of 15</v>
      </c>
    </row>
    <row r="56" ht="11.25" customHeight="1"/>
  </sheetData>
  <mergeCells count="3">
    <mergeCell ref="A3:Y3"/>
    <mergeCell ref="A4:Y4"/>
    <mergeCell ref="AA1:AC1"/>
  </mergeCells>
  <phoneticPr fontId="10" type="noConversion"/>
  <printOptions horizontalCentered="1"/>
  <pageMargins left="0.75" right="0.75" top="1" bottom="1" header="0.5" footer="0.5"/>
  <pageSetup scale="7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C45"/>
  <sheetViews>
    <sheetView workbookViewId="0"/>
  </sheetViews>
  <sheetFormatPr defaultColWidth="9.140625" defaultRowHeight="12.75"/>
  <cols>
    <col min="2" max="2" width="4.42578125" style="34" customWidth="1"/>
    <col min="3" max="3" width="21.7109375" customWidth="1"/>
    <col min="4" max="4" width="1.42578125" customWidth="1"/>
    <col min="5" max="5" width="11.28515625" style="34" hidden="1" customWidth="1"/>
    <col min="6" max="6" width="1.42578125" style="34" hidden="1" customWidth="1"/>
    <col min="7" max="7" width="11.28515625" style="34" hidden="1" customWidth="1"/>
    <col min="8" max="8" width="1.42578125" style="34" hidden="1" customWidth="1"/>
    <col min="9" max="9" width="11.28515625" style="34" customWidth="1"/>
    <col min="10" max="10" width="1.42578125" style="34" customWidth="1"/>
    <col min="11" max="11" width="11.28515625" style="34" customWidth="1"/>
    <col min="12" max="12" width="1.42578125" style="34" customWidth="1"/>
    <col min="13" max="13" width="11.28515625" style="34" customWidth="1"/>
    <col min="14" max="14" width="1.42578125" style="34" customWidth="1"/>
    <col min="15" max="15" width="11.28515625" style="34" hidden="1" customWidth="1"/>
    <col min="16" max="16" width="1.42578125" style="34" hidden="1" customWidth="1"/>
    <col min="17" max="17" width="11.28515625" style="34" hidden="1" customWidth="1"/>
    <col min="18" max="18" width="1.42578125" style="34" hidden="1" customWidth="1"/>
    <col min="19" max="19" width="11.28515625" style="34" bestFit="1" customWidth="1"/>
    <col min="20" max="20" width="1.42578125" style="34" customWidth="1"/>
    <col min="21" max="21" width="11.28515625" style="34" bestFit="1" customWidth="1"/>
    <col min="22" max="22" width="1.42578125" style="34" customWidth="1"/>
    <col min="23" max="23" width="11.28515625" style="34" bestFit="1" customWidth="1"/>
    <col min="24" max="24" width="1.42578125" style="34" customWidth="1"/>
    <col min="25" max="25" width="11.42578125" bestFit="1" customWidth="1"/>
    <col min="26" max="26" width="9.28515625" bestFit="1" customWidth="1"/>
    <col min="27" max="27" width="8" bestFit="1" customWidth="1"/>
    <col min="28" max="28" width="7.140625" bestFit="1" customWidth="1"/>
    <col min="29" max="29" width="8.140625" bestFit="1" customWidth="1"/>
    <col min="30" max="30" width="11.42578125" customWidth="1"/>
  </cols>
  <sheetData>
    <row r="1" spans="1:29">
      <c r="Z1" s="63" t="s">
        <v>313</v>
      </c>
      <c r="AA1" s="802" t="s">
        <v>306</v>
      </c>
      <c r="AB1" s="803"/>
      <c r="AC1" s="804"/>
    </row>
    <row r="2" spans="1:29">
      <c r="Z2" s="26">
        <f>'Def. Tax - Main Repl'!$AB$2</f>
        <v>1</v>
      </c>
      <c r="AA2" s="62"/>
      <c r="AB2" s="57" t="s">
        <v>311</v>
      </c>
      <c r="AC2" s="64" t="s">
        <v>312</v>
      </c>
    </row>
    <row r="3" spans="1:29">
      <c r="A3" s="801" t="s">
        <v>14</v>
      </c>
      <c r="B3" s="801"/>
      <c r="C3" s="801"/>
      <c r="D3" s="801"/>
      <c r="E3" s="801"/>
      <c r="F3" s="801"/>
      <c r="G3" s="801"/>
      <c r="H3" s="801"/>
      <c r="I3" s="801"/>
      <c r="J3" s="801"/>
      <c r="K3" s="801"/>
      <c r="L3" s="801"/>
      <c r="M3" s="801"/>
      <c r="N3" s="801"/>
      <c r="O3" s="801"/>
      <c r="P3" s="801"/>
      <c r="Q3" s="801"/>
      <c r="R3" s="801"/>
      <c r="S3" s="801"/>
      <c r="T3" s="801"/>
      <c r="U3" s="801"/>
      <c r="V3" s="801"/>
      <c r="W3" s="801"/>
      <c r="X3" s="801"/>
      <c r="Y3" s="801"/>
      <c r="Z3" s="26">
        <f>'Def. Tax - Main Repl'!$AB3</f>
        <v>0.58333333333333337</v>
      </c>
      <c r="AA3" s="58" t="s">
        <v>307</v>
      </c>
      <c r="AB3" s="5">
        <f>'Def. Tax - Main Repl'!AD3</f>
        <v>0.05</v>
      </c>
      <c r="AC3" s="59">
        <f>'Def. Tax - Main Repl'!AE3</f>
        <v>3.7499999999999999E-2</v>
      </c>
    </row>
    <row r="4" spans="1:29">
      <c r="A4" s="801" t="s">
        <v>224</v>
      </c>
      <c r="B4" s="801"/>
      <c r="C4" s="801"/>
      <c r="D4" s="801"/>
      <c r="E4" s="801"/>
      <c r="F4" s="801"/>
      <c r="G4" s="801"/>
      <c r="H4" s="801"/>
      <c r="I4" s="801"/>
      <c r="J4" s="801"/>
      <c r="K4" s="801"/>
      <c r="L4" s="801"/>
      <c r="M4" s="801"/>
      <c r="N4" s="801"/>
      <c r="O4" s="801"/>
      <c r="P4" s="801"/>
      <c r="Q4" s="801"/>
      <c r="R4" s="801"/>
      <c r="S4" s="801"/>
      <c r="T4" s="801"/>
      <c r="U4" s="801"/>
      <c r="V4" s="801"/>
      <c r="W4" s="801"/>
      <c r="X4" s="801"/>
      <c r="Y4" s="801"/>
      <c r="Z4" s="26">
        <f>'Def. Tax - Main Repl'!$AB4</f>
        <v>0</v>
      </c>
      <c r="AA4" s="58" t="s">
        <v>308</v>
      </c>
      <c r="AB4" s="5">
        <f>'Def. Tax - Main Repl'!AD4</f>
        <v>9.5000000000000001E-2</v>
      </c>
      <c r="AC4" s="59">
        <f>'Def. Tax - Main Repl'!AE4</f>
        <v>7.2190000000000004E-2</v>
      </c>
    </row>
    <row r="5" spans="1:29">
      <c r="A5" s="13"/>
      <c r="B5" s="41"/>
      <c r="C5" s="14"/>
      <c r="D5" s="14"/>
      <c r="E5" s="35"/>
      <c r="F5" s="41"/>
      <c r="G5" s="35"/>
      <c r="H5" s="41"/>
      <c r="I5" s="36"/>
      <c r="J5" s="36"/>
      <c r="K5" s="36"/>
      <c r="L5" s="36"/>
      <c r="M5" s="36"/>
      <c r="N5" s="35"/>
      <c r="O5" s="35"/>
      <c r="P5" s="41"/>
      <c r="Q5" s="35"/>
      <c r="R5" s="41"/>
      <c r="S5" s="36"/>
      <c r="T5" s="36"/>
      <c r="U5" s="36"/>
      <c r="V5" s="36"/>
      <c r="W5" s="36"/>
      <c r="X5" s="35"/>
      <c r="Y5" s="30"/>
      <c r="Z5" s="14"/>
      <c r="AA5" s="58" t="s">
        <v>309</v>
      </c>
      <c r="AB5" s="5">
        <v>8.5500000000000007E-2</v>
      </c>
      <c r="AC5" s="59">
        <v>6.6769999999999996E-2</v>
      </c>
    </row>
    <row r="6" spans="1:29">
      <c r="A6" s="46" t="str">
        <f>'Def. Tax - Main Repl'!A6</f>
        <v>Depreciation for the period</v>
      </c>
      <c r="B6" s="14"/>
      <c r="C6" s="14"/>
      <c r="D6" s="14"/>
      <c r="F6" s="51"/>
      <c r="G6" s="51"/>
      <c r="H6" s="52"/>
      <c r="I6" s="51" t="str">
        <f>+'Def. Tax - Main Repl'!E6</f>
        <v>Mar 1 - Dec 1</v>
      </c>
      <c r="J6" s="52"/>
      <c r="K6" s="51"/>
      <c r="L6" s="52"/>
      <c r="M6" s="51"/>
      <c r="N6" s="41"/>
      <c r="P6" s="51"/>
      <c r="Q6" s="51"/>
      <c r="R6" s="52"/>
      <c r="S6" s="51" t="str">
        <f>+'Def. Tax - Main Repl'!U6</f>
        <v>Mar 1 - Dec 1</v>
      </c>
      <c r="T6" s="52"/>
      <c r="U6" s="51"/>
      <c r="V6" s="52"/>
      <c r="W6" s="51"/>
      <c r="X6" s="41"/>
      <c r="Y6" s="30"/>
      <c r="AA6" s="58" t="s">
        <v>310</v>
      </c>
      <c r="AB6" s="5">
        <v>7.6999999999999999E-2</v>
      </c>
      <c r="AC6" s="59">
        <v>6.1769999999999999E-2</v>
      </c>
    </row>
    <row r="7" spans="1:29">
      <c r="A7" s="46"/>
      <c r="B7" s="14"/>
      <c r="C7" s="14"/>
      <c r="D7" s="14"/>
      <c r="F7" s="51"/>
      <c r="G7" s="51"/>
      <c r="H7" s="52"/>
      <c r="I7" s="51" t="str">
        <f>+'Def. Tax - Main Repl'!E7</f>
        <v>2016 - 2017</v>
      </c>
      <c r="J7" s="52"/>
      <c r="K7" s="51"/>
      <c r="L7" s="52"/>
      <c r="M7" s="51"/>
      <c r="N7" s="41"/>
      <c r="P7" s="51"/>
      <c r="Q7" s="51"/>
      <c r="R7" s="52"/>
      <c r="S7" s="51" t="str">
        <f>+'Def. Tax - Main Repl'!U7</f>
        <v>2016 - 2017</v>
      </c>
      <c r="T7" s="52"/>
      <c r="U7" s="51"/>
      <c r="V7" s="52"/>
      <c r="W7" s="51"/>
      <c r="X7" s="41"/>
      <c r="Y7" s="30"/>
      <c r="AA7" s="60"/>
      <c r="AB7" s="4"/>
      <c r="AC7" s="61"/>
    </row>
    <row r="8" spans="1:29">
      <c r="A8" s="46" t="str">
        <f>'Def. Tax - Main Repl'!A8</f>
        <v>for Plant in Service</v>
      </c>
      <c r="B8" s="14"/>
      <c r="C8" s="14"/>
      <c r="D8" s="14"/>
      <c r="F8" s="51"/>
      <c r="G8" s="51"/>
      <c r="H8" s="52"/>
      <c r="I8" s="51" t="str">
        <f>+'Def. Tax - Main Repl'!E8</f>
        <v>Mar - Sep</v>
      </c>
      <c r="J8" s="52"/>
      <c r="K8" s="51"/>
      <c r="L8" s="52"/>
      <c r="M8" s="51"/>
      <c r="P8" s="51"/>
      <c r="Q8" s="51"/>
      <c r="R8" s="52"/>
      <c r="S8" s="51" t="str">
        <f>+'Def. Tax - Main Repl'!U8</f>
        <v>Oct</v>
      </c>
      <c r="T8" s="52"/>
      <c r="U8" s="51"/>
      <c r="V8" s="52"/>
      <c r="W8" s="51"/>
    </row>
    <row r="9" spans="1:29">
      <c r="F9" s="53"/>
      <c r="G9" s="50"/>
      <c r="H9" s="53"/>
      <c r="I9" s="50">
        <f>+'Def. Tax - Main Repl'!E9</f>
        <v>2016</v>
      </c>
      <c r="J9" s="53"/>
      <c r="K9" s="50"/>
      <c r="L9" s="53"/>
      <c r="M9" s="50"/>
      <c r="P9" s="53"/>
      <c r="Q9" s="50"/>
      <c r="R9" s="53"/>
      <c r="S9" s="50">
        <f>+'Def. Tax - Main Repl'!U9</f>
        <v>2017</v>
      </c>
      <c r="T9" s="53"/>
      <c r="U9" s="50"/>
      <c r="V9" s="53"/>
      <c r="W9" s="50"/>
      <c r="Y9" s="15" t="s">
        <v>42</v>
      </c>
    </row>
    <row r="10" spans="1:29">
      <c r="E10" s="37"/>
      <c r="G10" s="37"/>
      <c r="I10" s="37"/>
      <c r="K10" s="37"/>
      <c r="M10" s="37"/>
      <c r="O10" s="37"/>
      <c r="Q10" s="37"/>
      <c r="S10" s="37"/>
      <c r="U10" s="37"/>
      <c r="W10" s="37"/>
    </row>
    <row r="11" spans="1:29">
      <c r="B11" s="39"/>
      <c r="E11" s="38" t="s">
        <v>157</v>
      </c>
      <c r="F11" s="39"/>
      <c r="G11" s="38" t="s">
        <v>157</v>
      </c>
      <c r="H11" s="39"/>
      <c r="I11" s="38" t="s">
        <v>158</v>
      </c>
      <c r="J11" s="39"/>
      <c r="K11" s="38" t="s">
        <v>158</v>
      </c>
      <c r="L11" s="39"/>
      <c r="M11" s="38" t="s">
        <v>158</v>
      </c>
      <c r="N11" s="39"/>
      <c r="O11" s="38" t="s">
        <v>157</v>
      </c>
      <c r="P11" s="39"/>
      <c r="Q11" s="38" t="s">
        <v>157</v>
      </c>
      <c r="R11" s="39"/>
      <c r="S11" s="38" t="s">
        <v>158</v>
      </c>
      <c r="T11" s="39"/>
      <c r="U11" s="38" t="s">
        <v>158</v>
      </c>
      <c r="V11" s="39"/>
      <c r="W11" s="38" t="s">
        <v>158</v>
      </c>
      <c r="X11" s="39"/>
      <c r="Y11" s="5"/>
    </row>
    <row r="12" spans="1:29">
      <c r="B12" s="39"/>
      <c r="E12" s="40" t="s">
        <v>190</v>
      </c>
      <c r="F12" s="39"/>
      <c r="G12" s="40" t="s">
        <v>191</v>
      </c>
      <c r="H12" s="39"/>
      <c r="I12" s="40" t="s">
        <v>227</v>
      </c>
      <c r="J12" s="39"/>
      <c r="K12" s="40" t="s">
        <v>190</v>
      </c>
      <c r="L12" s="39"/>
      <c r="M12" s="40" t="s">
        <v>191</v>
      </c>
      <c r="N12" s="39"/>
      <c r="O12" s="40" t="s">
        <v>190</v>
      </c>
      <c r="P12" s="39"/>
      <c r="Q12" s="40" t="s">
        <v>191</v>
      </c>
      <c r="R12" s="39"/>
      <c r="S12" s="40" t="s">
        <v>227</v>
      </c>
      <c r="T12" s="39"/>
      <c r="U12" s="40" t="s">
        <v>190</v>
      </c>
      <c r="V12" s="39"/>
      <c r="W12" s="40" t="s">
        <v>191</v>
      </c>
      <c r="X12" s="39"/>
      <c r="Y12" s="4"/>
    </row>
    <row r="13" spans="1:29">
      <c r="A13" s="2" t="s">
        <v>81</v>
      </c>
    </row>
    <row r="14" spans="1:29" s="7" customFormat="1">
      <c r="A14" s="7" t="s">
        <v>9</v>
      </c>
      <c r="B14" s="34"/>
      <c r="E14" s="32">
        <f>SUMIF('Summary info (bonus split)'!$B$6:$E$6,"B",'Summary info (bonus split)'!$B$13:$E$13)+SUMIF('Summary info (bonus split)'!$B$6:$E$6,"E",'Summary info (bonus split)'!$B$13:$E$13)</f>
        <v>0</v>
      </c>
      <c r="F14" s="32"/>
      <c r="G14" s="22">
        <f>SUMIF('Summary info (bonus split)'!$B$6:$E$6,"A",'Summary info (bonus split)'!$B$13:$E$13)+SUMIF('Summary info (bonus split)'!$B$6:$E$6,"C",'Summary info (bonus split)'!$B$13:$E$13)</f>
        <v>0</v>
      </c>
      <c r="H14" s="22"/>
      <c r="I14" s="22">
        <f>'Summary info (bonus split)'!B13+'Summary info (bonus split)'!E13</f>
        <v>0</v>
      </c>
      <c r="J14" s="22"/>
      <c r="K14" s="22">
        <f>'Summary info (bonus split)'!C13</f>
        <v>0</v>
      </c>
      <c r="L14" s="22"/>
      <c r="M14" s="22">
        <f>'Summary info (bonus split)'!D13</f>
        <v>0</v>
      </c>
      <c r="N14" s="22"/>
      <c r="O14" s="32">
        <f>SUMIF('Summary info (bonus split)'!$F$6:$I$6,"B",'Summary info (bonus split)'!$F$13:$I$13)+SUMIF('Summary info (bonus split)'!$F$6:$I$6,"E",'Summary info (bonus split)'!$F$13:$I$13)</f>
        <v>0</v>
      </c>
      <c r="P14" s="32"/>
      <c r="Q14" s="22">
        <f>SUMIF('Summary info (bonus split)'!$F$6:$I$6,"A",'Summary info (bonus split)'!$F$13:$I$13)+SUMIF('Summary info (bonus split)'!$F$6:$I$6,"C",'Summary info (bonus split)'!$F$13:$I$13)</f>
        <v>0</v>
      </c>
      <c r="R14" s="22"/>
      <c r="S14" s="22">
        <f>'Summary info (bonus split)'!F13+'Summary info (bonus split)'!I13</f>
        <v>0</v>
      </c>
      <c r="T14" s="22"/>
      <c r="U14" s="22">
        <f>'Summary info (bonus split)'!G13</f>
        <v>0</v>
      </c>
      <c r="V14" s="22"/>
      <c r="W14" s="22">
        <f>'Summary info (bonus split)'!H13</f>
        <v>0</v>
      </c>
      <c r="X14" s="34"/>
      <c r="Y14" s="23">
        <f>+SUM(E14:W14)</f>
        <v>0</v>
      </c>
      <c r="AB14"/>
      <c r="AC14"/>
    </row>
    <row r="15" spans="1:29" s="7" customFormat="1">
      <c r="B15" s="34"/>
      <c r="E15" s="34"/>
      <c r="F15" s="34"/>
      <c r="G15" s="34"/>
      <c r="H15" s="34"/>
      <c r="I15" s="34"/>
      <c r="J15" s="34"/>
      <c r="K15" s="34"/>
      <c r="L15" s="34"/>
      <c r="M15" s="34"/>
      <c r="N15" s="34"/>
      <c r="O15" s="34"/>
      <c r="P15" s="34"/>
      <c r="Q15" s="34"/>
      <c r="R15" s="34"/>
      <c r="S15" s="34"/>
      <c r="T15" s="34"/>
      <c r="U15" s="34"/>
      <c r="V15" s="34"/>
      <c r="W15" s="34"/>
      <c r="X15" s="34"/>
    </row>
    <row r="16" spans="1:29" s="7" customFormat="1">
      <c r="A16" s="7" t="s">
        <v>193</v>
      </c>
      <c r="B16" s="34"/>
      <c r="E16" s="42">
        <f>ROUND((E14*0.5),2)</f>
        <v>0</v>
      </c>
      <c r="F16" s="34"/>
      <c r="G16" s="42">
        <f>ROUND((G14*0),2)</f>
        <v>0</v>
      </c>
      <c r="H16" s="34"/>
      <c r="I16" s="42">
        <f>ROUND((I14*1),2)</f>
        <v>0</v>
      </c>
      <c r="J16" s="34"/>
      <c r="K16" s="42">
        <f>ROUND((K14*0.5),2)</f>
        <v>0</v>
      </c>
      <c r="L16" s="34"/>
      <c r="M16" s="42">
        <f>ROUND((M14*0),2)</f>
        <v>0</v>
      </c>
      <c r="N16" s="34"/>
      <c r="O16" s="42">
        <f>ROUND((O14*0.5),2)</f>
        <v>0</v>
      </c>
      <c r="P16" s="34"/>
      <c r="Q16" s="42">
        <f>ROUND((Q14*0),2)</f>
        <v>0</v>
      </c>
      <c r="R16" s="34"/>
      <c r="S16" s="42">
        <f>ROUND((S14*1),2)</f>
        <v>0</v>
      </c>
      <c r="T16" s="34"/>
      <c r="U16" s="42">
        <f>ROUND((U14*0.5),2)</f>
        <v>0</v>
      </c>
      <c r="V16" s="34"/>
      <c r="W16" s="42">
        <f>ROUND((W14*0),2)</f>
        <v>0</v>
      </c>
      <c r="X16" s="34"/>
      <c r="Y16" s="31">
        <f>+SUM(E16:W16)</f>
        <v>0</v>
      </c>
    </row>
    <row r="17" spans="1:29" s="7" customFormat="1">
      <c r="B17" s="34"/>
      <c r="E17" s="34"/>
      <c r="F17" s="34"/>
      <c r="G17" s="34"/>
      <c r="H17" s="34"/>
      <c r="I17" s="34"/>
      <c r="J17" s="34"/>
      <c r="K17" s="34"/>
      <c r="L17" s="34"/>
      <c r="M17" s="34"/>
      <c r="N17" s="34"/>
      <c r="O17" s="34"/>
      <c r="P17" s="34"/>
      <c r="Q17" s="34"/>
      <c r="R17" s="34"/>
      <c r="S17" s="34"/>
      <c r="T17" s="34"/>
      <c r="U17" s="34"/>
      <c r="V17" s="34"/>
      <c r="W17" s="34"/>
      <c r="X17" s="34"/>
      <c r="Y17" s="20"/>
    </row>
    <row r="18" spans="1:29">
      <c r="A18" t="s">
        <v>72</v>
      </c>
      <c r="B18" s="44"/>
      <c r="E18" s="43">
        <f>+E14-E16</f>
        <v>0</v>
      </c>
      <c r="F18" s="44"/>
      <c r="G18" s="43">
        <f>+G14-G16</f>
        <v>0</v>
      </c>
      <c r="H18" s="44"/>
      <c r="I18" s="43">
        <f>+I14-I16</f>
        <v>0</v>
      </c>
      <c r="J18" s="44"/>
      <c r="K18" s="43">
        <f>+K14-K16</f>
        <v>0</v>
      </c>
      <c r="L18" s="44"/>
      <c r="M18" s="43">
        <f>+M14-M16</f>
        <v>0</v>
      </c>
      <c r="N18" s="44"/>
      <c r="O18" s="43">
        <f>+O14-O16</f>
        <v>0</v>
      </c>
      <c r="P18" s="44"/>
      <c r="Q18" s="43">
        <f>+Q14-Q16</f>
        <v>0</v>
      </c>
      <c r="R18" s="44"/>
      <c r="S18" s="43">
        <f>+S14-S16</f>
        <v>0</v>
      </c>
      <c r="T18" s="44"/>
      <c r="U18" s="43">
        <f>+U14-U16</f>
        <v>0</v>
      </c>
      <c r="V18" s="44"/>
      <c r="W18" s="43">
        <f>+W14-W16</f>
        <v>0</v>
      </c>
      <c r="X18" s="44"/>
      <c r="Y18" s="29">
        <f>SUM(E18:W18)</f>
        <v>0</v>
      </c>
      <c r="AB18" s="7"/>
      <c r="AC18" s="7"/>
    </row>
    <row r="19" spans="1:29">
      <c r="B19" s="44"/>
      <c r="E19" s="44"/>
      <c r="F19" s="44"/>
      <c r="G19" s="44"/>
      <c r="H19" s="44"/>
      <c r="I19" s="44"/>
      <c r="J19" s="44"/>
      <c r="K19" s="44"/>
      <c r="L19" s="44"/>
      <c r="M19" s="44"/>
      <c r="N19" s="44"/>
      <c r="O19" s="44"/>
      <c r="P19" s="44"/>
      <c r="Q19" s="44"/>
      <c r="R19" s="44"/>
      <c r="S19" s="44"/>
      <c r="T19" s="44"/>
      <c r="U19" s="44"/>
      <c r="V19" s="44"/>
      <c r="W19" s="44"/>
      <c r="X19" s="44"/>
      <c r="Y19" s="29"/>
    </row>
    <row r="20" spans="1:29">
      <c r="A20" t="s">
        <v>194</v>
      </c>
      <c r="B20" s="44"/>
      <c r="E20" s="44"/>
      <c r="F20" s="44"/>
      <c r="G20" s="44"/>
      <c r="H20" s="44"/>
      <c r="I20" s="44"/>
      <c r="J20" s="44"/>
      <c r="K20" s="44"/>
      <c r="L20" s="44"/>
      <c r="M20" s="44"/>
      <c r="N20" s="44"/>
      <c r="O20" s="44"/>
      <c r="P20" s="44"/>
      <c r="Q20" s="44"/>
      <c r="R20" s="44"/>
      <c r="S20" s="44"/>
      <c r="T20" s="44"/>
      <c r="U20" s="44"/>
      <c r="V20" s="44"/>
      <c r="W20" s="44"/>
      <c r="X20" s="44"/>
      <c r="Y20" s="29"/>
    </row>
    <row r="21" spans="1:29">
      <c r="A21" s="21" t="str">
        <f>'Def. Tax - Main Repl'!A21</f>
        <v>Sept 1 - Sept 30, 2014</v>
      </c>
      <c r="B21" s="44"/>
      <c r="E21" s="29">
        <f>+ROUND(E16*$Z$2,2)</f>
        <v>0</v>
      </c>
      <c r="F21" s="29"/>
      <c r="G21" s="29">
        <f>+ROUND(G16*$Z$2,2)</f>
        <v>0</v>
      </c>
      <c r="H21" s="22"/>
      <c r="I21" s="29">
        <f>+ROUND(I16*$Z$2,2)</f>
        <v>0</v>
      </c>
      <c r="J21" s="22"/>
      <c r="K21" s="29">
        <f>+ROUND(K16*$Z$2,2)</f>
        <v>0</v>
      </c>
      <c r="L21" s="22"/>
      <c r="M21" s="29">
        <f>+ROUND(M16*$Z$2,2)</f>
        <v>0</v>
      </c>
      <c r="N21" s="22"/>
      <c r="O21" s="48">
        <v>0</v>
      </c>
      <c r="P21" s="48"/>
      <c r="Q21" s="49">
        <v>0</v>
      </c>
      <c r="R21" s="49"/>
      <c r="S21" s="49">
        <v>0</v>
      </c>
      <c r="T21" s="49"/>
      <c r="U21" s="49">
        <v>0</v>
      </c>
      <c r="V21" s="49"/>
      <c r="W21" s="49">
        <v>0</v>
      </c>
      <c r="X21" s="44"/>
      <c r="Y21" s="20">
        <f>+SUM(E21:W21)</f>
        <v>0</v>
      </c>
    </row>
    <row r="22" spans="1:29">
      <c r="A22" s="21" t="str">
        <f>'Def. Tax - Main Repl'!A22</f>
        <v>Oct 1, 2014 - Feb 28, 2015</v>
      </c>
      <c r="B22" s="44"/>
      <c r="E22" s="48">
        <v>0</v>
      </c>
      <c r="F22" s="48"/>
      <c r="G22" s="49">
        <v>0</v>
      </c>
      <c r="H22" s="49"/>
      <c r="I22" s="49">
        <v>0</v>
      </c>
      <c r="J22" s="49"/>
      <c r="K22" s="49">
        <v>0</v>
      </c>
      <c r="L22" s="49"/>
      <c r="M22" s="49">
        <v>0</v>
      </c>
      <c r="N22" s="22"/>
      <c r="O22" s="29">
        <f>+ROUND(O16*($Z$3),2)</f>
        <v>0</v>
      </c>
      <c r="P22" s="29"/>
      <c r="Q22" s="29">
        <f>+ROUND(Q16*($Z$3),2)</f>
        <v>0</v>
      </c>
      <c r="R22" s="22"/>
      <c r="S22" s="29">
        <f>+ROUND(S16*($Z$3),2)</f>
        <v>0</v>
      </c>
      <c r="T22" s="22"/>
      <c r="U22" s="29">
        <f>+ROUND(U16*($Z$3),2)</f>
        <v>0</v>
      </c>
      <c r="V22" s="22"/>
      <c r="W22" s="29">
        <f>+ROUND(W16*($Z$3),2)</f>
        <v>0</v>
      </c>
      <c r="X22" s="44"/>
      <c r="Y22" s="20">
        <f>+SUM(E22:W22)</f>
        <v>0</v>
      </c>
    </row>
    <row r="23" spans="1:29">
      <c r="B23" s="44"/>
      <c r="E23" s="44"/>
      <c r="F23" s="44"/>
      <c r="G23" s="44"/>
      <c r="H23" s="44"/>
      <c r="I23" s="44"/>
      <c r="J23" s="44"/>
      <c r="K23" s="44"/>
      <c r="L23" s="44"/>
      <c r="M23" s="44"/>
      <c r="N23" s="44"/>
      <c r="O23" s="44"/>
      <c r="P23" s="44"/>
      <c r="Q23" s="44"/>
      <c r="R23" s="44"/>
      <c r="S23" s="44"/>
      <c r="T23" s="44"/>
      <c r="U23" s="44"/>
      <c r="V23" s="44"/>
      <c r="W23" s="44"/>
      <c r="X23" s="44"/>
      <c r="Y23" s="29"/>
    </row>
    <row r="24" spans="1:29">
      <c r="A24" t="s">
        <v>73</v>
      </c>
      <c r="B24" s="44"/>
      <c r="E24" s="44"/>
      <c r="F24" s="44"/>
      <c r="G24" s="44"/>
      <c r="H24" s="44"/>
      <c r="I24" s="44"/>
      <c r="J24" s="44"/>
      <c r="K24" s="44"/>
      <c r="L24" s="44"/>
      <c r="M24" s="44"/>
      <c r="N24" s="44"/>
      <c r="O24" s="44"/>
      <c r="P24" s="44"/>
      <c r="Q24" s="44"/>
      <c r="R24" s="44"/>
      <c r="S24" s="44"/>
      <c r="T24" s="44"/>
      <c r="U24" s="44"/>
      <c r="V24" s="44"/>
      <c r="W24" s="44"/>
      <c r="X24" s="44"/>
      <c r="Y24" s="29"/>
    </row>
    <row r="25" spans="1:29">
      <c r="A25" s="21" t="str">
        <f>'Def. Tax - Main Repl'!A25</f>
        <v>Fiscal Year 2016 (Oct 1 - Sep 30)</v>
      </c>
      <c r="B25" s="45"/>
      <c r="E25" s="54">
        <f>ROUND((E18*$AB$3)*$Z$2,2)</f>
        <v>0</v>
      </c>
      <c r="F25" s="45"/>
      <c r="G25" s="54">
        <f>ROUND((G18*$AB$3)*$Z$2,2)</f>
        <v>0</v>
      </c>
      <c r="H25" s="45"/>
      <c r="I25" s="54">
        <f>ROUND((I18*$AC$3)*$Z$2,2)</f>
        <v>0</v>
      </c>
      <c r="J25" s="45"/>
      <c r="K25" s="54">
        <f>ROUND((K18*$AC$3)*$Z$2,2)</f>
        <v>0</v>
      </c>
      <c r="L25" s="45"/>
      <c r="M25" s="54">
        <f>ROUND((M18*$AC$3)*$Z$2,2)</f>
        <v>0</v>
      </c>
      <c r="N25" s="45"/>
      <c r="O25" s="55">
        <v>0</v>
      </c>
      <c r="P25" s="56"/>
      <c r="Q25" s="55">
        <v>0</v>
      </c>
      <c r="R25" s="56"/>
      <c r="S25" s="55">
        <v>0</v>
      </c>
      <c r="T25" s="56"/>
      <c r="U25" s="55">
        <v>0</v>
      </c>
      <c r="V25" s="56"/>
      <c r="W25" s="55">
        <v>0</v>
      </c>
      <c r="X25" s="45"/>
      <c r="Y25" s="23">
        <f>+SUM(E25:W25)</f>
        <v>0</v>
      </c>
    </row>
    <row r="26" spans="1:29">
      <c r="A26" s="21" t="str">
        <f>'Def. Tax - Main Repl'!A26</f>
        <v>Fiscal Year 2017 (Oct 1 - Nov 30)</v>
      </c>
      <c r="B26" s="45"/>
      <c r="E26" s="42">
        <f>ROUND((E18*$AB$4)*$Z$3,2)</f>
        <v>0</v>
      </c>
      <c r="F26" s="45"/>
      <c r="G26" s="42">
        <f>ROUND((G18*$AB$4)*$Z$3,2)</f>
        <v>0</v>
      </c>
      <c r="H26" s="45"/>
      <c r="I26" s="42">
        <f>ROUND((I18*$AC$4)*$Z$3,2)</f>
        <v>0</v>
      </c>
      <c r="J26" s="45"/>
      <c r="K26" s="42">
        <f>ROUND((K18*$AC$4)*$Z$3,2)</f>
        <v>0</v>
      </c>
      <c r="L26" s="45"/>
      <c r="M26" s="42">
        <f>ROUND((M18*$AC$4)*$Z$3,2)</f>
        <v>0</v>
      </c>
      <c r="N26" s="45"/>
      <c r="O26" s="42">
        <f>ROUND((O18*$AB$3)*$Z$3,2)</f>
        <v>0</v>
      </c>
      <c r="P26" s="45"/>
      <c r="Q26" s="42">
        <f>ROUND((Q18*$AB$3)*$Z$3,2)</f>
        <v>0</v>
      </c>
      <c r="R26" s="45"/>
      <c r="S26" s="42">
        <f>ROUND((S18*$AC$3)*$Z$3,2)</f>
        <v>0</v>
      </c>
      <c r="T26" s="45"/>
      <c r="U26" s="42">
        <f>ROUND((U18*$AC$3)*$Z$3,2)</f>
        <v>0</v>
      </c>
      <c r="V26" s="45"/>
      <c r="W26" s="42">
        <f>ROUND((W18*$AC$3)*$Z$3,2)</f>
        <v>0</v>
      </c>
      <c r="X26" s="45"/>
      <c r="Y26" s="31">
        <f>+SUM(E26:W26)</f>
        <v>0</v>
      </c>
    </row>
    <row r="27" spans="1:29">
      <c r="B27" s="44"/>
      <c r="E27" s="44"/>
      <c r="F27" s="44"/>
      <c r="G27" s="44"/>
      <c r="H27" s="44"/>
      <c r="I27" s="44"/>
      <c r="J27" s="44"/>
      <c r="K27" s="44"/>
      <c r="L27" s="44"/>
      <c r="M27" s="44"/>
      <c r="N27" s="44"/>
      <c r="O27" s="44"/>
      <c r="P27" s="44"/>
      <c r="Q27" s="44"/>
      <c r="R27" s="44"/>
      <c r="S27" s="44"/>
      <c r="T27" s="44"/>
      <c r="U27" s="44"/>
      <c r="V27" s="44"/>
      <c r="W27" s="44"/>
      <c r="X27" s="44"/>
      <c r="Y27" s="29"/>
    </row>
    <row r="28" spans="1:29">
      <c r="A28" t="s">
        <v>74</v>
      </c>
      <c r="B28" s="44"/>
      <c r="E28" s="43">
        <f>SUM(E21:E27)</f>
        <v>0</v>
      </c>
      <c r="F28" s="44"/>
      <c r="G28" s="43">
        <f>SUM(G21:G27)</f>
        <v>0</v>
      </c>
      <c r="H28" s="44"/>
      <c r="I28" s="43">
        <f>SUM(I21:I27)</f>
        <v>0</v>
      </c>
      <c r="J28" s="44"/>
      <c r="K28" s="43">
        <f>SUM(K21:K27)</f>
        <v>0</v>
      </c>
      <c r="L28" s="44"/>
      <c r="M28" s="43">
        <f>SUM(M21:M27)</f>
        <v>0</v>
      </c>
      <c r="N28" s="44"/>
      <c r="O28" s="43">
        <f>SUM(O21:O27)</f>
        <v>0</v>
      </c>
      <c r="P28" s="44"/>
      <c r="Q28" s="43">
        <f>SUM(Q21:Q27)</f>
        <v>0</v>
      </c>
      <c r="R28" s="44"/>
      <c r="S28" s="43">
        <f>SUM(S21:S27)</f>
        <v>0</v>
      </c>
      <c r="T28" s="44"/>
      <c r="U28" s="43">
        <f>SUM(U21:U27)</f>
        <v>0</v>
      </c>
      <c r="V28" s="44"/>
      <c r="W28" s="43">
        <f>SUM(W21:W27)</f>
        <v>0</v>
      </c>
      <c r="X28" s="44"/>
      <c r="Y28" s="29">
        <f>SUM(E28:W28)</f>
        <v>0</v>
      </c>
    </row>
    <row r="30" spans="1:29">
      <c r="A30" t="s">
        <v>75</v>
      </c>
      <c r="Y30" s="16">
        <f>'Summary info'!K12</f>
        <v>0</v>
      </c>
    </row>
    <row r="32" spans="1:29">
      <c r="A32" t="s">
        <v>76</v>
      </c>
    </row>
    <row r="33" spans="1:25">
      <c r="C33" t="s">
        <v>77</v>
      </c>
      <c r="Y33" s="3">
        <f>SUM(Y28-Y30)</f>
        <v>0</v>
      </c>
    </row>
    <row r="35" spans="1:25" ht="13.5" thickBot="1">
      <c r="A35" t="str">
        <f>'Def. Tax - Main Repl'!A36</f>
        <v>Deferred Income Taxes (@38.5272%)</v>
      </c>
      <c r="Y35" s="17">
        <f>ROUND((Y33*'Revenue Requirement'!J61),2)</f>
        <v>0</v>
      </c>
    </row>
    <row r="36" spans="1:25" ht="13.5" thickTop="1"/>
    <row r="44" spans="1:25">
      <c r="Y44" s="9" t="s">
        <v>140</v>
      </c>
    </row>
    <row r="45" spans="1:25">
      <c r="Y45" s="65" t="s">
        <v>315</v>
      </c>
    </row>
  </sheetData>
  <mergeCells count="3">
    <mergeCell ref="A3:Y3"/>
    <mergeCell ref="A4:Y4"/>
    <mergeCell ref="AA1:AC1"/>
  </mergeCells>
  <phoneticPr fontId="10" type="noConversion"/>
  <printOptions horizontalCentered="1"/>
  <pageMargins left="0.75" right="0.75" top="1" bottom="1" header="0.5" footer="0.5"/>
  <pageSetup scale="84"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E33"/>
  <sheetViews>
    <sheetView workbookViewId="0">
      <selection activeCell="C24" sqref="C24"/>
    </sheetView>
  </sheetViews>
  <sheetFormatPr defaultColWidth="9.140625" defaultRowHeight="12.75"/>
  <cols>
    <col min="1" max="1" width="26.7109375" style="66" bestFit="1" customWidth="1"/>
    <col min="2" max="2" width="16.7109375" style="66" bestFit="1" customWidth="1"/>
    <col min="3" max="3" width="14.28515625" style="66" bestFit="1" customWidth="1"/>
    <col min="4" max="4" width="13.28515625" style="66" bestFit="1" customWidth="1"/>
    <col min="5" max="5" width="9.140625" style="295"/>
    <col min="6" max="6" width="15" style="66" bestFit="1" customWidth="1"/>
    <col min="7" max="7" width="14" style="66" bestFit="1" customWidth="1"/>
    <col min="8" max="16384" width="9.140625" style="66"/>
  </cols>
  <sheetData>
    <row r="1" spans="1:5">
      <c r="A1" s="6" t="s">
        <v>14</v>
      </c>
      <c r="B1" s="6"/>
      <c r="C1" s="6"/>
      <c r="D1" s="6"/>
      <c r="E1" s="47"/>
    </row>
    <row r="2" spans="1:5">
      <c r="A2" s="6" t="s">
        <v>23</v>
      </c>
      <c r="B2" s="6"/>
      <c r="C2" s="6"/>
      <c r="D2" s="6"/>
      <c r="E2" s="47"/>
    </row>
    <row r="3" spans="1:5">
      <c r="A3" s="6" t="s">
        <v>316</v>
      </c>
      <c r="B3" s="6"/>
      <c r="C3" s="6"/>
      <c r="D3" s="6"/>
      <c r="E3" s="47"/>
    </row>
    <row r="5" spans="1:5">
      <c r="A5" s="256"/>
      <c r="E5" s="288"/>
    </row>
    <row r="6" spans="1:5">
      <c r="A6" s="256"/>
      <c r="B6" s="271" t="s">
        <v>24</v>
      </c>
      <c r="C6" s="271" t="s">
        <v>25</v>
      </c>
      <c r="D6" s="271" t="s">
        <v>26</v>
      </c>
      <c r="E6" s="288"/>
    </row>
    <row r="7" spans="1:5">
      <c r="A7" s="66" t="s">
        <v>27</v>
      </c>
      <c r="B7" s="289">
        <v>0.47</v>
      </c>
      <c r="C7" s="289">
        <v>4.3499999999999997E-2</v>
      </c>
      <c r="D7" s="290">
        <f>ROUND(B7*C7,6)</f>
        <v>2.0445000000000001E-2</v>
      </c>
      <c r="E7" s="291"/>
    </row>
    <row r="8" spans="1:5">
      <c r="A8" s="66" t="s">
        <v>168</v>
      </c>
      <c r="B8" s="289">
        <v>0</v>
      </c>
      <c r="C8" s="289">
        <v>0</v>
      </c>
      <c r="D8" s="290">
        <f>ROUND(B8*C8,6)</f>
        <v>0</v>
      </c>
      <c r="E8" s="291"/>
    </row>
    <row r="9" spans="1:5">
      <c r="A9" s="66" t="s">
        <v>169</v>
      </c>
      <c r="B9" s="289">
        <v>0.53</v>
      </c>
      <c r="C9" s="289">
        <v>9.7000000000000003E-2</v>
      </c>
      <c r="D9" s="290">
        <f>ROUND(B9*C9,6)</f>
        <v>5.1409999999999997E-2</v>
      </c>
      <c r="E9" s="291"/>
    </row>
    <row r="10" spans="1:5" ht="13.5" thickBot="1">
      <c r="A10" s="66" t="s">
        <v>172</v>
      </c>
      <c r="B10" s="292"/>
      <c r="C10" s="289"/>
      <c r="D10" s="293">
        <f>SUM(D7:D9)</f>
        <v>7.1855000000000002E-2</v>
      </c>
      <c r="E10" s="291"/>
    </row>
    <row r="11" spans="1:5" ht="13.5" thickTop="1">
      <c r="C11" s="294"/>
    </row>
    <row r="12" spans="1:5">
      <c r="A12" s="66" t="s">
        <v>170</v>
      </c>
      <c r="C12" s="296"/>
      <c r="D12" s="66">
        <v>1.6267370000000001</v>
      </c>
    </row>
    <row r="14" spans="1:5">
      <c r="A14" s="66" t="s">
        <v>171</v>
      </c>
      <c r="D14" s="297">
        <f>D7</f>
        <v>2.0445000000000001E-2</v>
      </c>
    </row>
    <row r="16" spans="1:5">
      <c r="A16" s="34" t="s">
        <v>317</v>
      </c>
    </row>
    <row r="32" spans="4:4">
      <c r="D32" s="270" t="s">
        <v>140</v>
      </c>
    </row>
    <row r="33" spans="4:4">
      <c r="D33" s="270" t="str">
        <f>+"Page 13 of "&amp;FIXED('Revenue Requirement'!$S$1,0)</f>
        <v>Page 13 of 15</v>
      </c>
    </row>
  </sheetData>
  <phoneticPr fontId="10" type="noConversion"/>
  <printOptions horizontalCentered="1"/>
  <pageMargins left="0.75" right="0.75" top="1" bottom="1" header="0.5" footer="0.5"/>
  <pageSetup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1"/>
  <sheetViews>
    <sheetView workbookViewId="0">
      <selection activeCell="C5" sqref="C5"/>
    </sheetView>
  </sheetViews>
  <sheetFormatPr defaultColWidth="9.140625" defaultRowHeight="12.75"/>
  <cols>
    <col min="1" max="1" width="23.140625" style="66" customWidth="1"/>
    <col min="2" max="2" width="10.85546875" style="66" customWidth="1"/>
    <col min="3" max="3" width="10.28515625" style="66" customWidth="1"/>
    <col min="4" max="4" width="16.7109375" style="66" bestFit="1" customWidth="1"/>
    <col min="5" max="5" width="13.42578125" style="66" bestFit="1" customWidth="1"/>
    <col min="6" max="6" width="11.5703125" style="66" customWidth="1"/>
    <col min="7" max="7" width="8.85546875" style="66" customWidth="1"/>
    <col min="8" max="8" width="11.28515625" style="66" bestFit="1" customWidth="1"/>
    <col min="9" max="16384" width="9.140625" style="66"/>
  </cols>
  <sheetData>
    <row r="1" spans="1:10">
      <c r="A1" s="6" t="s">
        <v>14</v>
      </c>
      <c r="B1" s="139"/>
      <c r="C1" s="139"/>
      <c r="D1" s="139"/>
      <c r="E1" s="139"/>
      <c r="F1" s="139"/>
      <c r="G1" s="139"/>
      <c r="H1" s="139"/>
    </row>
    <row r="2" spans="1:10">
      <c r="A2" s="6" t="s">
        <v>46</v>
      </c>
      <c r="B2" s="139"/>
      <c r="C2" s="139"/>
      <c r="D2" s="139"/>
      <c r="E2" s="139"/>
      <c r="F2" s="139"/>
      <c r="G2" s="139"/>
      <c r="H2" s="139"/>
    </row>
    <row r="4" spans="1:10">
      <c r="A4" s="256" t="s">
        <v>45</v>
      </c>
      <c r="C4" s="298">
        <f>+'Revenue Requirement'!J75</f>
        <v>3226277.5400000075</v>
      </c>
    </row>
    <row r="5" spans="1:10">
      <c r="A5" s="256"/>
      <c r="C5" s="298"/>
    </row>
    <row r="6" spans="1:10">
      <c r="A6" s="256"/>
      <c r="C6" s="298"/>
      <c r="D6" s="10" t="s">
        <v>70</v>
      </c>
      <c r="G6" s="10" t="s">
        <v>153</v>
      </c>
      <c r="H6" s="10" t="s">
        <v>153</v>
      </c>
    </row>
    <row r="7" spans="1:10">
      <c r="A7" s="256"/>
      <c r="B7" s="10" t="s">
        <v>60</v>
      </c>
      <c r="C7" s="12" t="s">
        <v>56</v>
      </c>
      <c r="D7" s="10" t="s">
        <v>47</v>
      </c>
      <c r="E7" s="10" t="s">
        <v>58</v>
      </c>
      <c r="F7" s="10" t="s">
        <v>56</v>
      </c>
      <c r="G7" s="10" t="s">
        <v>63</v>
      </c>
      <c r="H7" s="10" t="s">
        <v>64</v>
      </c>
    </row>
    <row r="8" spans="1:10">
      <c r="A8" s="1" t="s">
        <v>66</v>
      </c>
      <c r="B8" s="11" t="s">
        <v>83</v>
      </c>
      <c r="C8" s="11" t="s">
        <v>57</v>
      </c>
      <c r="D8" s="11" t="s">
        <v>61</v>
      </c>
      <c r="E8" s="11" t="s">
        <v>62</v>
      </c>
      <c r="F8" s="11" t="s">
        <v>59</v>
      </c>
      <c r="G8" s="11" t="s">
        <v>57</v>
      </c>
      <c r="H8" s="11" t="s">
        <v>65</v>
      </c>
    </row>
    <row r="9" spans="1:10">
      <c r="A9" s="256" t="s">
        <v>47</v>
      </c>
      <c r="B9" s="299">
        <f>'customers -15'!N7</f>
        <v>606243.75</v>
      </c>
      <c r="C9" s="24">
        <v>19.5</v>
      </c>
      <c r="D9" s="300">
        <f>C9/$C$9</f>
        <v>1</v>
      </c>
      <c r="E9" s="299">
        <f>B9*D9</f>
        <v>606243.75</v>
      </c>
      <c r="F9" s="297">
        <f>E9/SUM($E$9:$E$19)</f>
        <v>0.87945951522409227</v>
      </c>
      <c r="G9" s="28">
        <f>H9/B9/12</f>
        <v>0.39002195641972714</v>
      </c>
      <c r="H9" s="298">
        <f>F9*$C$4</f>
        <v>2837380.4813067834</v>
      </c>
      <c r="J9" s="298"/>
    </row>
    <row r="10" spans="1:10">
      <c r="A10" s="256" t="s">
        <v>48</v>
      </c>
      <c r="B10" s="299">
        <f>'customers -15'!N8</f>
        <v>30823.833333333332</v>
      </c>
      <c r="C10" s="24">
        <v>25.5</v>
      </c>
      <c r="D10" s="300">
        <f t="shared" ref="D10:D19" si="0">C10/$C$9</f>
        <v>1.3076923076923077</v>
      </c>
      <c r="E10" s="299">
        <f t="shared" ref="E10:E19" si="1">B10*D10</f>
        <v>40308.089743589742</v>
      </c>
      <c r="F10" s="297">
        <f t="shared" ref="F10:F19" si="2">E10/SUM($E$9:$E$19)</f>
        <v>5.8473729527944232E-2</v>
      </c>
      <c r="G10" s="28">
        <f t="shared" ref="G10:G19" si="3">H10/B10/12</f>
        <v>0.51002871224118163</v>
      </c>
      <c r="H10" s="298">
        <f t="shared" ref="H10:H19" si="4">F10*$C$4</f>
        <v>188652.48025604172</v>
      </c>
      <c r="J10" s="298"/>
    </row>
    <row r="11" spans="1:10">
      <c r="A11" s="256" t="s">
        <v>49</v>
      </c>
      <c r="B11" s="299">
        <f>'customers -15'!N9</f>
        <v>9006.4166666666661</v>
      </c>
      <c r="C11" s="24">
        <v>44.29</v>
      </c>
      <c r="D11" s="300">
        <f t="shared" si="0"/>
        <v>2.2712820512820513</v>
      </c>
      <c r="E11" s="299">
        <f t="shared" si="1"/>
        <v>20456.112521367519</v>
      </c>
      <c r="F11" s="297">
        <f t="shared" si="2"/>
        <v>2.9675065188567079E-2</v>
      </c>
      <c r="G11" s="28">
        <f t="shared" si="3"/>
        <v>0.88584986922203679</v>
      </c>
      <c r="H11" s="298">
        <f t="shared" si="4"/>
        <v>95739.996315910059</v>
      </c>
      <c r="J11" s="298"/>
    </row>
    <row r="12" spans="1:10">
      <c r="A12" s="256" t="s">
        <v>50</v>
      </c>
      <c r="B12" s="299">
        <f>'customers -15'!N10</f>
        <v>606.25</v>
      </c>
      <c r="C12" s="24">
        <v>88.57</v>
      </c>
      <c r="D12" s="300">
        <f t="shared" si="0"/>
        <v>4.5420512820512817</v>
      </c>
      <c r="E12" s="299">
        <f t="shared" si="1"/>
        <v>2753.6185897435894</v>
      </c>
      <c r="F12" s="297">
        <f t="shared" si="2"/>
        <v>3.9945913999904258E-3</v>
      </c>
      <c r="G12" s="28">
        <f t="shared" si="3"/>
        <v>1.7714997271843707</v>
      </c>
      <c r="H12" s="298">
        <f t="shared" si="4"/>
        <v>12887.660515266296</v>
      </c>
      <c r="J12" s="298"/>
    </row>
    <row r="13" spans="1:10">
      <c r="A13" s="256" t="s">
        <v>51</v>
      </c>
      <c r="B13" s="299">
        <f>'customers -15'!N11</f>
        <v>71.833333333333329</v>
      </c>
      <c r="C13" s="24">
        <v>874.78</v>
      </c>
      <c r="D13" s="300">
        <f t="shared" si="0"/>
        <v>44.860512820512817</v>
      </c>
      <c r="E13" s="299">
        <f t="shared" si="1"/>
        <v>3222.4801709401704</v>
      </c>
      <c r="F13" s="297">
        <f t="shared" si="2"/>
        <v>4.6747547483240734E-3</v>
      </c>
      <c r="G13" s="28">
        <f t="shared" si="3"/>
        <v>17.496584976248663</v>
      </c>
      <c r="H13" s="298">
        <f t="shared" si="4"/>
        <v>15082.056249526346</v>
      </c>
      <c r="J13" s="298"/>
    </row>
    <row r="14" spans="1:10">
      <c r="A14" s="256" t="s">
        <v>52</v>
      </c>
      <c r="B14" s="299">
        <f>'customers -15'!N12</f>
        <v>17.666666666666668</v>
      </c>
      <c r="C14" s="24">
        <v>776.36</v>
      </c>
      <c r="D14" s="300">
        <f t="shared" si="0"/>
        <v>39.813333333333333</v>
      </c>
      <c r="E14" s="299">
        <f t="shared" si="1"/>
        <v>703.36888888888893</v>
      </c>
      <c r="F14" s="297">
        <f t="shared" si="2"/>
        <v>1.0203560235399222E-3</v>
      </c>
      <c r="G14" s="28">
        <f t="shared" si="3"/>
        <v>15.528074158257404</v>
      </c>
      <c r="H14" s="298">
        <f t="shared" si="4"/>
        <v>3291.9517215505698</v>
      </c>
      <c r="J14" s="298"/>
    </row>
    <row r="15" spans="1:10">
      <c r="A15" s="256" t="s">
        <v>142</v>
      </c>
      <c r="B15" s="299">
        <f>'customers -15'!N13</f>
        <v>146.75</v>
      </c>
      <c r="C15" s="24">
        <v>2069.94</v>
      </c>
      <c r="D15" s="300">
        <f t="shared" si="0"/>
        <v>106.15076923076923</v>
      </c>
      <c r="E15" s="299">
        <f t="shared" si="1"/>
        <v>15577.625384615385</v>
      </c>
      <c r="F15" s="297">
        <f t="shared" si="2"/>
        <v>2.2597991103572385E-2</v>
      </c>
      <c r="G15" s="28">
        <f t="shared" si="3"/>
        <v>41.401130690843594</v>
      </c>
      <c r="H15" s="298">
        <f t="shared" si="4"/>
        <v>72907.391146575566</v>
      </c>
      <c r="J15" s="298"/>
    </row>
    <row r="16" spans="1:10">
      <c r="A16" s="256" t="s">
        <v>143</v>
      </c>
      <c r="B16" s="299">
        <f>'customers -15'!N14</f>
        <v>0</v>
      </c>
      <c r="C16" s="24">
        <v>1707.94</v>
      </c>
      <c r="D16" s="300">
        <f t="shared" si="0"/>
        <v>87.586666666666673</v>
      </c>
      <c r="E16" s="299">
        <f t="shared" si="1"/>
        <v>0</v>
      </c>
      <c r="F16" s="297">
        <f t="shared" si="2"/>
        <v>0</v>
      </c>
      <c r="G16" s="28">
        <v>0</v>
      </c>
      <c r="H16" s="298">
        <f t="shared" si="4"/>
        <v>0</v>
      </c>
      <c r="J16" s="298"/>
    </row>
    <row r="17" spans="1:10">
      <c r="A17" s="256" t="s">
        <v>53</v>
      </c>
      <c r="B17" s="299">
        <f>'customers -15'!N15</f>
        <v>87</v>
      </c>
      <c r="C17" s="24">
        <v>5.69</v>
      </c>
      <c r="D17" s="300">
        <f t="shared" si="0"/>
        <v>0.29179487179487179</v>
      </c>
      <c r="E17" s="299">
        <f t="shared" si="1"/>
        <v>25.386153846153846</v>
      </c>
      <c r="F17" s="297">
        <f t="shared" si="2"/>
        <v>3.682692737853823E-5</v>
      </c>
      <c r="G17" s="28">
        <f t="shared" si="3"/>
        <v>0.11380640677067934</v>
      </c>
      <c r="H17" s="298">
        <f t="shared" si="4"/>
        <v>118.81388866858924</v>
      </c>
      <c r="J17" s="298"/>
    </row>
    <row r="18" spans="1:10">
      <c r="A18" s="256" t="s">
        <v>54</v>
      </c>
      <c r="B18" s="299">
        <f>'customers -15'!N16</f>
        <v>8.1666666666666661</v>
      </c>
      <c r="C18" s="24">
        <v>22.09</v>
      </c>
      <c r="D18" s="300">
        <f t="shared" si="0"/>
        <v>1.1328205128205129</v>
      </c>
      <c r="E18" s="299">
        <f t="shared" si="1"/>
        <v>9.2513675213675217</v>
      </c>
      <c r="F18" s="297">
        <f t="shared" si="2"/>
        <v>1.3420679710927813E-5</v>
      </c>
      <c r="G18" s="28">
        <f t="shared" si="3"/>
        <v>0.44182487268265519</v>
      </c>
      <c r="H18" s="298">
        <f t="shared" si="4"/>
        <v>43.2988375229002</v>
      </c>
      <c r="J18" s="298"/>
    </row>
    <row r="19" spans="1:10">
      <c r="A19" s="256" t="s">
        <v>55</v>
      </c>
      <c r="B19" s="301">
        <f>'customers -15'!N17</f>
        <v>42.5</v>
      </c>
      <c r="C19" s="24">
        <v>17</v>
      </c>
      <c r="D19" s="300">
        <f t="shared" si="0"/>
        <v>0.87179487179487181</v>
      </c>
      <c r="E19" s="299">
        <f t="shared" si="1"/>
        <v>37.051282051282051</v>
      </c>
      <c r="F19" s="302">
        <f t="shared" si="2"/>
        <v>5.3749176880176701E-5</v>
      </c>
      <c r="G19" s="28">
        <f t="shared" si="3"/>
        <v>0.3400191414941211</v>
      </c>
      <c r="H19" s="303">
        <f t="shared" si="4"/>
        <v>173.40976216200175</v>
      </c>
      <c r="J19" s="298"/>
    </row>
    <row r="20" spans="1:10" ht="6.75" customHeight="1">
      <c r="A20" s="256"/>
      <c r="B20" s="304"/>
      <c r="C20" s="24"/>
      <c r="D20" s="24"/>
      <c r="E20" s="305"/>
      <c r="F20" s="306"/>
      <c r="H20" s="307"/>
      <c r="J20" s="298"/>
    </row>
    <row r="21" spans="1:10" ht="13.5" thickBot="1">
      <c r="A21" s="256" t="s">
        <v>42</v>
      </c>
      <c r="B21" s="299">
        <f>SUM(B9:B19)</f>
        <v>647054.16666666663</v>
      </c>
      <c r="F21" s="308">
        <f>SUM(F9:F19)</f>
        <v>1.0000000000000002</v>
      </c>
      <c r="H21" s="309">
        <f>SUM(H9:H19)</f>
        <v>3226277.540000007</v>
      </c>
      <c r="I21" s="304"/>
      <c r="J21" s="299"/>
    </row>
    <row r="22" spans="1:10" ht="13.5" thickTop="1">
      <c r="I22" s="299"/>
    </row>
    <row r="23" spans="1:10">
      <c r="A23" s="66" t="s">
        <v>1032</v>
      </c>
      <c r="I23" s="299"/>
    </row>
    <row r="24" spans="1:10">
      <c r="A24" s="66" t="s">
        <v>144</v>
      </c>
    </row>
    <row r="36" spans="8:8">
      <c r="H36" s="270" t="s">
        <v>140</v>
      </c>
    </row>
    <row r="37" spans="8:8">
      <c r="H37" s="270" t="str">
        <f>+"Page 14 of "&amp;FIXED('Revenue Requirement'!$S$1,0)</f>
        <v>Page 14 of 15</v>
      </c>
    </row>
    <row r="60" spans="8:8">
      <c r="H60" s="270" t="s">
        <v>140</v>
      </c>
    </row>
    <row r="61" spans="8:8">
      <c r="H61" s="270" t="s">
        <v>141</v>
      </c>
    </row>
  </sheetData>
  <printOptions horizontalCentered="1"/>
  <pageMargins left="0.75" right="0.75" top="1" bottom="1" header="0.5" footer="0.5"/>
  <pageSetup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K61"/>
  <sheetViews>
    <sheetView workbookViewId="0">
      <selection activeCell="C4" sqref="C4"/>
    </sheetView>
  </sheetViews>
  <sheetFormatPr defaultColWidth="9.140625" defaultRowHeight="12.75"/>
  <cols>
    <col min="1" max="1" width="23.140625" style="66" customWidth="1"/>
    <col min="2" max="2" width="10.85546875" style="66" customWidth="1"/>
    <col min="3" max="3" width="11.85546875" style="66" customWidth="1"/>
    <col min="4" max="4" width="16.7109375" style="66" bestFit="1" customWidth="1"/>
    <col min="5" max="5" width="13.42578125" style="66" bestFit="1" customWidth="1"/>
    <col min="6" max="6" width="11.5703125" style="66" customWidth="1"/>
    <col min="7" max="7" width="8.85546875" style="66" customWidth="1"/>
    <col min="8" max="8" width="11.28515625" style="66" bestFit="1" customWidth="1"/>
    <col min="9" max="16384" width="9.140625" style="66"/>
  </cols>
  <sheetData>
    <row r="1" spans="1:10">
      <c r="A1" s="6" t="s">
        <v>14</v>
      </c>
      <c r="B1" s="139"/>
      <c r="C1" s="139"/>
      <c r="D1" s="139"/>
      <c r="E1" s="139"/>
      <c r="F1" s="139"/>
      <c r="G1" s="139"/>
      <c r="H1" s="139"/>
    </row>
    <row r="2" spans="1:10">
      <c r="A2" s="6" t="s">
        <v>46</v>
      </c>
      <c r="B2" s="139"/>
      <c r="C2" s="139"/>
      <c r="D2" s="139"/>
      <c r="E2" s="139"/>
      <c r="F2" s="139"/>
      <c r="G2" s="139"/>
      <c r="H2" s="139"/>
    </row>
    <row r="4" spans="1:10">
      <c r="A4" s="256" t="s">
        <v>45</v>
      </c>
      <c r="C4" s="298">
        <f>+'Rate Design - Sept 2016'!C4+[3]Results!$N$28</f>
        <v>32753171.483684026</v>
      </c>
      <c r="D4" s="298"/>
      <c r="E4" s="298"/>
      <c r="F4" s="298"/>
      <c r="G4" s="298"/>
    </row>
    <row r="5" spans="1:10">
      <c r="A5" s="256"/>
      <c r="C5" s="298"/>
    </row>
    <row r="6" spans="1:10">
      <c r="A6" s="256"/>
      <c r="C6" s="298"/>
      <c r="D6" s="10" t="s">
        <v>70</v>
      </c>
      <c r="G6" s="10" t="s">
        <v>153</v>
      </c>
      <c r="H6" s="10" t="s">
        <v>153</v>
      </c>
    </row>
    <row r="7" spans="1:10">
      <c r="A7" s="256"/>
      <c r="B7" s="10" t="s">
        <v>60</v>
      </c>
      <c r="C7" s="12" t="s">
        <v>56</v>
      </c>
      <c r="D7" s="10" t="s">
        <v>47</v>
      </c>
      <c r="E7" s="10" t="s">
        <v>58</v>
      </c>
      <c r="F7" s="10" t="s">
        <v>56</v>
      </c>
      <c r="G7" s="10" t="s">
        <v>63</v>
      </c>
      <c r="H7" s="10" t="s">
        <v>64</v>
      </c>
    </row>
    <row r="8" spans="1:10">
      <c r="A8" s="1" t="s">
        <v>66</v>
      </c>
      <c r="B8" s="11" t="s">
        <v>83</v>
      </c>
      <c r="C8" s="11" t="s">
        <v>57</v>
      </c>
      <c r="D8" s="11" t="s">
        <v>61</v>
      </c>
      <c r="E8" s="11" t="s">
        <v>62</v>
      </c>
      <c r="F8" s="11" t="s">
        <v>59</v>
      </c>
      <c r="G8" s="11" t="s">
        <v>57</v>
      </c>
      <c r="H8" s="11" t="s">
        <v>65</v>
      </c>
    </row>
    <row r="9" spans="1:10">
      <c r="A9" s="256" t="s">
        <v>47</v>
      </c>
      <c r="B9" s="299">
        <f>'customers -15'!N7</f>
        <v>606243.75</v>
      </c>
      <c r="C9" s="24">
        <v>19.5</v>
      </c>
      <c r="D9" s="300">
        <f>C9/$C$9</f>
        <v>1</v>
      </c>
      <c r="E9" s="299">
        <f>B9*D9</f>
        <v>606243.75</v>
      </c>
      <c r="F9" s="297">
        <f>E9/SUM($E$9:$E$19)</f>
        <v>0.87945951522409227</v>
      </c>
      <c r="G9" s="28">
        <f>H9/B9/12</f>
        <v>3.9595031309728026</v>
      </c>
      <c r="H9" s="298">
        <f>F9*$C$4</f>
        <v>28805088.315092318</v>
      </c>
      <c r="J9" s="298"/>
    </row>
    <row r="10" spans="1:10">
      <c r="A10" s="256" t="s">
        <v>48</v>
      </c>
      <c r="B10" s="299">
        <f>'customers -15'!N8</f>
        <v>30823.833333333332</v>
      </c>
      <c r="C10" s="24">
        <v>25.5</v>
      </c>
      <c r="D10" s="300">
        <f t="shared" ref="D10:D19" si="0">C10/$C$9</f>
        <v>1.3076923076923077</v>
      </c>
      <c r="E10" s="299">
        <f t="shared" ref="E10:E19" si="1">B10*D10</f>
        <v>40308.089743589742</v>
      </c>
      <c r="F10" s="297">
        <f t="shared" ref="F10:F19" si="2">E10/SUM($E$9:$E$19)</f>
        <v>5.8473729527944232E-2</v>
      </c>
      <c r="G10" s="28">
        <f t="shared" ref="G10:G19" si="3">H10/B10/12</f>
        <v>5.1778117866567417</v>
      </c>
      <c r="H10" s="298">
        <f t="shared" ref="H10:H19" si="4">F10*$C$4</f>
        <v>1915200.0905193156</v>
      </c>
      <c r="J10" s="298"/>
    </row>
    <row r="11" spans="1:10">
      <c r="A11" s="256" t="s">
        <v>49</v>
      </c>
      <c r="B11" s="299">
        <f>'customers -15'!N9</f>
        <v>9006.4166666666661</v>
      </c>
      <c r="C11" s="24">
        <v>44.29</v>
      </c>
      <c r="D11" s="300">
        <f t="shared" si="0"/>
        <v>2.2712820512820513</v>
      </c>
      <c r="E11" s="299">
        <f t="shared" si="1"/>
        <v>20456.112521367519</v>
      </c>
      <c r="F11" s="297">
        <f t="shared" si="2"/>
        <v>2.9675065188567079E-2</v>
      </c>
      <c r="G11" s="28">
        <f t="shared" si="3"/>
        <v>8.9931483933736107</v>
      </c>
      <c r="H11" s="298">
        <f t="shared" si="4"/>
        <v>971952.49891063978</v>
      </c>
      <c r="J11" s="298"/>
    </row>
    <row r="12" spans="1:10">
      <c r="A12" s="256" t="s">
        <v>50</v>
      </c>
      <c r="B12" s="299">
        <f>'customers -15'!N10</f>
        <v>606.25</v>
      </c>
      <c r="C12" s="24">
        <v>88.57</v>
      </c>
      <c r="D12" s="300">
        <f t="shared" si="0"/>
        <v>4.5420512820512817</v>
      </c>
      <c r="E12" s="299">
        <f t="shared" si="1"/>
        <v>2753.6185897435894</v>
      </c>
      <c r="F12" s="297">
        <f t="shared" si="2"/>
        <v>3.9945913999904258E-3</v>
      </c>
      <c r="G12" s="28">
        <f t="shared" si="3"/>
        <v>17.984266272321083</v>
      </c>
      <c r="H12" s="298">
        <f t="shared" si="4"/>
        <v>130835.53713113586</v>
      </c>
      <c r="J12" s="298"/>
    </row>
    <row r="13" spans="1:10">
      <c r="A13" s="256" t="s">
        <v>51</v>
      </c>
      <c r="B13" s="299">
        <f>'customers -15'!N11</f>
        <v>71.833333333333329</v>
      </c>
      <c r="C13" s="24">
        <v>874.78</v>
      </c>
      <c r="D13" s="300">
        <f t="shared" si="0"/>
        <v>44.860512820512817</v>
      </c>
      <c r="E13" s="299">
        <f t="shared" si="1"/>
        <v>3222.4801709401704</v>
      </c>
      <c r="F13" s="297">
        <f t="shared" si="2"/>
        <v>4.6747547483240734E-3</v>
      </c>
      <c r="G13" s="28">
        <f t="shared" si="3"/>
        <v>177.62534096986607</v>
      </c>
      <c r="H13" s="298">
        <f t="shared" si="4"/>
        <v>153113.04391602453</v>
      </c>
      <c r="J13" s="298"/>
    </row>
    <row r="14" spans="1:10">
      <c r="A14" s="256" t="s">
        <v>52</v>
      </c>
      <c r="B14" s="299">
        <f>'customers -15'!N12</f>
        <v>17.666666666666668</v>
      </c>
      <c r="C14" s="24">
        <v>776.36</v>
      </c>
      <c r="D14" s="300">
        <f t="shared" si="0"/>
        <v>39.813333333333333</v>
      </c>
      <c r="E14" s="299">
        <f t="shared" si="1"/>
        <v>703.36888888888893</v>
      </c>
      <c r="F14" s="297">
        <f t="shared" si="2"/>
        <v>1.0203560235399222E-3</v>
      </c>
      <c r="G14" s="28">
        <f t="shared" si="3"/>
        <v>157.6410179877972</v>
      </c>
      <c r="H14" s="298">
        <f t="shared" si="4"/>
        <v>33419.895813413008</v>
      </c>
      <c r="J14" s="298"/>
    </row>
    <row r="15" spans="1:10">
      <c r="A15" s="256" t="s">
        <v>142</v>
      </c>
      <c r="B15" s="299">
        <f>'customers -15'!N13</f>
        <v>146.75</v>
      </c>
      <c r="C15" s="24">
        <v>2069.94</v>
      </c>
      <c r="D15" s="300">
        <f t="shared" si="0"/>
        <v>106.15076923076923</v>
      </c>
      <c r="E15" s="299">
        <f t="shared" si="1"/>
        <v>15577.625384615385</v>
      </c>
      <c r="F15" s="297">
        <f t="shared" si="2"/>
        <v>2.2597991103572385E-2</v>
      </c>
      <c r="G15" s="28">
        <f t="shared" si="3"/>
        <v>420.30430312440222</v>
      </c>
      <c r="H15" s="298">
        <f t="shared" si="4"/>
        <v>740155.87780207233</v>
      </c>
      <c r="J15" s="298"/>
    </row>
    <row r="16" spans="1:10">
      <c r="A16" s="256" t="s">
        <v>143</v>
      </c>
      <c r="B16" s="299">
        <f>'customers -15'!N14</f>
        <v>0</v>
      </c>
      <c r="C16" s="24">
        <v>1707.94</v>
      </c>
      <c r="D16" s="300">
        <f t="shared" si="0"/>
        <v>87.586666666666673</v>
      </c>
      <c r="E16" s="299">
        <f t="shared" si="1"/>
        <v>0</v>
      </c>
      <c r="F16" s="297">
        <f t="shared" si="2"/>
        <v>0</v>
      </c>
      <c r="G16" s="28">
        <v>0</v>
      </c>
      <c r="H16" s="298">
        <f t="shared" si="4"/>
        <v>0</v>
      </c>
      <c r="J16" s="298"/>
    </row>
    <row r="17" spans="1:10">
      <c r="A17" s="256" t="s">
        <v>53</v>
      </c>
      <c r="B17" s="299">
        <f>'customers -15'!N15</f>
        <v>87</v>
      </c>
      <c r="C17" s="24">
        <v>5.69</v>
      </c>
      <c r="D17" s="300">
        <f t="shared" si="0"/>
        <v>0.29179487179487179</v>
      </c>
      <c r="E17" s="299">
        <f t="shared" si="1"/>
        <v>25.386153846153846</v>
      </c>
      <c r="F17" s="297">
        <f t="shared" si="2"/>
        <v>3.682692737853823E-5</v>
      </c>
      <c r="G17" s="28">
        <f t="shared" si="3"/>
        <v>1.1553627084736022</v>
      </c>
      <c r="H17" s="298">
        <f t="shared" si="4"/>
        <v>1206.1986676464408</v>
      </c>
      <c r="J17" s="298"/>
    </row>
    <row r="18" spans="1:10">
      <c r="A18" s="256" t="s">
        <v>54</v>
      </c>
      <c r="B18" s="299">
        <f>'customers -15'!N16</f>
        <v>8.1666666666666661</v>
      </c>
      <c r="C18" s="24">
        <v>22.09</v>
      </c>
      <c r="D18" s="300">
        <f t="shared" si="0"/>
        <v>1.1328205128205129</v>
      </c>
      <c r="E18" s="299">
        <f t="shared" si="1"/>
        <v>9.2513675213675217</v>
      </c>
      <c r="F18" s="297">
        <f t="shared" si="2"/>
        <v>1.3420679710927813E-5</v>
      </c>
      <c r="G18" s="28">
        <f t="shared" si="3"/>
        <v>4.4854063673430371</v>
      </c>
      <c r="H18" s="298">
        <f t="shared" si="4"/>
        <v>439.5698239996176</v>
      </c>
      <c r="J18" s="298"/>
    </row>
    <row r="19" spans="1:10">
      <c r="A19" s="256" t="s">
        <v>55</v>
      </c>
      <c r="B19" s="301">
        <f>'customers -15'!N17</f>
        <v>42.5</v>
      </c>
      <c r="C19" s="24">
        <v>17</v>
      </c>
      <c r="D19" s="300">
        <f t="shared" si="0"/>
        <v>0.87179487179487181</v>
      </c>
      <c r="E19" s="299">
        <f t="shared" si="1"/>
        <v>37.051282051282051</v>
      </c>
      <c r="F19" s="302">
        <f t="shared" si="2"/>
        <v>5.3749176880176701E-5</v>
      </c>
      <c r="G19" s="28">
        <f t="shared" si="3"/>
        <v>3.4518745244378279</v>
      </c>
      <c r="H19" s="303">
        <f t="shared" si="4"/>
        <v>1760.4560074632923</v>
      </c>
      <c r="J19" s="298"/>
    </row>
    <row r="20" spans="1:10" ht="6.75" customHeight="1">
      <c r="A20" s="256"/>
      <c r="B20" s="304"/>
      <c r="C20" s="24"/>
      <c r="D20" s="24"/>
      <c r="E20" s="305"/>
      <c r="F20" s="306"/>
      <c r="H20" s="307"/>
      <c r="J20" s="298"/>
    </row>
    <row r="21" spans="1:10" ht="13.5" thickBot="1">
      <c r="A21" s="256" t="s">
        <v>42</v>
      </c>
      <c r="B21" s="299">
        <f>SUM(B9:B19)</f>
        <v>647054.16666666663</v>
      </c>
      <c r="F21" s="308">
        <f>SUM(F9:F19)</f>
        <v>1.0000000000000002</v>
      </c>
      <c r="H21" s="309">
        <f>SUM(H9:H19)</f>
        <v>32753171.483684026</v>
      </c>
      <c r="I21" s="304"/>
      <c r="J21" s="299"/>
    </row>
    <row r="22" spans="1:10" ht="13.5" thickTop="1">
      <c r="I22" s="299"/>
    </row>
    <row r="23" spans="1:10">
      <c r="A23" s="66" t="s">
        <v>1032</v>
      </c>
      <c r="I23" s="299"/>
    </row>
    <row r="24" spans="1:10">
      <c r="A24" s="66" t="s">
        <v>144</v>
      </c>
    </row>
    <row r="33" spans="8:11">
      <c r="K33" s="740"/>
    </row>
    <row r="34" spans="8:11">
      <c r="K34" s="740"/>
    </row>
    <row r="36" spans="8:11">
      <c r="H36" s="270" t="s">
        <v>140</v>
      </c>
    </row>
    <row r="37" spans="8:11">
      <c r="H37" s="270" t="str">
        <f>+"Page 15 of "&amp;FIXED('Revenue Requirement'!$S$1,0)</f>
        <v>Page 15 of 15</v>
      </c>
    </row>
    <row r="60" spans="8:8">
      <c r="H60" s="270" t="s">
        <v>140</v>
      </c>
    </row>
    <row r="61" spans="8:8">
      <c r="H61" s="270" t="s">
        <v>141</v>
      </c>
    </row>
  </sheetData>
  <phoneticPr fontId="10" type="noConversion"/>
  <printOptions horizontalCentered="1"/>
  <pageMargins left="0.75" right="0.7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tint="0.59999389629810485"/>
    <pageSetUpPr fitToPage="1"/>
  </sheetPr>
  <dimension ref="A1:V20"/>
  <sheetViews>
    <sheetView workbookViewId="0">
      <selection activeCell="G9" sqref="G9"/>
    </sheetView>
  </sheetViews>
  <sheetFormatPr defaultColWidth="9.140625" defaultRowHeight="12.75"/>
  <cols>
    <col min="1" max="1" width="36.5703125" style="66" bestFit="1" customWidth="1"/>
    <col min="2" max="3" width="14" style="66" bestFit="1" customWidth="1"/>
    <col min="4" max="4" width="14.140625" style="66" customWidth="1"/>
    <col min="5" max="5" width="14" style="66" bestFit="1" customWidth="1"/>
    <col min="6" max="6" width="12.85546875" style="66" customWidth="1"/>
    <col min="7" max="7" width="14.42578125" style="66" customWidth="1"/>
    <col min="8" max="8" width="14.5703125" style="66" customWidth="1"/>
    <col min="9" max="9" width="14" style="66" bestFit="1" customWidth="1"/>
    <col min="10" max="10" width="1.140625" style="66" customWidth="1"/>
    <col min="11" max="18" width="12.85546875" style="66" hidden="1" customWidth="1"/>
    <col min="19" max="19" width="1.140625" style="66" hidden="1" customWidth="1"/>
    <col min="20" max="20" width="15.7109375" style="66" customWidth="1"/>
    <col min="21" max="21" width="16.140625" style="66" customWidth="1"/>
    <col min="22" max="22" width="14" style="66" bestFit="1" customWidth="1"/>
    <col min="23" max="16384" width="9.140625" style="66"/>
  </cols>
  <sheetData>
    <row r="1" spans="1:22">
      <c r="A1" s="66" t="s">
        <v>9</v>
      </c>
    </row>
    <row r="3" spans="1:22">
      <c r="B3" s="33" t="s">
        <v>1</v>
      </c>
      <c r="C3" s="33"/>
      <c r="D3" s="33"/>
      <c r="E3" s="33"/>
      <c r="F3" s="33"/>
      <c r="G3" s="33"/>
      <c r="H3" s="33"/>
      <c r="I3" s="33"/>
      <c r="J3" s="47"/>
      <c r="K3" s="33" t="s">
        <v>1</v>
      </c>
      <c r="L3" s="33"/>
      <c r="M3" s="33"/>
      <c r="N3" s="33"/>
      <c r="O3" s="33"/>
      <c r="P3" s="33"/>
      <c r="Q3" s="33"/>
      <c r="R3" s="33"/>
      <c r="S3" s="8"/>
      <c r="T3" s="33"/>
      <c r="U3" s="271"/>
    </row>
    <row r="4" spans="1:22">
      <c r="B4" s="319" t="s">
        <v>209</v>
      </c>
      <c r="C4" s="319"/>
      <c r="D4" s="319"/>
      <c r="E4" s="319"/>
      <c r="F4" s="319"/>
      <c r="G4" s="319"/>
      <c r="H4" s="319"/>
      <c r="I4" s="319"/>
      <c r="J4" s="320"/>
      <c r="K4" s="319" t="s">
        <v>208</v>
      </c>
      <c r="L4" s="319"/>
      <c r="M4" s="319"/>
      <c r="N4" s="319"/>
      <c r="O4" s="319"/>
      <c r="P4" s="319"/>
      <c r="Q4" s="319"/>
      <c r="R4" s="319"/>
      <c r="S4" s="320"/>
      <c r="T4" s="271"/>
      <c r="U4" s="271"/>
    </row>
    <row r="5" spans="1:22">
      <c r="B5" s="319">
        <v>2016</v>
      </c>
      <c r="C5" s="319"/>
      <c r="D5" s="321"/>
      <c r="E5" s="347">
        <v>2013</v>
      </c>
      <c r="F5" s="322">
        <v>2017</v>
      </c>
      <c r="G5" s="319"/>
      <c r="H5" s="319"/>
      <c r="I5" s="319"/>
      <c r="J5" s="320"/>
      <c r="K5" s="319">
        <v>2011</v>
      </c>
      <c r="L5" s="319"/>
      <c r="M5" s="319"/>
      <c r="N5" s="321"/>
      <c r="O5" s="322">
        <v>2012</v>
      </c>
      <c r="P5" s="319"/>
      <c r="Q5" s="319"/>
      <c r="R5" s="319"/>
      <c r="S5" s="320"/>
      <c r="T5" s="271"/>
      <c r="U5" s="271"/>
    </row>
    <row r="6" spans="1:22">
      <c r="B6" s="323" t="s">
        <v>225</v>
      </c>
      <c r="C6" s="323" t="s">
        <v>189</v>
      </c>
      <c r="D6" s="323" t="s">
        <v>184</v>
      </c>
      <c r="E6" s="323" t="s">
        <v>189</v>
      </c>
      <c r="F6" s="323" t="s">
        <v>225</v>
      </c>
      <c r="G6" s="323" t="s">
        <v>189</v>
      </c>
      <c r="H6" s="323" t="s">
        <v>184</v>
      </c>
      <c r="I6" s="323" t="s">
        <v>185</v>
      </c>
      <c r="J6" s="288"/>
      <c r="K6" s="323" t="s">
        <v>225</v>
      </c>
      <c r="L6" s="323" t="s">
        <v>189</v>
      </c>
      <c r="M6" s="323" t="s">
        <v>184</v>
      </c>
      <c r="N6" s="323" t="s">
        <v>185</v>
      </c>
      <c r="O6" s="323" t="s">
        <v>225</v>
      </c>
      <c r="P6" s="323" t="s">
        <v>189</v>
      </c>
      <c r="Q6" s="323" t="s">
        <v>184</v>
      </c>
      <c r="R6" s="323" t="s">
        <v>185</v>
      </c>
      <c r="S6" s="288"/>
      <c r="T6" s="323" t="s">
        <v>42</v>
      </c>
      <c r="U6" s="271"/>
    </row>
    <row r="7" spans="1:22">
      <c r="A7" s="66" t="s">
        <v>68</v>
      </c>
      <c r="B7" s="25">
        <f>'def tax - main split'!S19</f>
        <v>0</v>
      </c>
      <c r="C7" s="25">
        <f>'def tax - main split'!S16</f>
        <v>0</v>
      </c>
      <c r="D7" s="25">
        <f>'def tax - main split'!S17</f>
        <v>0</v>
      </c>
      <c r="E7" s="25">
        <f>'def tax - main split'!S18</f>
        <v>0</v>
      </c>
      <c r="F7" s="272">
        <f>'def tax - main split'!S29</f>
        <v>0</v>
      </c>
      <c r="G7" s="272">
        <f>'def tax - main split'!S26</f>
        <v>1184594.52</v>
      </c>
      <c r="H7" s="272">
        <f>'def tax - main split'!S27</f>
        <v>0</v>
      </c>
      <c r="I7" s="272">
        <f>'def tax - main split'!S28</f>
        <v>0</v>
      </c>
      <c r="J7" s="25"/>
      <c r="K7" s="22" t="s">
        <v>223</v>
      </c>
      <c r="L7" s="22" t="s">
        <v>223</v>
      </c>
      <c r="M7" s="22" t="s">
        <v>223</v>
      </c>
      <c r="N7" s="22" t="s">
        <v>223</v>
      </c>
      <c r="O7" s="22" t="s">
        <v>223</v>
      </c>
      <c r="P7" s="22" t="s">
        <v>223</v>
      </c>
      <c r="Q7" s="22" t="s">
        <v>223</v>
      </c>
      <c r="R7" s="22" t="s">
        <v>223</v>
      </c>
      <c r="S7" s="25"/>
      <c r="T7" s="24">
        <f>Additions!F1092</f>
        <v>1184594.52</v>
      </c>
      <c r="U7" s="26">
        <f t="shared" ref="U7:U13" si="0">+T7-SUM(B7:R7)</f>
        <v>0</v>
      </c>
    </row>
    <row r="8" spans="1:22">
      <c r="A8" s="66" t="s">
        <v>67</v>
      </c>
      <c r="B8" s="25">
        <f>'def tax - main split'!R19</f>
        <v>0</v>
      </c>
      <c r="C8" s="25">
        <f>'def tax - main split'!R16</f>
        <v>0</v>
      </c>
      <c r="D8" s="25">
        <f>'def tax - main split'!R17</f>
        <v>0</v>
      </c>
      <c r="E8" s="25">
        <f>'def tax - main split'!R18</f>
        <v>0</v>
      </c>
      <c r="F8" s="272">
        <f>'def tax - main split'!R29</f>
        <v>0</v>
      </c>
      <c r="G8" s="272">
        <f>'def tax - main split'!R26</f>
        <v>4687242.9799999995</v>
      </c>
      <c r="H8" s="272">
        <f>'def tax - main split'!R27</f>
        <v>0</v>
      </c>
      <c r="I8" s="272">
        <f>'def tax - main split'!R28</f>
        <v>0</v>
      </c>
      <c r="J8" s="25"/>
      <c r="K8" s="22" t="s">
        <v>223</v>
      </c>
      <c r="L8" s="22" t="s">
        <v>223</v>
      </c>
      <c r="M8" s="22" t="s">
        <v>223</v>
      </c>
      <c r="N8" s="22" t="s">
        <v>223</v>
      </c>
      <c r="O8" s="22" t="s">
        <v>223</v>
      </c>
      <c r="P8" s="22" t="s">
        <v>223</v>
      </c>
      <c r="Q8" s="22" t="s">
        <v>223</v>
      </c>
      <c r="R8" s="22" t="s">
        <v>223</v>
      </c>
      <c r="S8" s="25"/>
      <c r="T8" s="24">
        <f>Additions!F464</f>
        <v>4687242.9799999995</v>
      </c>
      <c r="U8" s="26">
        <f t="shared" si="0"/>
        <v>0</v>
      </c>
      <c r="V8" s="25">
        <f>+T8+T10</f>
        <v>5136929.3699999992</v>
      </c>
    </row>
    <row r="9" spans="1:22">
      <c r="A9" s="66" t="s">
        <v>0</v>
      </c>
      <c r="B9" s="22">
        <f>+'def tax - bonus codes'!$F$10</f>
        <v>0</v>
      </c>
      <c r="C9" s="22">
        <f>+'def tax - bonus codes'!$F$11</f>
        <v>0</v>
      </c>
      <c r="D9" s="22">
        <f>+'def tax - bonus codes'!$F$12</f>
        <v>0</v>
      </c>
      <c r="E9" s="22">
        <f>+'def tax - bonus codes'!$F$13</f>
        <v>0</v>
      </c>
      <c r="F9" s="22">
        <f>+'def tax - bonus codes'!$F$14</f>
        <v>0</v>
      </c>
      <c r="G9" s="22">
        <f>+'def tax - bonus codes'!$F$15</f>
        <v>6401464.4799999986</v>
      </c>
      <c r="H9" s="22">
        <f>+'def tax - bonus codes'!$F$16</f>
        <v>0</v>
      </c>
      <c r="I9" s="22">
        <f>+'def tax - bonus codes'!$F$17</f>
        <v>0</v>
      </c>
      <c r="J9" s="26"/>
      <c r="K9" s="22" t="s">
        <v>223</v>
      </c>
      <c r="L9" s="22" t="s">
        <v>223</v>
      </c>
      <c r="M9" s="22" t="s">
        <v>223</v>
      </c>
      <c r="N9" s="22" t="s">
        <v>223</v>
      </c>
      <c r="O9" s="22" t="s">
        <v>223</v>
      </c>
      <c r="P9" s="22" t="s">
        <v>223</v>
      </c>
      <c r="Q9" s="22" t="s">
        <v>223</v>
      </c>
      <c r="R9" s="22" t="s">
        <v>223</v>
      </c>
      <c r="S9" s="26"/>
      <c r="T9" s="25">
        <f>Additions!F970</f>
        <v>6401464.4799999995</v>
      </c>
      <c r="U9" s="26">
        <f t="shared" si="0"/>
        <v>0</v>
      </c>
    </row>
    <row r="10" spans="1:22">
      <c r="A10" s="66" t="s">
        <v>6</v>
      </c>
      <c r="B10" s="22">
        <f>+'def tax - bonus codes'!$E$10</f>
        <v>0</v>
      </c>
      <c r="C10" s="22">
        <f>+'def tax - bonus codes'!$E$11</f>
        <v>0</v>
      </c>
      <c r="D10" s="22">
        <f>+'def tax - bonus codes'!$E$12</f>
        <v>0</v>
      </c>
      <c r="E10" s="22">
        <f>+'def tax - bonus codes'!$E$13</f>
        <v>0</v>
      </c>
      <c r="F10" s="22">
        <f>+'def tax - bonus codes'!$E$14</f>
        <v>0</v>
      </c>
      <c r="G10" s="22">
        <f>+'def tax - bonus codes'!$E$15</f>
        <v>449686.39000000007</v>
      </c>
      <c r="H10" s="22">
        <f>+'def tax - bonus codes'!$E$16</f>
        <v>0</v>
      </c>
      <c r="I10" s="22">
        <f>+'def tax - bonus codes'!$E$17</f>
        <v>0</v>
      </c>
      <c r="J10" s="26"/>
      <c r="K10" s="22" t="s">
        <v>223</v>
      </c>
      <c r="L10" s="22" t="s">
        <v>223</v>
      </c>
      <c r="M10" s="22" t="s">
        <v>223</v>
      </c>
      <c r="N10" s="22" t="s">
        <v>223</v>
      </c>
      <c r="O10" s="22" t="s">
        <v>223</v>
      </c>
      <c r="P10" s="22" t="s">
        <v>223</v>
      </c>
      <c r="Q10" s="22" t="s">
        <v>223</v>
      </c>
      <c r="R10" s="22" t="s">
        <v>223</v>
      </c>
      <c r="S10" s="26"/>
      <c r="T10" s="25">
        <f>Additions!F653+Additions!F665</f>
        <v>449686.39000000007</v>
      </c>
      <c r="U10" s="26">
        <f t="shared" si="0"/>
        <v>0</v>
      </c>
    </row>
    <row r="11" spans="1:22">
      <c r="A11" s="66" t="s">
        <v>7</v>
      </c>
      <c r="B11" s="22">
        <f>+'def tax - bonus codes'!$G$10</f>
        <v>0</v>
      </c>
      <c r="C11" s="22">
        <f>+'def tax - bonus codes'!$G$11</f>
        <v>0</v>
      </c>
      <c r="D11" s="22">
        <f>+'def tax - bonus codes'!$G$12</f>
        <v>0</v>
      </c>
      <c r="E11" s="22">
        <f>+'def tax - bonus codes'!$G$13</f>
        <v>0</v>
      </c>
      <c r="F11" s="22">
        <f>+'def tax - bonus codes'!$G$14</f>
        <v>0</v>
      </c>
      <c r="G11" s="22">
        <f>+'def tax - bonus codes'!$G$15</f>
        <v>0</v>
      </c>
      <c r="H11" s="22">
        <f>+'def tax - bonus codes'!$G$16</f>
        <v>0</v>
      </c>
      <c r="I11" s="22">
        <f>+'def tax - bonus codes'!$G$17</f>
        <v>0</v>
      </c>
      <c r="J11" s="26"/>
      <c r="K11" s="22" t="s">
        <v>223</v>
      </c>
      <c r="L11" s="22" t="s">
        <v>223</v>
      </c>
      <c r="M11" s="22" t="s">
        <v>223</v>
      </c>
      <c r="N11" s="22" t="s">
        <v>223</v>
      </c>
      <c r="O11" s="22" t="s">
        <v>223</v>
      </c>
      <c r="P11" s="22" t="s">
        <v>223</v>
      </c>
      <c r="Q11" s="22" t="s">
        <v>223</v>
      </c>
      <c r="R11" s="22" t="s">
        <v>223</v>
      </c>
      <c r="S11" s="26"/>
      <c r="T11" s="25">
        <f>Additions!F1012</f>
        <v>0</v>
      </c>
      <c r="U11" s="26">
        <f t="shared" si="0"/>
        <v>0</v>
      </c>
    </row>
    <row r="12" spans="1:22">
      <c r="A12" s="66" t="s">
        <v>8</v>
      </c>
      <c r="B12" s="22">
        <f>+'def tax - bonus codes'!$D$10</f>
        <v>0</v>
      </c>
      <c r="C12" s="22">
        <f>+'def tax - bonus codes'!$D$11</f>
        <v>0</v>
      </c>
      <c r="D12" s="22">
        <f>+'def tax - bonus codes'!$D$12</f>
        <v>0</v>
      </c>
      <c r="E12" s="22">
        <f>+'def tax - bonus codes'!$D$13</f>
        <v>0</v>
      </c>
      <c r="F12" s="22">
        <f>+'def tax - bonus codes'!$D$14</f>
        <v>0</v>
      </c>
      <c r="G12" s="22">
        <f>+'def tax - bonus codes'!$D$15</f>
        <v>2304437.9800000004</v>
      </c>
      <c r="H12" s="22">
        <f>+'def tax - bonus codes'!$D$16</f>
        <v>0</v>
      </c>
      <c r="I12" s="22">
        <f>+'def tax - bonus codes'!$D$17</f>
        <v>0</v>
      </c>
      <c r="J12" s="26"/>
      <c r="K12" s="22" t="s">
        <v>223</v>
      </c>
      <c r="L12" s="22" t="s">
        <v>223</v>
      </c>
      <c r="M12" s="22" t="s">
        <v>223</v>
      </c>
      <c r="N12" s="22" t="s">
        <v>223</v>
      </c>
      <c r="O12" s="22" t="s">
        <v>223</v>
      </c>
      <c r="P12" s="22" t="s">
        <v>223</v>
      </c>
      <c r="Q12" s="22" t="s">
        <v>223</v>
      </c>
      <c r="R12" s="22" t="s">
        <v>223</v>
      </c>
      <c r="S12" s="26"/>
      <c r="T12" s="25">
        <f>Additions!F639</f>
        <v>2304437.9800000004</v>
      </c>
      <c r="U12" s="26">
        <f t="shared" si="0"/>
        <v>0</v>
      </c>
    </row>
    <row r="13" spans="1:22">
      <c r="A13" s="66" t="s">
        <v>78</v>
      </c>
      <c r="B13" s="22">
        <f>+'def tax - bonus codes'!$H$10</f>
        <v>0</v>
      </c>
      <c r="C13" s="22">
        <f>+'def tax - bonus codes'!$H$11</f>
        <v>0</v>
      </c>
      <c r="D13" s="22">
        <f>+'def tax - bonus codes'!$H$12</f>
        <v>0</v>
      </c>
      <c r="E13" s="22">
        <f>+'def tax - bonus codes'!$H$13</f>
        <v>0</v>
      </c>
      <c r="F13" s="22">
        <f>+'def tax - bonus codes'!$H$14</f>
        <v>0</v>
      </c>
      <c r="G13" s="22">
        <f>+'def tax - bonus codes'!$H$15</f>
        <v>0</v>
      </c>
      <c r="H13" s="22">
        <f>+'def tax - bonus codes'!$H$16</f>
        <v>0</v>
      </c>
      <c r="I13" s="22">
        <f>+'def tax - bonus codes'!$H$17</f>
        <v>0</v>
      </c>
      <c r="J13" s="26"/>
      <c r="K13" s="22" t="s">
        <v>223</v>
      </c>
      <c r="L13" s="22" t="s">
        <v>223</v>
      </c>
      <c r="M13" s="22" t="s">
        <v>223</v>
      </c>
      <c r="N13" s="22" t="s">
        <v>223</v>
      </c>
      <c r="O13" s="22" t="s">
        <v>223</v>
      </c>
      <c r="P13" s="22" t="s">
        <v>223</v>
      </c>
      <c r="Q13" s="22" t="s">
        <v>223</v>
      </c>
      <c r="R13" s="22" t="s">
        <v>223</v>
      </c>
      <c r="S13" s="26"/>
      <c r="T13" s="25">
        <f>Additions!F1105</f>
        <v>0</v>
      </c>
      <c r="U13" s="26">
        <f t="shared" si="0"/>
        <v>0</v>
      </c>
    </row>
    <row r="14" spans="1:22">
      <c r="C14" s="25"/>
      <c r="D14" s="25"/>
      <c r="E14" s="25"/>
      <c r="G14" s="25"/>
      <c r="H14" s="25"/>
      <c r="I14" s="25"/>
      <c r="J14" s="25"/>
      <c r="L14" s="25"/>
      <c r="M14" s="25"/>
      <c r="N14" s="25"/>
      <c r="P14" s="25"/>
      <c r="Q14" s="25"/>
      <c r="R14" s="25"/>
      <c r="S14" s="25"/>
      <c r="T14" s="25"/>
      <c r="U14" s="25"/>
    </row>
    <row r="15" spans="1:22">
      <c r="A15" s="66" t="s">
        <v>69</v>
      </c>
      <c r="B15" s="25">
        <f t="shared" ref="B15:I15" si="1">SUM(B7:B13)</f>
        <v>0</v>
      </c>
      <c r="C15" s="25">
        <f t="shared" si="1"/>
        <v>0</v>
      </c>
      <c r="D15" s="25">
        <f t="shared" si="1"/>
        <v>0</v>
      </c>
      <c r="E15" s="25">
        <f t="shared" si="1"/>
        <v>0</v>
      </c>
      <c r="F15" s="25">
        <f t="shared" si="1"/>
        <v>0</v>
      </c>
      <c r="G15" s="25">
        <f t="shared" si="1"/>
        <v>15027426.35</v>
      </c>
      <c r="H15" s="25">
        <f t="shared" si="1"/>
        <v>0</v>
      </c>
      <c r="I15" s="25">
        <f t="shared" si="1"/>
        <v>0</v>
      </c>
      <c r="J15" s="25"/>
      <c r="K15" s="25">
        <f t="shared" ref="K15:R15" si="2">SUM(K7:K13)</f>
        <v>0</v>
      </c>
      <c r="L15" s="25">
        <f t="shared" si="2"/>
        <v>0</v>
      </c>
      <c r="M15" s="25">
        <f t="shared" si="2"/>
        <v>0</v>
      </c>
      <c r="N15" s="25">
        <f t="shared" si="2"/>
        <v>0</v>
      </c>
      <c r="O15" s="25">
        <f t="shared" si="2"/>
        <v>0</v>
      </c>
      <c r="P15" s="25">
        <f t="shared" si="2"/>
        <v>0</v>
      </c>
      <c r="Q15" s="25">
        <f t="shared" si="2"/>
        <v>0</v>
      </c>
      <c r="R15" s="25">
        <f t="shared" si="2"/>
        <v>0</v>
      </c>
      <c r="S15" s="25"/>
      <c r="T15" s="25">
        <f>SUM(T7:T13)</f>
        <v>15027426.350000001</v>
      </c>
      <c r="U15" s="26">
        <f>+T15-SUM(B15:R15)</f>
        <v>0</v>
      </c>
    </row>
    <row r="16" spans="1:22">
      <c r="C16" s="25"/>
      <c r="D16" s="25"/>
      <c r="E16" s="25"/>
      <c r="G16" s="25"/>
      <c r="H16" s="25"/>
      <c r="I16" s="25"/>
      <c r="J16" s="25"/>
      <c r="L16" s="25"/>
      <c r="M16" s="25"/>
      <c r="N16" s="25"/>
      <c r="P16" s="25"/>
      <c r="Q16" s="25"/>
      <c r="R16" s="25"/>
      <c r="S16" s="25"/>
      <c r="T16" s="25"/>
      <c r="U16" s="25"/>
    </row>
    <row r="17" spans="2:21">
      <c r="C17" s="25"/>
      <c r="D17" s="25"/>
      <c r="E17" s="25"/>
      <c r="G17" s="25"/>
      <c r="H17" s="25"/>
      <c r="I17" s="25"/>
      <c r="J17" s="25"/>
      <c r="L17" s="25"/>
      <c r="M17" s="25"/>
      <c r="N17" s="25"/>
      <c r="P17" s="25"/>
      <c r="Q17" s="25"/>
      <c r="R17" s="25"/>
      <c r="S17" s="25"/>
      <c r="T17" s="25"/>
      <c r="U17" s="25"/>
    </row>
    <row r="20" spans="2:21">
      <c r="B20" s="25"/>
      <c r="C20" s="25"/>
      <c r="D20" s="25"/>
      <c r="E20" s="25"/>
      <c r="F20" s="25"/>
      <c r="G20" s="25"/>
      <c r="H20" s="25"/>
      <c r="I20" s="25"/>
      <c r="J20" s="25"/>
      <c r="K20" s="25"/>
      <c r="L20" s="25"/>
      <c r="M20" s="25"/>
      <c r="N20" s="25"/>
      <c r="O20" s="25"/>
      <c r="P20" s="25"/>
      <c r="Q20" s="25"/>
      <c r="R20" s="25"/>
      <c r="S20" s="25"/>
      <c r="T20" s="25"/>
      <c r="U20" s="25"/>
    </row>
  </sheetData>
  <phoneticPr fontId="10" type="noConversion"/>
  <conditionalFormatting sqref="U7:U15">
    <cfRule type="cellIs" dxfId="0" priority="1" stopIfTrue="1" operator="equal">
      <formula>0</formula>
    </cfRule>
  </conditionalFormatting>
  <pageMargins left="0.25" right="0.25" top="1" bottom="1" header="0.5" footer="0.5"/>
  <pageSetup scale="8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tint="0.59999389629810485"/>
    <pageSetUpPr fitToPage="1"/>
  </sheetPr>
  <dimension ref="A1:O65"/>
  <sheetViews>
    <sheetView workbookViewId="0">
      <selection activeCell="J18" sqref="J18"/>
    </sheetView>
  </sheetViews>
  <sheetFormatPr defaultColWidth="9.140625" defaultRowHeight="12.75"/>
  <cols>
    <col min="1" max="1" width="16.5703125" style="66" customWidth="1"/>
    <col min="2" max="14" width="10.7109375" style="66" customWidth="1"/>
    <col min="15" max="16384" width="9.140625" style="66"/>
  </cols>
  <sheetData>
    <row r="1" spans="1:14">
      <c r="A1" s="6" t="s">
        <v>14</v>
      </c>
      <c r="B1" s="139"/>
      <c r="C1" s="139"/>
      <c r="D1" s="139"/>
      <c r="E1" s="139"/>
      <c r="F1" s="139"/>
      <c r="G1" s="139"/>
      <c r="H1" s="139"/>
      <c r="I1" s="139"/>
      <c r="J1" s="139"/>
      <c r="K1" s="139"/>
      <c r="L1" s="139"/>
      <c r="M1" s="139"/>
      <c r="N1" s="139"/>
    </row>
    <row r="2" spans="1:14">
      <c r="A2" s="6" t="s">
        <v>156</v>
      </c>
      <c r="B2" s="139"/>
      <c r="C2" s="139"/>
      <c r="D2" s="139"/>
      <c r="E2" s="139"/>
      <c r="F2" s="139"/>
      <c r="G2" s="139"/>
      <c r="H2" s="139"/>
      <c r="I2" s="139"/>
      <c r="J2" s="139"/>
      <c r="K2" s="139"/>
      <c r="L2" s="139"/>
      <c r="M2" s="139"/>
      <c r="N2" s="139"/>
    </row>
    <row r="3" spans="1:14">
      <c r="A3" s="6" t="s">
        <v>1026</v>
      </c>
      <c r="B3" s="139"/>
      <c r="C3" s="139"/>
      <c r="D3" s="139"/>
      <c r="E3" s="139"/>
      <c r="F3" s="139"/>
      <c r="G3" s="139"/>
      <c r="H3" s="139"/>
      <c r="I3" s="139"/>
      <c r="J3" s="139"/>
      <c r="K3" s="139"/>
      <c r="L3" s="139"/>
      <c r="M3" s="139"/>
      <c r="N3" s="139"/>
    </row>
    <row r="5" spans="1:14">
      <c r="A5" s="140"/>
      <c r="B5" s="141">
        <v>42005</v>
      </c>
      <c r="C5" s="141">
        <v>42036</v>
      </c>
      <c r="D5" s="141">
        <v>42064</v>
      </c>
      <c r="E5" s="141">
        <v>42095</v>
      </c>
      <c r="F5" s="141">
        <v>42125</v>
      </c>
      <c r="G5" s="141">
        <v>42156</v>
      </c>
      <c r="H5" s="141">
        <v>42186</v>
      </c>
      <c r="I5" s="141">
        <v>42217</v>
      </c>
      <c r="J5" s="141">
        <v>42248</v>
      </c>
      <c r="K5" s="141">
        <v>42278</v>
      </c>
      <c r="L5" s="141">
        <v>42309</v>
      </c>
      <c r="M5" s="141">
        <v>42339</v>
      </c>
      <c r="N5" s="18" t="s">
        <v>28</v>
      </c>
    </row>
    <row r="6" spans="1:14">
      <c r="A6" s="140"/>
    </row>
    <row r="7" spans="1:14">
      <c r="A7" s="66" t="s">
        <v>47</v>
      </c>
      <c r="B7" s="45">
        <f>610605+8</f>
        <v>610613</v>
      </c>
      <c r="C7" s="45">
        <f>612346+8</f>
        <v>612354</v>
      </c>
      <c r="D7" s="45">
        <f>614219+8</f>
        <v>614227</v>
      </c>
      <c r="E7" s="45">
        <f>614315+8</f>
        <v>614323</v>
      </c>
      <c r="F7" s="45">
        <f>610906+8</f>
        <v>610914</v>
      </c>
      <c r="G7" s="45">
        <f>607828+8</f>
        <v>607836</v>
      </c>
      <c r="H7" s="45">
        <f>604506+8</f>
        <v>604514</v>
      </c>
      <c r="I7" s="45">
        <f>601131+8</f>
        <v>601139</v>
      </c>
      <c r="J7" s="45">
        <f>598077+8</f>
        <v>598085</v>
      </c>
      <c r="K7" s="45">
        <f>596609+8</f>
        <v>596617</v>
      </c>
      <c r="L7" s="45">
        <f>599529+8</f>
        <v>599537</v>
      </c>
      <c r="M7" s="45">
        <f>604759+7</f>
        <v>604766</v>
      </c>
      <c r="N7" s="142">
        <f>AVERAGE(B7:M7)</f>
        <v>606243.75</v>
      </c>
    </row>
    <row r="8" spans="1:14">
      <c r="A8" s="66" t="s">
        <v>48</v>
      </c>
      <c r="B8" s="45">
        <f>31444+3</f>
        <v>31447</v>
      </c>
      <c r="C8" s="45">
        <f>31618+3</f>
        <v>31621</v>
      </c>
      <c r="D8" s="45">
        <f>31703+3</f>
        <v>31706</v>
      </c>
      <c r="E8" s="45">
        <f>31612+3</f>
        <v>31615</v>
      </c>
      <c r="F8" s="45">
        <f>31237+3</f>
        <v>31240</v>
      </c>
      <c r="G8" s="45">
        <f>30757+3</f>
        <v>30760</v>
      </c>
      <c r="H8" s="45">
        <f>30395+3</f>
        <v>30398</v>
      </c>
      <c r="I8" s="45">
        <f>30150+3</f>
        <v>30153</v>
      </c>
      <c r="J8" s="45">
        <f>30003+3</f>
        <v>30006</v>
      </c>
      <c r="K8" s="45">
        <f>29975+3</f>
        <v>29978</v>
      </c>
      <c r="L8" s="45">
        <f>30232+3</f>
        <v>30235</v>
      </c>
      <c r="M8" s="45">
        <f>30724+3</f>
        <v>30727</v>
      </c>
      <c r="N8" s="142">
        <f t="shared" ref="N8:N17" si="0">AVERAGE(B8:M8)</f>
        <v>30823.833333333332</v>
      </c>
    </row>
    <row r="9" spans="1:14">
      <c r="A9" s="66" t="s">
        <v>49</v>
      </c>
      <c r="B9" s="45">
        <f>9033+15</f>
        <v>9048</v>
      </c>
      <c r="C9" s="45">
        <f>9057+15</f>
        <v>9072</v>
      </c>
      <c r="D9" s="45">
        <f>9064+13</f>
        <v>9077</v>
      </c>
      <c r="E9" s="45">
        <f>9064+15</f>
        <v>9079</v>
      </c>
      <c r="F9" s="45">
        <f>9039+15</f>
        <v>9054</v>
      </c>
      <c r="G9" s="45">
        <f>9010+14</f>
        <v>9024</v>
      </c>
      <c r="H9" s="45">
        <f>8971+15</f>
        <v>8986</v>
      </c>
      <c r="I9" s="45">
        <f>8934+15</f>
        <v>8949</v>
      </c>
      <c r="J9" s="45">
        <f>8891+14</f>
        <v>8905</v>
      </c>
      <c r="K9" s="45">
        <f>8894+15</f>
        <v>8909</v>
      </c>
      <c r="L9" s="45">
        <f>8943+13</f>
        <v>8956</v>
      </c>
      <c r="M9" s="45">
        <f>9003+15</f>
        <v>9018</v>
      </c>
      <c r="N9" s="142">
        <f t="shared" si="0"/>
        <v>9006.4166666666661</v>
      </c>
    </row>
    <row r="10" spans="1:14">
      <c r="A10" s="66" t="s">
        <v>50</v>
      </c>
      <c r="B10" s="45">
        <f>601+13</f>
        <v>614</v>
      </c>
      <c r="C10" s="45">
        <f>598+13</f>
        <v>611</v>
      </c>
      <c r="D10" s="45">
        <f>594+14</f>
        <v>608</v>
      </c>
      <c r="E10" s="45">
        <f>595+12</f>
        <v>607</v>
      </c>
      <c r="F10" s="45">
        <f>599+13</f>
        <v>612</v>
      </c>
      <c r="G10" s="45">
        <f>599+14</f>
        <v>613</v>
      </c>
      <c r="H10" s="45">
        <f>597+13</f>
        <v>610</v>
      </c>
      <c r="I10" s="45">
        <f>597+13</f>
        <v>610</v>
      </c>
      <c r="J10" s="45">
        <f>582+13</f>
        <v>595</v>
      </c>
      <c r="K10" s="45">
        <f>582+12</f>
        <v>594</v>
      </c>
      <c r="L10" s="45">
        <f>588+14</f>
        <v>602</v>
      </c>
      <c r="M10" s="45">
        <f>587+12</f>
        <v>599</v>
      </c>
      <c r="N10" s="142">
        <f t="shared" si="0"/>
        <v>606.25</v>
      </c>
    </row>
    <row r="11" spans="1:14">
      <c r="A11" s="66" t="s">
        <v>51</v>
      </c>
      <c r="B11" s="387">
        <v>72</v>
      </c>
      <c r="C11" s="387">
        <v>71</v>
      </c>
      <c r="D11" s="387">
        <v>71</v>
      </c>
      <c r="E11" s="387">
        <v>73</v>
      </c>
      <c r="F11" s="387">
        <v>74</v>
      </c>
      <c r="G11" s="387">
        <v>73</v>
      </c>
      <c r="H11" s="387">
        <v>73</v>
      </c>
      <c r="I11" s="387">
        <v>72</v>
      </c>
      <c r="J11" s="387">
        <v>72</v>
      </c>
      <c r="K11" s="387">
        <v>72</v>
      </c>
      <c r="L11" s="387">
        <v>70</v>
      </c>
      <c r="M11" s="387">
        <v>69</v>
      </c>
      <c r="N11" s="142">
        <f t="shared" si="0"/>
        <v>71.833333333333329</v>
      </c>
    </row>
    <row r="12" spans="1:14">
      <c r="A12" s="66" t="s">
        <v>52</v>
      </c>
      <c r="B12" s="387">
        <v>17</v>
      </c>
      <c r="C12" s="387">
        <v>17</v>
      </c>
      <c r="D12" s="387">
        <v>18</v>
      </c>
      <c r="E12" s="387">
        <v>18</v>
      </c>
      <c r="F12" s="387">
        <v>18</v>
      </c>
      <c r="G12" s="387">
        <v>18</v>
      </c>
      <c r="H12" s="387">
        <v>18</v>
      </c>
      <c r="I12" s="387">
        <v>18</v>
      </c>
      <c r="J12" s="387">
        <v>18</v>
      </c>
      <c r="K12" s="387">
        <v>18</v>
      </c>
      <c r="L12" s="387">
        <v>17</v>
      </c>
      <c r="M12" s="387">
        <v>17</v>
      </c>
      <c r="N12" s="142">
        <f t="shared" si="0"/>
        <v>17.666666666666668</v>
      </c>
    </row>
    <row r="13" spans="1:14">
      <c r="A13" s="66" t="s">
        <v>142</v>
      </c>
      <c r="B13" s="45">
        <v>148</v>
      </c>
      <c r="C13" s="45">
        <v>149</v>
      </c>
      <c r="D13" s="45">
        <v>149</v>
      </c>
      <c r="E13" s="45">
        <v>149</v>
      </c>
      <c r="F13" s="45">
        <v>148</v>
      </c>
      <c r="G13" s="45">
        <v>148</v>
      </c>
      <c r="H13" s="45">
        <v>148</v>
      </c>
      <c r="I13" s="45">
        <v>148</v>
      </c>
      <c r="J13" s="45">
        <v>150</v>
      </c>
      <c r="K13" s="45">
        <v>146</v>
      </c>
      <c r="L13" s="45">
        <v>140</v>
      </c>
      <c r="M13" s="45">
        <v>138</v>
      </c>
      <c r="N13" s="142">
        <f t="shared" si="0"/>
        <v>146.75</v>
      </c>
    </row>
    <row r="14" spans="1:14">
      <c r="A14" s="66" t="s">
        <v>145</v>
      </c>
      <c r="B14" s="45">
        <v>0</v>
      </c>
      <c r="C14" s="45">
        <v>0</v>
      </c>
      <c r="D14" s="45">
        <v>0</v>
      </c>
      <c r="E14" s="45">
        <v>0</v>
      </c>
      <c r="F14" s="45">
        <v>0</v>
      </c>
      <c r="G14" s="45">
        <v>0</v>
      </c>
      <c r="H14" s="45">
        <v>0</v>
      </c>
      <c r="I14" s="45">
        <v>0</v>
      </c>
      <c r="J14" s="45">
        <v>0</v>
      </c>
      <c r="K14" s="45">
        <v>0</v>
      </c>
      <c r="L14" s="45">
        <v>0</v>
      </c>
      <c r="M14" s="45">
        <v>0</v>
      </c>
      <c r="N14" s="142">
        <v>0</v>
      </c>
    </row>
    <row r="15" spans="1:14">
      <c r="A15" s="66" t="s">
        <v>53</v>
      </c>
      <c r="B15" s="45">
        <v>87</v>
      </c>
      <c r="C15" s="45">
        <v>86</v>
      </c>
      <c r="D15" s="45">
        <v>86</v>
      </c>
      <c r="E15" s="45">
        <v>87</v>
      </c>
      <c r="F15" s="45">
        <v>87</v>
      </c>
      <c r="G15" s="45">
        <v>88</v>
      </c>
      <c r="H15" s="45">
        <v>88</v>
      </c>
      <c r="I15" s="45">
        <v>87</v>
      </c>
      <c r="J15" s="45">
        <v>87</v>
      </c>
      <c r="K15" s="45">
        <v>87</v>
      </c>
      <c r="L15" s="45">
        <v>87</v>
      </c>
      <c r="M15" s="45">
        <v>87</v>
      </c>
      <c r="N15" s="142">
        <f t="shared" si="0"/>
        <v>87</v>
      </c>
    </row>
    <row r="16" spans="1:14">
      <c r="A16" s="66" t="s">
        <v>54</v>
      </c>
      <c r="B16" s="45">
        <v>8</v>
      </c>
      <c r="C16" s="45">
        <v>8</v>
      </c>
      <c r="D16" s="45">
        <v>8</v>
      </c>
      <c r="E16" s="45">
        <v>8</v>
      </c>
      <c r="F16" s="45">
        <v>8</v>
      </c>
      <c r="G16" s="45">
        <v>8</v>
      </c>
      <c r="H16" s="45">
        <v>8</v>
      </c>
      <c r="I16" s="45">
        <v>9</v>
      </c>
      <c r="J16" s="45">
        <v>9</v>
      </c>
      <c r="K16" s="45">
        <v>8</v>
      </c>
      <c r="L16" s="45">
        <v>8</v>
      </c>
      <c r="M16" s="45">
        <v>8</v>
      </c>
      <c r="N16" s="142">
        <f t="shared" si="0"/>
        <v>8.1666666666666661</v>
      </c>
    </row>
    <row r="17" spans="1:15">
      <c r="A17" s="66" t="s">
        <v>55</v>
      </c>
      <c r="B17" s="44">
        <v>44</v>
      </c>
      <c r="C17" s="44">
        <v>44</v>
      </c>
      <c r="D17" s="44">
        <v>45</v>
      </c>
      <c r="E17" s="44">
        <v>44</v>
      </c>
      <c r="F17" s="44">
        <v>44</v>
      </c>
      <c r="G17" s="44">
        <v>44</v>
      </c>
      <c r="H17" s="44">
        <v>42</v>
      </c>
      <c r="I17" s="44">
        <v>40</v>
      </c>
      <c r="J17" s="44">
        <v>41</v>
      </c>
      <c r="K17" s="44">
        <v>41</v>
      </c>
      <c r="L17" s="44">
        <v>41</v>
      </c>
      <c r="M17" s="44">
        <v>40</v>
      </c>
      <c r="N17" s="142">
        <f t="shared" si="0"/>
        <v>42.5</v>
      </c>
    </row>
    <row r="18" spans="1:15">
      <c r="A18" s="66" t="s">
        <v>42</v>
      </c>
      <c r="B18" s="144">
        <f>SUM(B7:B17)</f>
        <v>652098</v>
      </c>
      <c r="C18" s="144">
        <f t="shared" ref="C18:M18" si="1">SUM(C7:C17)</f>
        <v>654033</v>
      </c>
      <c r="D18" s="144">
        <f t="shared" si="1"/>
        <v>655995</v>
      </c>
      <c r="E18" s="144">
        <f t="shared" si="1"/>
        <v>656003</v>
      </c>
      <c r="F18" s="144">
        <f t="shared" si="1"/>
        <v>652199</v>
      </c>
      <c r="G18" s="144">
        <f t="shared" si="1"/>
        <v>648612</v>
      </c>
      <c r="H18" s="144">
        <f t="shared" si="1"/>
        <v>644885</v>
      </c>
      <c r="I18" s="144">
        <f t="shared" si="1"/>
        <v>641225</v>
      </c>
      <c r="J18" s="144">
        <f t="shared" si="1"/>
        <v>637968</v>
      </c>
      <c r="K18" s="144">
        <f t="shared" si="1"/>
        <v>636470</v>
      </c>
      <c r="L18" s="144">
        <f t="shared" si="1"/>
        <v>639693</v>
      </c>
      <c r="M18" s="144">
        <f t="shared" si="1"/>
        <v>645469</v>
      </c>
      <c r="N18" s="145">
        <f>SUM(N7:N17)</f>
        <v>647054.16666666663</v>
      </c>
    </row>
    <row r="19" spans="1:15">
      <c r="A19" s="140"/>
      <c r="N19" s="143"/>
    </row>
    <row r="20" spans="1:15">
      <c r="A20" s="140"/>
      <c r="B20" s="19"/>
      <c r="C20" s="19"/>
      <c r="D20" s="19"/>
      <c r="E20" s="19"/>
      <c r="F20" s="19"/>
      <c r="G20" s="19"/>
      <c r="H20" s="19"/>
      <c r="I20" s="19"/>
      <c r="J20" s="27"/>
      <c r="K20" s="19"/>
      <c r="L20" s="19"/>
      <c r="M20" s="19"/>
    </row>
    <row r="21" spans="1:15">
      <c r="A21" s="140"/>
      <c r="B21" s="19"/>
      <c r="C21" s="19"/>
      <c r="D21" s="19"/>
      <c r="E21" s="19"/>
      <c r="F21" s="19"/>
      <c r="G21" s="19"/>
      <c r="H21" s="19"/>
      <c r="I21" s="19"/>
      <c r="J21" s="19"/>
      <c r="K21" s="19"/>
      <c r="L21" s="19"/>
      <c r="M21" s="19"/>
    </row>
    <row r="22" spans="1:15">
      <c r="A22" s="295"/>
      <c r="B22" s="39"/>
      <c r="C22" s="295"/>
      <c r="D22" s="295"/>
      <c r="E22" s="295"/>
      <c r="F22" s="295"/>
      <c r="G22" s="295"/>
      <c r="H22" s="295"/>
      <c r="I22" s="295"/>
      <c r="J22" s="295"/>
      <c r="K22" s="295"/>
      <c r="L22" s="295"/>
      <c r="M22" s="295"/>
      <c r="N22" s="295"/>
      <c r="O22" s="295"/>
    </row>
    <row r="23" spans="1:15">
      <c r="A23" s="295"/>
      <c r="B23" s="39"/>
      <c r="C23" s="295"/>
      <c r="D23" s="295"/>
      <c r="E23" s="295"/>
      <c r="F23" s="295"/>
      <c r="G23" s="295"/>
      <c r="H23" s="295"/>
      <c r="I23" s="295"/>
      <c r="J23" s="295"/>
      <c r="K23" s="295"/>
      <c r="L23" s="295"/>
      <c r="M23" s="295"/>
      <c r="N23" s="295"/>
      <c r="O23" s="295"/>
    </row>
    <row r="24" spans="1:15">
      <c r="A24" s="295"/>
      <c r="B24" s="39"/>
      <c r="C24" s="295"/>
      <c r="D24" s="295"/>
      <c r="E24" s="295"/>
      <c r="F24" s="295"/>
      <c r="G24" s="295"/>
      <c r="H24" s="295"/>
      <c r="I24" s="295"/>
      <c r="J24" s="295"/>
      <c r="K24" s="295"/>
      <c r="L24" s="295"/>
      <c r="M24" s="295"/>
      <c r="N24" s="295"/>
      <c r="O24" s="295"/>
    </row>
    <row r="25" spans="1:15">
      <c r="A25" s="295"/>
      <c r="B25" s="39"/>
      <c r="C25" s="295"/>
      <c r="D25" s="295"/>
      <c r="E25" s="295"/>
      <c r="F25" s="295"/>
      <c r="G25" s="295"/>
      <c r="H25" s="295"/>
      <c r="I25" s="295"/>
      <c r="J25" s="295"/>
      <c r="K25" s="295"/>
      <c r="L25" s="295"/>
      <c r="M25" s="295"/>
      <c r="N25" s="295"/>
      <c r="O25" s="295"/>
    </row>
    <row r="26" spans="1:15">
      <c r="A26" s="295"/>
      <c r="B26" s="39"/>
      <c r="C26" s="295"/>
      <c r="D26" s="295"/>
      <c r="E26" s="295"/>
      <c r="F26" s="295"/>
      <c r="G26" s="295"/>
      <c r="H26" s="295"/>
      <c r="I26" s="295"/>
      <c r="J26" s="295"/>
      <c r="K26" s="295"/>
      <c r="L26" s="295"/>
      <c r="M26" s="295"/>
      <c r="N26" s="295"/>
      <c r="O26" s="295"/>
    </row>
    <row r="27" spans="1:15">
      <c r="A27" s="295"/>
      <c r="B27" s="39"/>
      <c r="C27" s="295"/>
      <c r="D27" s="295"/>
      <c r="E27" s="295"/>
      <c r="F27" s="295"/>
      <c r="G27" s="295"/>
      <c r="H27" s="295"/>
      <c r="I27" s="295"/>
      <c r="J27" s="295"/>
      <c r="K27" s="295"/>
      <c r="L27" s="295"/>
      <c r="M27" s="295"/>
      <c r="N27" s="295"/>
      <c r="O27" s="295"/>
    </row>
    <row r="28" spans="1:15">
      <c r="A28" s="295"/>
      <c r="B28" s="39"/>
      <c r="C28" s="295"/>
      <c r="D28" s="295"/>
      <c r="E28" s="295"/>
      <c r="F28" s="295"/>
      <c r="G28" s="295"/>
      <c r="H28" s="295"/>
      <c r="I28" s="295"/>
      <c r="J28" s="295"/>
      <c r="K28" s="295"/>
      <c r="L28" s="295"/>
      <c r="M28" s="295"/>
      <c r="N28" s="295"/>
      <c r="O28" s="295"/>
    </row>
    <row r="29" spans="1:15">
      <c r="A29" s="295"/>
      <c r="B29" s="39"/>
      <c r="C29" s="295"/>
      <c r="D29" s="295"/>
      <c r="E29" s="295"/>
      <c r="F29" s="295"/>
      <c r="G29" s="295"/>
      <c r="H29" s="295"/>
      <c r="I29" s="295"/>
      <c r="J29" s="295"/>
      <c r="K29" s="295"/>
      <c r="L29" s="295"/>
      <c r="M29" s="295"/>
      <c r="N29" s="295"/>
      <c r="O29" s="295"/>
    </row>
    <row r="30" spans="1:15">
      <c r="A30" s="295"/>
      <c r="B30" s="39"/>
      <c r="C30" s="295"/>
      <c r="D30" s="295"/>
      <c r="E30" s="295"/>
      <c r="F30" s="295"/>
      <c r="G30" s="295"/>
      <c r="H30" s="295"/>
      <c r="I30" s="295"/>
      <c r="J30" s="295"/>
      <c r="K30" s="295"/>
      <c r="L30" s="295"/>
      <c r="M30" s="295"/>
      <c r="N30" s="295"/>
      <c r="O30" s="295"/>
    </row>
    <row r="31" spans="1:15">
      <c r="A31" s="295"/>
      <c r="B31" s="39"/>
      <c r="C31" s="295"/>
      <c r="D31" s="295"/>
      <c r="E31" s="295"/>
      <c r="F31" s="295"/>
      <c r="G31" s="295"/>
      <c r="H31" s="295"/>
      <c r="I31" s="295"/>
      <c r="J31" s="295"/>
      <c r="K31" s="295"/>
      <c r="L31" s="295"/>
      <c r="M31" s="295"/>
      <c r="N31" s="295"/>
      <c r="O31" s="295"/>
    </row>
    <row r="32" spans="1:15">
      <c r="A32" s="295"/>
      <c r="B32" s="39"/>
      <c r="C32" s="295"/>
      <c r="D32" s="295"/>
      <c r="E32" s="295"/>
      <c r="F32" s="295"/>
      <c r="G32" s="295"/>
      <c r="H32" s="295"/>
      <c r="I32" s="295"/>
      <c r="J32" s="295"/>
      <c r="K32" s="295"/>
      <c r="L32" s="295"/>
      <c r="M32" s="295"/>
      <c r="N32" s="295"/>
      <c r="O32" s="295"/>
    </row>
    <row r="33" spans="1:15">
      <c r="A33" s="295"/>
      <c r="B33" s="39"/>
      <c r="C33" s="295"/>
      <c r="D33" s="295"/>
      <c r="E33" s="295"/>
      <c r="F33" s="295"/>
      <c r="G33" s="295"/>
      <c r="H33" s="295"/>
      <c r="I33" s="295"/>
      <c r="J33" s="295"/>
      <c r="K33" s="295"/>
      <c r="L33" s="295"/>
      <c r="M33" s="295"/>
      <c r="N33" s="295"/>
      <c r="O33" s="295"/>
    </row>
    <row r="34" spans="1:15">
      <c r="A34" s="295"/>
      <c r="B34" s="295"/>
      <c r="C34" s="295"/>
      <c r="D34" s="295"/>
      <c r="E34" s="295"/>
      <c r="F34" s="295"/>
      <c r="G34" s="295"/>
      <c r="H34" s="295"/>
      <c r="I34" s="295"/>
      <c r="J34" s="295"/>
      <c r="K34" s="295"/>
      <c r="L34" s="295"/>
      <c r="M34" s="295"/>
      <c r="N34" s="295"/>
      <c r="O34" s="295"/>
    </row>
    <row r="35" spans="1:15">
      <c r="A35" s="295"/>
      <c r="B35" s="295"/>
      <c r="C35" s="295"/>
      <c r="D35" s="295"/>
      <c r="E35" s="295"/>
      <c r="F35" s="295"/>
      <c r="G35" s="295"/>
      <c r="H35" s="295"/>
      <c r="I35" s="295"/>
      <c r="J35" s="295"/>
      <c r="K35" s="295"/>
      <c r="L35" s="295"/>
      <c r="M35" s="295"/>
      <c r="N35" s="295"/>
      <c r="O35" s="295"/>
    </row>
    <row r="36" spans="1:15">
      <c r="A36" s="295"/>
      <c r="B36" s="295"/>
      <c r="C36" s="295"/>
      <c r="D36" s="295"/>
      <c r="E36" s="295"/>
      <c r="F36" s="295"/>
      <c r="G36" s="295"/>
      <c r="H36" s="295"/>
      <c r="I36" s="295"/>
      <c r="J36" s="295"/>
      <c r="K36" s="295"/>
      <c r="L36" s="295"/>
      <c r="M36" s="295"/>
      <c r="N36" s="295"/>
      <c r="O36" s="295"/>
    </row>
    <row r="37" spans="1:15">
      <c r="A37" s="295"/>
      <c r="B37" s="388"/>
      <c r="C37" s="388"/>
      <c r="D37" s="389"/>
      <c r="E37" s="388"/>
      <c r="F37" s="388"/>
      <c r="G37" s="388"/>
      <c r="H37" s="388"/>
      <c r="I37" s="388"/>
      <c r="J37" s="388"/>
      <c r="K37" s="388"/>
      <c r="L37" s="388"/>
      <c r="M37" s="388"/>
      <c r="N37" s="390"/>
      <c r="O37" s="295"/>
    </row>
    <row r="38" spans="1:15">
      <c r="A38" s="295"/>
      <c r="B38" s="388"/>
      <c r="C38" s="388"/>
      <c r="D38" s="388"/>
      <c r="E38" s="388"/>
      <c r="F38" s="388"/>
      <c r="G38" s="388"/>
      <c r="H38" s="388"/>
      <c r="I38" s="388"/>
      <c r="J38" s="388"/>
      <c r="K38" s="388"/>
      <c r="L38" s="388"/>
      <c r="M38" s="388"/>
      <c r="N38" s="390"/>
      <c r="O38" s="295"/>
    </row>
    <row r="39" spans="1:15">
      <c r="A39" s="295"/>
      <c r="B39" s="388"/>
      <c r="C39" s="388"/>
      <c r="D39" s="388"/>
      <c r="E39" s="388"/>
      <c r="F39" s="388"/>
      <c r="G39" s="388"/>
      <c r="H39" s="388"/>
      <c r="I39" s="388"/>
      <c r="J39" s="388"/>
      <c r="K39" s="388"/>
      <c r="L39" s="388"/>
      <c r="M39" s="388"/>
      <c r="N39" s="390"/>
      <c r="O39" s="295"/>
    </row>
    <row r="40" spans="1:15">
      <c r="A40" s="295"/>
      <c r="B40" s="388"/>
      <c r="C40" s="388"/>
      <c r="D40" s="388"/>
      <c r="E40" s="388"/>
      <c r="F40" s="388"/>
      <c r="G40" s="388"/>
      <c r="H40" s="388"/>
      <c r="I40" s="388"/>
      <c r="J40" s="388"/>
      <c r="K40" s="388"/>
      <c r="L40" s="388"/>
      <c r="M40" s="388"/>
      <c r="N40" s="390"/>
      <c r="O40" s="295"/>
    </row>
    <row r="41" spans="1:15">
      <c r="A41" s="295"/>
      <c r="B41" s="390"/>
      <c r="C41" s="390"/>
      <c r="D41" s="390"/>
      <c r="E41" s="390"/>
      <c r="F41" s="390"/>
      <c r="G41" s="390"/>
      <c r="H41" s="390"/>
      <c r="I41" s="390"/>
      <c r="J41" s="390"/>
      <c r="K41" s="390"/>
      <c r="L41" s="390"/>
      <c r="M41" s="390"/>
      <c r="N41" s="390"/>
      <c r="O41" s="295"/>
    </row>
    <row r="42" spans="1:15">
      <c r="A42" s="295"/>
      <c r="B42" s="388"/>
      <c r="C42" s="388"/>
      <c r="D42" s="388"/>
      <c r="E42" s="388"/>
      <c r="F42" s="388"/>
      <c r="G42" s="388"/>
      <c r="H42" s="388"/>
      <c r="I42" s="388"/>
      <c r="J42" s="388"/>
      <c r="K42" s="388"/>
      <c r="L42" s="388"/>
      <c r="M42" s="388"/>
      <c r="N42" s="390"/>
      <c r="O42" s="295"/>
    </row>
    <row r="43" spans="1:15">
      <c r="A43" s="295"/>
      <c r="B43" s="388"/>
      <c r="C43" s="388"/>
      <c r="D43" s="388"/>
      <c r="E43" s="388"/>
      <c r="F43" s="388"/>
      <c r="G43" s="388"/>
      <c r="H43" s="388"/>
      <c r="I43" s="388"/>
      <c r="J43" s="388"/>
      <c r="K43" s="388"/>
      <c r="L43" s="388"/>
      <c r="M43" s="388"/>
      <c r="N43" s="390"/>
      <c r="O43" s="295"/>
    </row>
    <row r="44" spans="1:15">
      <c r="A44" s="295"/>
      <c r="B44" s="388"/>
      <c r="C44" s="388"/>
      <c r="D44" s="388"/>
      <c r="E44" s="388"/>
      <c r="F44" s="388"/>
      <c r="G44" s="388"/>
      <c r="H44" s="388"/>
      <c r="I44" s="388"/>
      <c r="J44" s="388"/>
      <c r="K44" s="388"/>
      <c r="L44" s="388"/>
      <c r="M44" s="388"/>
      <c r="N44" s="390"/>
      <c r="O44" s="295"/>
    </row>
    <row r="45" spans="1:15">
      <c r="A45" s="295"/>
      <c r="B45" s="388"/>
      <c r="C45" s="388"/>
      <c r="D45" s="388"/>
      <c r="E45" s="388"/>
      <c r="F45" s="388"/>
      <c r="G45" s="388"/>
      <c r="H45" s="388"/>
      <c r="I45" s="388"/>
      <c r="J45" s="388"/>
      <c r="K45" s="388"/>
      <c r="L45" s="388"/>
      <c r="M45" s="388"/>
      <c r="N45" s="390"/>
      <c r="O45" s="295"/>
    </row>
    <row r="46" spans="1:15">
      <c r="A46" s="295"/>
      <c r="B46" s="388"/>
      <c r="C46" s="388"/>
      <c r="D46" s="388"/>
      <c r="E46" s="388"/>
      <c r="F46" s="388"/>
      <c r="G46" s="388"/>
      <c r="H46" s="388"/>
      <c r="I46" s="388"/>
      <c r="J46" s="388"/>
      <c r="K46" s="388"/>
      <c r="L46" s="388"/>
      <c r="M46" s="388"/>
      <c r="N46" s="390"/>
      <c r="O46" s="295"/>
    </row>
    <row r="47" spans="1:15">
      <c r="A47" s="295"/>
      <c r="B47" s="388"/>
      <c r="C47" s="388"/>
      <c r="D47" s="388"/>
      <c r="E47" s="388"/>
      <c r="F47" s="388"/>
      <c r="G47" s="388"/>
      <c r="H47" s="388"/>
      <c r="I47" s="388"/>
      <c r="J47" s="388"/>
      <c r="K47" s="388"/>
      <c r="L47" s="388"/>
      <c r="M47" s="388"/>
      <c r="N47" s="390"/>
      <c r="O47" s="295"/>
    </row>
    <row r="48" spans="1:15">
      <c r="A48" s="295"/>
      <c r="B48" s="388"/>
      <c r="C48" s="388"/>
      <c r="D48" s="388"/>
      <c r="E48" s="388"/>
      <c r="F48" s="388"/>
      <c r="G48" s="388"/>
      <c r="H48" s="388"/>
      <c r="I48" s="388"/>
      <c r="J48" s="388"/>
      <c r="K48" s="388"/>
      <c r="L48" s="388"/>
      <c r="M48" s="388"/>
      <c r="N48" s="390"/>
      <c r="O48" s="295"/>
    </row>
    <row r="49" spans="1:15">
      <c r="A49" s="295"/>
      <c r="B49" s="295"/>
      <c r="C49" s="295"/>
      <c r="D49" s="295"/>
      <c r="E49" s="295"/>
      <c r="F49" s="295"/>
      <c r="G49" s="295"/>
      <c r="H49" s="295"/>
      <c r="I49" s="295"/>
      <c r="J49" s="295"/>
      <c r="K49" s="295"/>
      <c r="L49" s="295"/>
      <c r="M49" s="295"/>
      <c r="N49" s="295"/>
      <c r="O49" s="295"/>
    </row>
    <row r="50" spans="1:15">
      <c r="A50" s="295"/>
      <c r="B50" s="295"/>
      <c r="C50" s="295"/>
      <c r="D50" s="295"/>
      <c r="E50" s="295"/>
      <c r="F50" s="295"/>
      <c r="G50" s="295"/>
      <c r="H50" s="295"/>
      <c r="I50" s="295"/>
      <c r="J50" s="295"/>
      <c r="K50" s="295"/>
      <c r="L50" s="295"/>
      <c r="M50" s="295"/>
      <c r="N50" s="295"/>
      <c r="O50" s="295"/>
    </row>
    <row r="51" spans="1:15">
      <c r="A51" s="295"/>
      <c r="B51" s="390"/>
      <c r="C51" s="390"/>
      <c r="D51" s="390"/>
      <c r="E51" s="390"/>
      <c r="F51" s="390"/>
      <c r="G51" s="390"/>
      <c r="H51" s="390"/>
      <c r="I51" s="390"/>
      <c r="J51" s="390"/>
      <c r="K51" s="390"/>
      <c r="L51" s="390"/>
      <c r="M51" s="390"/>
      <c r="N51" s="295"/>
      <c r="O51" s="295"/>
    </row>
    <row r="52" spans="1:15">
      <c r="A52" s="295"/>
      <c r="B52" s="390"/>
      <c r="C52" s="390"/>
      <c r="D52" s="390"/>
      <c r="E52" s="390"/>
      <c r="F52" s="390"/>
      <c r="G52" s="390"/>
      <c r="H52" s="390"/>
      <c r="I52" s="390"/>
      <c r="J52" s="390"/>
      <c r="K52" s="390"/>
      <c r="L52" s="390"/>
      <c r="M52" s="390"/>
      <c r="N52" s="295"/>
      <c r="O52" s="295"/>
    </row>
    <row r="53" spans="1:15">
      <c r="B53" s="143"/>
      <c r="C53" s="143"/>
      <c r="D53" s="143"/>
      <c r="E53" s="143"/>
      <c r="F53" s="143"/>
      <c r="G53" s="143"/>
      <c r="H53" s="143"/>
      <c r="I53" s="143"/>
      <c r="J53" s="143"/>
      <c r="K53" s="143"/>
      <c r="L53" s="143"/>
      <c r="M53" s="143"/>
    </row>
    <row r="54" spans="1:15">
      <c r="B54" s="143"/>
      <c r="C54" s="143"/>
      <c r="D54" s="143"/>
      <c r="E54" s="143"/>
      <c r="F54" s="143"/>
      <c r="G54" s="143"/>
      <c r="H54" s="143"/>
      <c r="I54" s="143"/>
      <c r="J54" s="143"/>
      <c r="K54" s="143"/>
      <c r="L54" s="143"/>
      <c r="M54" s="143"/>
    </row>
    <row r="55" spans="1:15">
      <c r="B55" s="143"/>
      <c r="C55" s="143"/>
      <c r="D55" s="143"/>
      <c r="E55" s="143"/>
      <c r="F55" s="143"/>
      <c r="G55" s="143"/>
      <c r="H55" s="143"/>
      <c r="I55" s="143"/>
      <c r="J55" s="143"/>
      <c r="K55" s="143"/>
      <c r="L55" s="143"/>
      <c r="M55" s="143"/>
    </row>
    <row r="56" spans="1:15">
      <c r="B56" s="143"/>
      <c r="C56" s="143"/>
      <c r="D56" s="143"/>
      <c r="E56" s="143"/>
      <c r="F56" s="143"/>
      <c r="G56" s="143"/>
      <c r="H56" s="143"/>
      <c r="I56" s="143"/>
      <c r="J56" s="143"/>
      <c r="K56" s="143"/>
      <c r="L56" s="143"/>
      <c r="M56" s="143"/>
    </row>
    <row r="57" spans="1:15">
      <c r="B57" s="143"/>
      <c r="C57" s="143"/>
      <c r="D57" s="143"/>
      <c r="E57" s="143"/>
      <c r="F57" s="143"/>
      <c r="G57" s="143"/>
      <c r="H57" s="143"/>
      <c r="I57" s="143"/>
      <c r="J57" s="143"/>
      <c r="K57" s="143"/>
      <c r="L57" s="143"/>
      <c r="M57" s="143"/>
    </row>
    <row r="58" spans="1:15">
      <c r="B58" s="143"/>
      <c r="C58" s="143"/>
      <c r="D58" s="143"/>
      <c r="E58" s="143"/>
      <c r="F58" s="143"/>
      <c r="G58" s="143"/>
      <c r="H58" s="143"/>
      <c r="I58" s="143"/>
      <c r="J58" s="143"/>
      <c r="K58" s="143"/>
      <c r="L58" s="143"/>
      <c r="M58" s="143"/>
    </row>
    <row r="59" spans="1:15">
      <c r="B59" s="143"/>
      <c r="C59" s="143"/>
      <c r="D59" s="143"/>
      <c r="E59" s="143"/>
      <c r="F59" s="143"/>
      <c r="G59" s="143"/>
      <c r="H59" s="143"/>
      <c r="I59" s="143"/>
      <c r="J59" s="143"/>
      <c r="K59" s="143"/>
      <c r="L59" s="143"/>
      <c r="M59" s="143"/>
    </row>
    <row r="60" spans="1:15">
      <c r="B60" s="143"/>
      <c r="C60" s="143"/>
      <c r="D60" s="143"/>
      <c r="E60" s="143"/>
      <c r="F60" s="143"/>
      <c r="G60" s="143"/>
      <c r="H60" s="143"/>
      <c r="I60" s="143"/>
      <c r="J60" s="143"/>
      <c r="K60" s="143"/>
      <c r="L60" s="143"/>
      <c r="M60" s="143"/>
    </row>
    <row r="61" spans="1:15">
      <c r="B61" s="143"/>
      <c r="C61" s="143"/>
      <c r="D61" s="143"/>
      <c r="E61" s="143"/>
      <c r="F61" s="143"/>
      <c r="G61" s="143"/>
      <c r="H61" s="143"/>
      <c r="I61" s="143"/>
      <c r="J61" s="143"/>
      <c r="K61" s="143"/>
      <c r="L61" s="143"/>
      <c r="M61" s="143"/>
    </row>
    <row r="62" spans="1:15">
      <c r="B62" s="143"/>
    </row>
    <row r="63" spans="1:15">
      <c r="B63" s="143"/>
    </row>
    <row r="64" spans="1:15">
      <c r="B64" s="143"/>
    </row>
    <row r="65" spans="2:2">
      <c r="B65" s="143"/>
    </row>
  </sheetData>
  <phoneticPr fontId="10" type="noConversion"/>
  <pageMargins left="0.75" right="0.75" top="1" bottom="1" header="0.5" footer="0.5"/>
  <pageSetup scale="7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087"/>
  <sheetViews>
    <sheetView zoomScale="80" zoomScaleNormal="80" workbookViewId="0">
      <selection activeCell="D21" sqref="D21"/>
    </sheetView>
  </sheetViews>
  <sheetFormatPr defaultColWidth="9.140625" defaultRowHeight="12.75"/>
  <cols>
    <col min="1" max="1" width="34.85546875" style="350" customWidth="1"/>
    <col min="2" max="2" width="11.140625" style="350" customWidth="1"/>
    <col min="3" max="3" width="10.140625" style="350" customWidth="1"/>
    <col min="4" max="4" width="41.85546875" style="382" bestFit="1" customWidth="1"/>
    <col min="5" max="5" width="14" style="383" customWidth="1"/>
    <col min="6" max="6" width="17.28515625" style="350" customWidth="1"/>
    <col min="7" max="7" width="14.42578125" style="350" customWidth="1"/>
    <col min="8" max="8" width="31.85546875" style="350" customWidth="1"/>
    <col min="9" max="16384" width="9.140625" style="350"/>
  </cols>
  <sheetData>
    <row r="1" spans="1:8">
      <c r="A1" s="67" t="s">
        <v>85</v>
      </c>
      <c r="B1" s="559"/>
      <c r="C1" s="559"/>
      <c r="D1" s="102"/>
      <c r="E1" s="152"/>
      <c r="F1" s="559"/>
    </row>
    <row r="2" spans="1:8">
      <c r="A2" s="559"/>
      <c r="B2" s="559"/>
      <c r="C2" s="559"/>
      <c r="D2" s="102"/>
      <c r="E2" s="152"/>
      <c r="F2" s="559"/>
    </row>
    <row r="3" spans="1:8">
      <c r="A3" s="81" t="s">
        <v>86</v>
      </c>
      <c r="B3" s="81" t="s">
        <v>87</v>
      </c>
      <c r="C3" s="81" t="s">
        <v>88</v>
      </c>
      <c r="D3" s="81"/>
      <c r="E3" s="146" t="s">
        <v>89</v>
      </c>
      <c r="F3" s="81" t="s">
        <v>90</v>
      </c>
      <c r="G3" s="384" t="s">
        <v>64</v>
      </c>
      <c r="H3" s="384" t="s">
        <v>446</v>
      </c>
    </row>
    <row r="4" spans="1:8">
      <c r="A4" s="86" t="s">
        <v>94</v>
      </c>
      <c r="B4" s="86" t="s">
        <v>95</v>
      </c>
      <c r="C4" s="86" t="s">
        <v>96</v>
      </c>
      <c r="D4" s="86" t="s">
        <v>97</v>
      </c>
      <c r="E4" s="148" t="s">
        <v>98</v>
      </c>
      <c r="F4" s="86" t="s">
        <v>99</v>
      </c>
      <c r="G4" s="385" t="s">
        <v>447</v>
      </c>
      <c r="H4" s="385" t="s">
        <v>448</v>
      </c>
    </row>
    <row r="5" spans="1:8">
      <c r="A5" s="521" t="s">
        <v>318</v>
      </c>
      <c r="B5" s="522" t="s">
        <v>320</v>
      </c>
      <c r="C5" s="522" t="s">
        <v>319</v>
      </c>
      <c r="D5" s="521" t="s">
        <v>321</v>
      </c>
      <c r="E5" s="522">
        <v>201611</v>
      </c>
      <c r="F5" s="523">
        <v>10.66</v>
      </c>
      <c r="G5" s="385" t="s">
        <v>449</v>
      </c>
      <c r="H5" s="386" t="s">
        <v>544</v>
      </c>
    </row>
    <row r="6" spans="1:8">
      <c r="A6" s="521" t="s">
        <v>318</v>
      </c>
      <c r="B6" s="522" t="s">
        <v>323</v>
      </c>
      <c r="C6" s="423" t="s">
        <v>319</v>
      </c>
      <c r="D6" s="521" t="s">
        <v>324</v>
      </c>
      <c r="E6" s="522">
        <v>201611</v>
      </c>
      <c r="F6" s="523">
        <v>-80.88</v>
      </c>
      <c r="G6" s="386" t="s">
        <v>449</v>
      </c>
      <c r="H6" s="386" t="s">
        <v>544</v>
      </c>
    </row>
    <row r="7" spans="1:8">
      <c r="A7" s="521" t="s">
        <v>322</v>
      </c>
      <c r="B7" s="522" t="s">
        <v>325</v>
      </c>
      <c r="C7" s="423" t="s">
        <v>319</v>
      </c>
      <c r="D7" s="521" t="s">
        <v>326</v>
      </c>
      <c r="E7" s="522">
        <v>201611</v>
      </c>
      <c r="F7" s="523">
        <v>23.87</v>
      </c>
      <c r="G7" s="386" t="s">
        <v>449</v>
      </c>
      <c r="H7" s="386" t="s">
        <v>544</v>
      </c>
    </row>
    <row r="8" spans="1:8">
      <c r="A8" s="521" t="s">
        <v>318</v>
      </c>
      <c r="B8" s="522" t="s">
        <v>327</v>
      </c>
      <c r="C8" s="423" t="s">
        <v>319</v>
      </c>
      <c r="D8" s="521" t="s">
        <v>328</v>
      </c>
      <c r="E8" s="522">
        <v>201611</v>
      </c>
      <c r="F8" s="523">
        <v>10481.35</v>
      </c>
      <c r="G8" s="386" t="s">
        <v>449</v>
      </c>
      <c r="H8" s="386" t="s">
        <v>544</v>
      </c>
    </row>
    <row r="9" spans="1:8">
      <c r="A9" s="521" t="s">
        <v>318</v>
      </c>
      <c r="B9" s="522" t="s">
        <v>941</v>
      </c>
      <c r="C9" s="423" t="s">
        <v>330</v>
      </c>
      <c r="D9" s="521" t="s">
        <v>942</v>
      </c>
      <c r="E9" s="522">
        <v>201611</v>
      </c>
      <c r="F9" s="523">
        <v>308.51</v>
      </c>
      <c r="G9" s="386" t="s">
        <v>449</v>
      </c>
      <c r="H9" s="386" t="s">
        <v>544</v>
      </c>
    </row>
    <row r="10" spans="1:8">
      <c r="A10" s="521" t="s">
        <v>318</v>
      </c>
      <c r="B10" s="522" t="s">
        <v>941</v>
      </c>
      <c r="C10" s="423" t="s">
        <v>330</v>
      </c>
      <c r="D10" s="521" t="s">
        <v>942</v>
      </c>
      <c r="E10" s="522">
        <v>201611</v>
      </c>
      <c r="F10" s="523">
        <v>4410.1499999999996</v>
      </c>
      <c r="G10" s="386" t="s">
        <v>449</v>
      </c>
      <c r="H10" s="386" t="s">
        <v>450</v>
      </c>
    </row>
    <row r="11" spans="1:8">
      <c r="A11" s="521" t="s">
        <v>322</v>
      </c>
      <c r="B11" s="522" t="s">
        <v>856</v>
      </c>
      <c r="C11" s="423" t="s">
        <v>330</v>
      </c>
      <c r="D11" s="521" t="s">
        <v>857</v>
      </c>
      <c r="E11" s="522">
        <v>201611</v>
      </c>
      <c r="F11" s="523">
        <v>-0.03</v>
      </c>
      <c r="G11" s="386" t="s">
        <v>449</v>
      </c>
      <c r="H11" s="386" t="s">
        <v>450</v>
      </c>
    </row>
    <row r="12" spans="1:8" ht="15">
      <c r="A12" s="521" t="s">
        <v>318</v>
      </c>
      <c r="B12" s="522" t="s">
        <v>856</v>
      </c>
      <c r="C12" s="424" t="s">
        <v>330</v>
      </c>
      <c r="D12" s="521" t="s">
        <v>857</v>
      </c>
      <c r="E12" s="522">
        <v>201611</v>
      </c>
      <c r="F12" s="523">
        <v>-2.02</v>
      </c>
      <c r="G12" s="386" t="s">
        <v>449</v>
      </c>
      <c r="H12" s="386" t="s">
        <v>450</v>
      </c>
    </row>
    <row r="13" spans="1:8">
      <c r="A13" s="521" t="s">
        <v>318</v>
      </c>
      <c r="B13" s="522" t="s">
        <v>856</v>
      </c>
      <c r="C13" s="423" t="s">
        <v>330</v>
      </c>
      <c r="D13" s="521" t="s">
        <v>857</v>
      </c>
      <c r="E13" s="522">
        <v>201611</v>
      </c>
      <c r="F13" s="523">
        <v>-0.08</v>
      </c>
      <c r="G13" s="386" t="s">
        <v>449</v>
      </c>
      <c r="H13" s="386" t="s">
        <v>450</v>
      </c>
    </row>
    <row r="14" spans="1:8">
      <c r="A14" s="521" t="s">
        <v>318</v>
      </c>
      <c r="B14" s="522" t="s">
        <v>800</v>
      </c>
      <c r="C14" s="423" t="s">
        <v>330</v>
      </c>
      <c r="D14" s="521" t="s">
        <v>830</v>
      </c>
      <c r="E14" s="522">
        <v>201611</v>
      </c>
      <c r="F14" s="523">
        <v>33.28</v>
      </c>
      <c r="G14" s="386" t="s">
        <v>449</v>
      </c>
      <c r="H14" s="386" t="s">
        <v>450</v>
      </c>
    </row>
    <row r="15" spans="1:8">
      <c r="A15" s="521" t="s">
        <v>318</v>
      </c>
      <c r="B15" s="522" t="s">
        <v>800</v>
      </c>
      <c r="C15" s="423" t="s">
        <v>330</v>
      </c>
      <c r="D15" s="521" t="s">
        <v>830</v>
      </c>
      <c r="E15" s="522">
        <v>201611</v>
      </c>
      <c r="F15" s="523">
        <v>593.77</v>
      </c>
      <c r="G15" s="386" t="s">
        <v>449</v>
      </c>
      <c r="H15" s="386" t="s">
        <v>450</v>
      </c>
    </row>
    <row r="16" spans="1:8" ht="15">
      <c r="A16" s="521" t="s">
        <v>318</v>
      </c>
      <c r="B16" s="522" t="s">
        <v>629</v>
      </c>
      <c r="C16" s="424" t="s">
        <v>330</v>
      </c>
      <c r="D16" s="521" t="s">
        <v>630</v>
      </c>
      <c r="E16" s="522">
        <v>201611</v>
      </c>
      <c r="F16" s="523">
        <v>-0.05</v>
      </c>
      <c r="G16" s="386" t="s">
        <v>449</v>
      </c>
      <c r="H16" s="386" t="s">
        <v>450</v>
      </c>
    </row>
    <row r="17" spans="1:8" ht="15">
      <c r="A17" s="521" t="s">
        <v>318</v>
      </c>
      <c r="B17" s="522" t="s">
        <v>629</v>
      </c>
      <c r="C17" s="424" t="s">
        <v>330</v>
      </c>
      <c r="D17" s="521" t="s">
        <v>630</v>
      </c>
      <c r="E17" s="522">
        <v>201611</v>
      </c>
      <c r="F17" s="523">
        <v>1.46</v>
      </c>
      <c r="G17" s="386" t="s">
        <v>449</v>
      </c>
      <c r="H17" s="386" t="s">
        <v>450</v>
      </c>
    </row>
    <row r="18" spans="1:8" ht="15">
      <c r="A18" s="521" t="s">
        <v>318</v>
      </c>
      <c r="B18" s="522" t="s">
        <v>805</v>
      </c>
      <c r="C18" s="424" t="s">
        <v>330</v>
      </c>
      <c r="D18" s="521" t="s">
        <v>806</v>
      </c>
      <c r="E18" s="522">
        <v>201611</v>
      </c>
      <c r="F18" s="523">
        <v>-3.13</v>
      </c>
      <c r="G18" s="386" t="s">
        <v>449</v>
      </c>
      <c r="H18" s="386" t="s">
        <v>450</v>
      </c>
    </row>
    <row r="19" spans="1:8">
      <c r="A19" s="521" t="s">
        <v>318</v>
      </c>
      <c r="B19" s="522" t="s">
        <v>805</v>
      </c>
      <c r="C19" s="423" t="s">
        <v>330</v>
      </c>
      <c r="D19" s="521" t="s">
        <v>806</v>
      </c>
      <c r="E19" s="522">
        <v>201611</v>
      </c>
      <c r="F19" s="523">
        <v>-0.35</v>
      </c>
      <c r="G19" s="386" t="s">
        <v>449</v>
      </c>
      <c r="H19" s="386" t="s">
        <v>450</v>
      </c>
    </row>
    <row r="20" spans="1:8" ht="15">
      <c r="A20" s="521" t="s">
        <v>318</v>
      </c>
      <c r="B20" s="522" t="s">
        <v>1067</v>
      </c>
      <c r="C20" s="424" t="s">
        <v>330</v>
      </c>
      <c r="D20" s="521" t="s">
        <v>1068</v>
      </c>
      <c r="E20" s="522">
        <v>201611</v>
      </c>
      <c r="F20" s="523">
        <v>374.9</v>
      </c>
      <c r="G20" s="386" t="s">
        <v>449</v>
      </c>
      <c r="H20" s="386" t="s">
        <v>450</v>
      </c>
    </row>
    <row r="21" spans="1:8">
      <c r="A21" s="521" t="s">
        <v>318</v>
      </c>
      <c r="B21" s="522" t="s">
        <v>1067</v>
      </c>
      <c r="C21" s="423" t="s">
        <v>330</v>
      </c>
      <c r="D21" s="521" t="s">
        <v>1068</v>
      </c>
      <c r="E21" s="522">
        <v>201611</v>
      </c>
      <c r="F21" s="523">
        <v>17336.13</v>
      </c>
      <c r="G21" s="386" t="s">
        <v>449</v>
      </c>
      <c r="H21" s="386" t="s">
        <v>450</v>
      </c>
    </row>
    <row r="22" spans="1:8">
      <c r="A22" s="521" t="s">
        <v>318</v>
      </c>
      <c r="B22" s="522" t="s">
        <v>858</v>
      </c>
      <c r="C22" s="423" t="s">
        <v>329</v>
      </c>
      <c r="D22" s="521" t="s">
        <v>859</v>
      </c>
      <c r="E22" s="522">
        <v>201611</v>
      </c>
      <c r="F22" s="523">
        <v>-478346.44</v>
      </c>
      <c r="G22" s="386" t="s">
        <v>449</v>
      </c>
      <c r="H22" s="386" t="s">
        <v>450</v>
      </c>
    </row>
    <row r="23" spans="1:8">
      <c r="A23" s="521" t="s">
        <v>318</v>
      </c>
      <c r="B23" s="522" t="s">
        <v>858</v>
      </c>
      <c r="C23" s="423" t="s">
        <v>329</v>
      </c>
      <c r="D23" s="521" t="s">
        <v>859</v>
      </c>
      <c r="E23" s="522">
        <v>201611</v>
      </c>
      <c r="F23" s="523">
        <v>-32069.040000000001</v>
      </c>
      <c r="G23" s="386" t="s">
        <v>449</v>
      </c>
      <c r="H23" s="386" t="s">
        <v>450</v>
      </c>
    </row>
    <row r="24" spans="1:8">
      <c r="A24" s="521" t="s">
        <v>318</v>
      </c>
      <c r="B24" s="522" t="s">
        <v>858</v>
      </c>
      <c r="C24" s="423" t="s">
        <v>329</v>
      </c>
      <c r="D24" s="521" t="s">
        <v>859</v>
      </c>
      <c r="E24" s="522">
        <v>201611</v>
      </c>
      <c r="F24" s="523">
        <v>108554.37</v>
      </c>
      <c r="G24" s="386" t="s">
        <v>449</v>
      </c>
      <c r="H24" s="386" t="s">
        <v>450</v>
      </c>
    </row>
    <row r="25" spans="1:8">
      <c r="A25" s="521" t="s">
        <v>318</v>
      </c>
      <c r="B25" s="522" t="s">
        <v>858</v>
      </c>
      <c r="C25" s="423" t="s">
        <v>329</v>
      </c>
      <c r="D25" s="521" t="s">
        <v>859</v>
      </c>
      <c r="E25" s="522">
        <v>201611</v>
      </c>
      <c r="F25" s="523">
        <v>401861.11</v>
      </c>
      <c r="G25" s="386" t="s">
        <v>449</v>
      </c>
      <c r="H25" s="386" t="s">
        <v>450</v>
      </c>
    </row>
    <row r="26" spans="1:8" ht="15">
      <c r="A26" s="521" t="s">
        <v>318</v>
      </c>
      <c r="B26" s="522" t="s">
        <v>1033</v>
      </c>
      <c r="C26" s="424" t="s">
        <v>330</v>
      </c>
      <c r="D26" s="521" t="s">
        <v>1034</v>
      </c>
      <c r="E26" s="522">
        <v>201611</v>
      </c>
      <c r="F26" s="523">
        <v>-36.11</v>
      </c>
      <c r="G26" s="386" t="s">
        <v>449</v>
      </c>
      <c r="H26" s="386" t="s">
        <v>450</v>
      </c>
    </row>
    <row r="27" spans="1:8" ht="15">
      <c r="A27" s="521" t="s">
        <v>318</v>
      </c>
      <c r="B27" s="522" t="s">
        <v>1033</v>
      </c>
      <c r="C27" s="424" t="s">
        <v>330</v>
      </c>
      <c r="D27" s="521" t="s">
        <v>1034</v>
      </c>
      <c r="E27" s="522">
        <v>201611</v>
      </c>
      <c r="F27" s="523">
        <v>-1.98</v>
      </c>
      <c r="G27" s="386" t="s">
        <v>449</v>
      </c>
      <c r="H27" s="386" t="s">
        <v>450</v>
      </c>
    </row>
    <row r="28" spans="1:8" ht="15">
      <c r="A28" s="521" t="s">
        <v>318</v>
      </c>
      <c r="B28" s="522" t="s">
        <v>832</v>
      </c>
      <c r="C28" s="424" t="s">
        <v>330</v>
      </c>
      <c r="D28" s="521" t="s">
        <v>833</v>
      </c>
      <c r="E28" s="522">
        <v>201611</v>
      </c>
      <c r="F28" s="523">
        <v>4.84</v>
      </c>
      <c r="G28" s="386" t="s">
        <v>449</v>
      </c>
      <c r="H28" s="386" t="s">
        <v>450</v>
      </c>
    </row>
    <row r="29" spans="1:8">
      <c r="A29" s="521" t="s">
        <v>318</v>
      </c>
      <c r="B29" s="522" t="s">
        <v>832</v>
      </c>
      <c r="C29" s="423" t="s">
        <v>330</v>
      </c>
      <c r="D29" s="521" t="s">
        <v>833</v>
      </c>
      <c r="E29" s="522">
        <v>201611</v>
      </c>
      <c r="F29" s="523">
        <v>231.58</v>
      </c>
      <c r="G29" s="386" t="s">
        <v>449</v>
      </c>
      <c r="H29" s="386" t="s">
        <v>450</v>
      </c>
    </row>
    <row r="30" spans="1:8">
      <c r="A30" s="521" t="s">
        <v>318</v>
      </c>
      <c r="B30" s="522" t="s">
        <v>947</v>
      </c>
      <c r="C30" s="423" t="s">
        <v>330</v>
      </c>
      <c r="D30" s="521" t="s">
        <v>948</v>
      </c>
      <c r="E30" s="522">
        <v>201611</v>
      </c>
      <c r="F30" s="523">
        <v>-99.86</v>
      </c>
      <c r="G30" s="386" t="s">
        <v>449</v>
      </c>
      <c r="H30" s="386" t="s">
        <v>450</v>
      </c>
    </row>
    <row r="31" spans="1:8" ht="15">
      <c r="A31" s="521" t="s">
        <v>318</v>
      </c>
      <c r="B31" s="522" t="s">
        <v>947</v>
      </c>
      <c r="C31" s="424" t="s">
        <v>330</v>
      </c>
      <c r="D31" s="521" t="s">
        <v>948</v>
      </c>
      <c r="E31" s="522">
        <v>201611</v>
      </c>
      <c r="F31" s="523">
        <v>-3.58</v>
      </c>
      <c r="G31" s="386" t="s">
        <v>449</v>
      </c>
      <c r="H31" s="386" t="s">
        <v>450</v>
      </c>
    </row>
    <row r="32" spans="1:8" ht="15">
      <c r="A32" s="521" t="s">
        <v>318</v>
      </c>
      <c r="B32" s="522" t="s">
        <v>951</v>
      </c>
      <c r="C32" s="424" t="s">
        <v>330</v>
      </c>
      <c r="D32" s="521" t="s">
        <v>952</v>
      </c>
      <c r="E32" s="522">
        <v>201611</v>
      </c>
      <c r="F32" s="523">
        <v>-338.02</v>
      </c>
      <c r="G32" s="386" t="s">
        <v>449</v>
      </c>
      <c r="H32" s="386" t="s">
        <v>450</v>
      </c>
    </row>
    <row r="33" spans="1:8" ht="15">
      <c r="A33" s="521" t="s">
        <v>318</v>
      </c>
      <c r="B33" s="522" t="s">
        <v>951</v>
      </c>
      <c r="C33" s="424" t="s">
        <v>330</v>
      </c>
      <c r="D33" s="521" t="s">
        <v>952</v>
      </c>
      <c r="E33" s="522">
        <v>201611</v>
      </c>
      <c r="F33" s="523">
        <v>-10.83</v>
      </c>
      <c r="G33" s="386" t="s">
        <v>449</v>
      </c>
      <c r="H33" s="386" t="s">
        <v>450</v>
      </c>
    </row>
    <row r="34" spans="1:8">
      <c r="A34" s="521" t="s">
        <v>318</v>
      </c>
      <c r="B34" s="522" t="s">
        <v>955</v>
      </c>
      <c r="C34" s="423" t="s">
        <v>330</v>
      </c>
      <c r="D34" s="521" t="s">
        <v>956</v>
      </c>
      <c r="E34" s="522">
        <v>201611</v>
      </c>
      <c r="F34" s="523">
        <v>10.61</v>
      </c>
      <c r="G34" s="386" t="s">
        <v>449</v>
      </c>
      <c r="H34" s="386" t="s">
        <v>450</v>
      </c>
    </row>
    <row r="35" spans="1:8" ht="15">
      <c r="A35" s="521" t="s">
        <v>318</v>
      </c>
      <c r="B35" s="522" t="s">
        <v>955</v>
      </c>
      <c r="C35" s="424" t="s">
        <v>330</v>
      </c>
      <c r="D35" s="521" t="s">
        <v>956</v>
      </c>
      <c r="E35" s="522">
        <v>201611</v>
      </c>
      <c r="F35" s="523">
        <v>330.96</v>
      </c>
      <c r="G35" s="386" t="s">
        <v>449</v>
      </c>
      <c r="H35" s="386" t="s">
        <v>450</v>
      </c>
    </row>
    <row r="36" spans="1:8" ht="15">
      <c r="A36" s="521" t="s">
        <v>318</v>
      </c>
      <c r="B36" s="522" t="s">
        <v>963</v>
      </c>
      <c r="C36" s="424" t="s">
        <v>330</v>
      </c>
      <c r="D36" s="521" t="s">
        <v>964</v>
      </c>
      <c r="E36" s="522">
        <v>201611</v>
      </c>
      <c r="F36" s="523">
        <v>11.65</v>
      </c>
      <c r="G36" s="386" t="s">
        <v>449</v>
      </c>
      <c r="H36" s="386" t="s">
        <v>450</v>
      </c>
    </row>
    <row r="37" spans="1:8" ht="15">
      <c r="A37" s="521" t="s">
        <v>318</v>
      </c>
      <c r="B37" s="522" t="s">
        <v>963</v>
      </c>
      <c r="C37" s="424" t="s">
        <v>330</v>
      </c>
      <c r="D37" s="521" t="s">
        <v>964</v>
      </c>
      <c r="E37" s="522">
        <v>201611</v>
      </c>
      <c r="F37" s="523">
        <v>149.72999999999999</v>
      </c>
      <c r="G37" s="386" t="s">
        <v>449</v>
      </c>
      <c r="H37" s="386" t="s">
        <v>450</v>
      </c>
    </row>
    <row r="38" spans="1:8">
      <c r="A38" s="521" t="s">
        <v>318</v>
      </c>
      <c r="B38" s="522" t="s">
        <v>842</v>
      </c>
      <c r="C38" s="423" t="s">
        <v>330</v>
      </c>
      <c r="D38" s="521" t="s">
        <v>843</v>
      </c>
      <c r="E38" s="522">
        <v>201611</v>
      </c>
      <c r="F38" s="523">
        <v>10.11</v>
      </c>
      <c r="G38" s="386" t="s">
        <v>449</v>
      </c>
      <c r="H38" s="386" t="s">
        <v>450</v>
      </c>
    </row>
    <row r="39" spans="1:8" ht="15">
      <c r="A39" s="521" t="s">
        <v>318</v>
      </c>
      <c r="B39" s="522" t="s">
        <v>842</v>
      </c>
      <c r="C39" s="424" t="s">
        <v>330</v>
      </c>
      <c r="D39" s="521" t="s">
        <v>843</v>
      </c>
      <c r="E39" s="522">
        <v>201611</v>
      </c>
      <c r="F39" s="523">
        <v>146.29</v>
      </c>
      <c r="G39" s="386" t="s">
        <v>449</v>
      </c>
      <c r="H39" s="386" t="s">
        <v>450</v>
      </c>
    </row>
    <row r="40" spans="1:8" ht="15">
      <c r="A40" s="521" t="s">
        <v>318</v>
      </c>
      <c r="B40" s="522" t="s">
        <v>862</v>
      </c>
      <c r="C40" s="424" t="s">
        <v>330</v>
      </c>
      <c r="D40" s="521" t="s">
        <v>863</v>
      </c>
      <c r="E40" s="522">
        <v>201611</v>
      </c>
      <c r="F40" s="523">
        <v>-17.239999999999998</v>
      </c>
      <c r="G40" s="386" t="s">
        <v>449</v>
      </c>
      <c r="H40" s="386" t="s">
        <v>450</v>
      </c>
    </row>
    <row r="41" spans="1:8" ht="15">
      <c r="A41" s="521" t="s">
        <v>318</v>
      </c>
      <c r="B41" s="522" t="s">
        <v>862</v>
      </c>
      <c r="C41" s="424" t="s">
        <v>330</v>
      </c>
      <c r="D41" s="521" t="s">
        <v>863</v>
      </c>
      <c r="E41" s="522">
        <v>201611</v>
      </c>
      <c r="F41" s="523">
        <v>-1.1100000000000001</v>
      </c>
      <c r="G41" s="386" t="s">
        <v>449</v>
      </c>
      <c r="H41" s="386" t="s">
        <v>450</v>
      </c>
    </row>
    <row r="42" spans="1:8">
      <c r="A42" s="521" t="s">
        <v>318</v>
      </c>
      <c r="B42" s="522" t="s">
        <v>967</v>
      </c>
      <c r="C42" s="423" t="s">
        <v>330</v>
      </c>
      <c r="D42" s="521" t="s">
        <v>968</v>
      </c>
      <c r="E42" s="522">
        <v>201611</v>
      </c>
      <c r="F42" s="523">
        <v>2.95</v>
      </c>
      <c r="G42" s="386" t="s">
        <v>449</v>
      </c>
      <c r="H42" s="386" t="s">
        <v>450</v>
      </c>
    </row>
    <row r="43" spans="1:8">
      <c r="A43" s="521" t="s">
        <v>318</v>
      </c>
      <c r="B43" s="522" t="s">
        <v>967</v>
      </c>
      <c r="C43" s="423" t="s">
        <v>330</v>
      </c>
      <c r="D43" s="521" t="s">
        <v>968</v>
      </c>
      <c r="E43" s="522">
        <v>201611</v>
      </c>
      <c r="F43" s="523">
        <v>78.11</v>
      </c>
      <c r="G43" s="386" t="s">
        <v>449</v>
      </c>
      <c r="H43" s="386" t="s">
        <v>450</v>
      </c>
    </row>
    <row r="44" spans="1:8">
      <c r="A44" s="521" t="s">
        <v>318</v>
      </c>
      <c r="B44" s="522" t="s">
        <v>682</v>
      </c>
      <c r="C44" s="423" t="s">
        <v>330</v>
      </c>
      <c r="D44" s="521" t="s">
        <v>683</v>
      </c>
      <c r="E44" s="522">
        <v>201611</v>
      </c>
      <c r="F44" s="523">
        <v>421.84</v>
      </c>
      <c r="G44" s="386" t="s">
        <v>449</v>
      </c>
      <c r="H44" s="386" t="s">
        <v>450</v>
      </c>
    </row>
    <row r="45" spans="1:8">
      <c r="A45" s="521" t="s">
        <v>318</v>
      </c>
      <c r="B45" s="522" t="s">
        <v>682</v>
      </c>
      <c r="C45" s="423" t="s">
        <v>330</v>
      </c>
      <c r="D45" s="521" t="s">
        <v>683</v>
      </c>
      <c r="E45" s="522">
        <v>201611</v>
      </c>
      <c r="F45" s="523">
        <v>10111.99</v>
      </c>
      <c r="G45" s="386" t="s">
        <v>449</v>
      </c>
      <c r="H45" s="386" t="s">
        <v>450</v>
      </c>
    </row>
    <row r="46" spans="1:8" ht="15">
      <c r="A46" s="521" t="s">
        <v>318</v>
      </c>
      <c r="B46" s="522" t="s">
        <v>846</v>
      </c>
      <c r="C46" s="424" t="s">
        <v>330</v>
      </c>
      <c r="D46" s="521" t="s">
        <v>847</v>
      </c>
      <c r="E46" s="522">
        <v>201611</v>
      </c>
      <c r="F46" s="523">
        <v>-1968.35</v>
      </c>
      <c r="G46" s="386" t="s">
        <v>449</v>
      </c>
      <c r="H46" s="386" t="s">
        <v>450</v>
      </c>
    </row>
    <row r="47" spans="1:8" ht="15">
      <c r="A47" s="521" t="s">
        <v>318</v>
      </c>
      <c r="B47" s="522" t="s">
        <v>846</v>
      </c>
      <c r="C47" s="424" t="s">
        <v>330</v>
      </c>
      <c r="D47" s="521" t="s">
        <v>847</v>
      </c>
      <c r="E47" s="522">
        <v>201611</v>
      </c>
      <c r="F47" s="523">
        <v>23774.58</v>
      </c>
      <c r="G47" s="386" t="s">
        <v>449</v>
      </c>
      <c r="H47" s="386" t="s">
        <v>450</v>
      </c>
    </row>
    <row r="48" spans="1:8" ht="15">
      <c r="A48" s="521" t="s">
        <v>318</v>
      </c>
      <c r="B48" s="522" t="s">
        <v>848</v>
      </c>
      <c r="C48" s="424" t="s">
        <v>329</v>
      </c>
      <c r="D48" s="521" t="s">
        <v>849</v>
      </c>
      <c r="E48" s="522">
        <v>201611</v>
      </c>
      <c r="F48" s="523">
        <v>1315.06</v>
      </c>
      <c r="G48" s="386" t="s">
        <v>449</v>
      </c>
      <c r="H48" s="386" t="s">
        <v>450</v>
      </c>
    </row>
    <row r="49" spans="1:8" ht="15">
      <c r="A49" s="521" t="s">
        <v>318</v>
      </c>
      <c r="B49" s="522" t="s">
        <v>848</v>
      </c>
      <c r="C49" s="424" t="s">
        <v>329</v>
      </c>
      <c r="D49" s="521" t="s">
        <v>849</v>
      </c>
      <c r="E49" s="522">
        <v>201611</v>
      </c>
      <c r="F49" s="523">
        <v>1824.99</v>
      </c>
      <c r="G49" s="386" t="s">
        <v>449</v>
      </c>
      <c r="H49" s="386" t="s">
        <v>450</v>
      </c>
    </row>
    <row r="50" spans="1:8" ht="15">
      <c r="A50" s="521" t="s">
        <v>318</v>
      </c>
      <c r="B50" s="522" t="s">
        <v>971</v>
      </c>
      <c r="C50" s="424" t="s">
        <v>329</v>
      </c>
      <c r="D50" s="521" t="s">
        <v>972</v>
      </c>
      <c r="E50" s="522">
        <v>201611</v>
      </c>
      <c r="F50" s="523">
        <v>18.670000000000002</v>
      </c>
      <c r="G50" s="386" t="s">
        <v>449</v>
      </c>
      <c r="H50" s="386" t="s">
        <v>450</v>
      </c>
    </row>
    <row r="51" spans="1:8" ht="15">
      <c r="A51" s="521" t="s">
        <v>318</v>
      </c>
      <c r="B51" s="522" t="s">
        <v>971</v>
      </c>
      <c r="C51" s="424" t="s">
        <v>329</v>
      </c>
      <c r="D51" s="521" t="s">
        <v>972</v>
      </c>
      <c r="E51" s="522">
        <v>201611</v>
      </c>
      <c r="F51" s="523">
        <v>204.71</v>
      </c>
      <c r="G51" s="386" t="s">
        <v>449</v>
      </c>
      <c r="H51" s="386" t="s">
        <v>450</v>
      </c>
    </row>
    <row r="52" spans="1:8" ht="15">
      <c r="A52" s="521" t="s">
        <v>318</v>
      </c>
      <c r="B52" s="522" t="s">
        <v>973</v>
      </c>
      <c r="C52" s="424" t="s">
        <v>330</v>
      </c>
      <c r="D52" s="521" t="s">
        <v>974</v>
      </c>
      <c r="E52" s="522">
        <v>201611</v>
      </c>
      <c r="F52" s="523">
        <v>-2.4</v>
      </c>
      <c r="G52" s="386" t="s">
        <v>449</v>
      </c>
      <c r="H52" s="386" t="s">
        <v>450</v>
      </c>
    </row>
    <row r="53" spans="1:8" ht="15">
      <c r="A53" s="521" t="s">
        <v>318</v>
      </c>
      <c r="B53" s="522" t="s">
        <v>973</v>
      </c>
      <c r="C53" s="424" t="s">
        <v>330</v>
      </c>
      <c r="D53" s="521" t="s">
        <v>974</v>
      </c>
      <c r="E53" s="522">
        <v>201611</v>
      </c>
      <c r="F53" s="523">
        <v>-0.08</v>
      </c>
      <c r="G53" s="386" t="s">
        <v>449</v>
      </c>
      <c r="H53" s="386" t="s">
        <v>450</v>
      </c>
    </row>
    <row r="54" spans="1:8" ht="15">
      <c r="A54" s="521" t="s">
        <v>318</v>
      </c>
      <c r="B54" s="522" t="s">
        <v>868</v>
      </c>
      <c r="C54" s="424" t="s">
        <v>330</v>
      </c>
      <c r="D54" s="521" t="s">
        <v>869</v>
      </c>
      <c r="E54" s="522">
        <v>201611</v>
      </c>
      <c r="F54" s="523">
        <v>-357062.92</v>
      </c>
      <c r="G54" s="386" t="s">
        <v>449</v>
      </c>
      <c r="H54" s="386" t="s">
        <v>450</v>
      </c>
    </row>
    <row r="55" spans="1:8" ht="15">
      <c r="A55" s="521" t="s">
        <v>318</v>
      </c>
      <c r="B55" s="522" t="s">
        <v>868</v>
      </c>
      <c r="C55" s="424" t="s">
        <v>330</v>
      </c>
      <c r="D55" s="521" t="s">
        <v>869</v>
      </c>
      <c r="E55" s="522">
        <v>201611</v>
      </c>
      <c r="F55" s="523">
        <v>-14930.53</v>
      </c>
      <c r="G55" s="386" t="s">
        <v>449</v>
      </c>
      <c r="H55" s="386" t="s">
        <v>450</v>
      </c>
    </row>
    <row r="56" spans="1:8" ht="15">
      <c r="A56" s="521" t="s">
        <v>318</v>
      </c>
      <c r="B56" s="522" t="s">
        <v>868</v>
      </c>
      <c r="C56" s="424" t="s">
        <v>330</v>
      </c>
      <c r="D56" s="521" t="s">
        <v>869</v>
      </c>
      <c r="E56" s="522">
        <v>201611</v>
      </c>
      <c r="F56" s="523">
        <v>93012.77</v>
      </c>
      <c r="G56" s="386" t="s">
        <v>449</v>
      </c>
      <c r="H56" s="386" t="s">
        <v>450</v>
      </c>
    </row>
    <row r="57" spans="1:8" ht="15">
      <c r="A57" s="521" t="s">
        <v>318</v>
      </c>
      <c r="B57" s="522" t="s">
        <v>868</v>
      </c>
      <c r="C57" s="424" t="s">
        <v>330</v>
      </c>
      <c r="D57" s="521" t="s">
        <v>869</v>
      </c>
      <c r="E57" s="522">
        <v>201611</v>
      </c>
      <c r="F57" s="523">
        <v>416358.07</v>
      </c>
      <c r="G57" s="386" t="s">
        <v>449</v>
      </c>
      <c r="H57" s="386" t="s">
        <v>450</v>
      </c>
    </row>
    <row r="58" spans="1:8">
      <c r="A58" s="521" t="s">
        <v>318</v>
      </c>
      <c r="B58" s="522" t="s">
        <v>1037</v>
      </c>
      <c r="C58" s="423" t="s">
        <v>329</v>
      </c>
      <c r="D58" s="521" t="s">
        <v>1038</v>
      </c>
      <c r="E58" s="522">
        <v>201611</v>
      </c>
      <c r="F58" s="523">
        <v>40.53</v>
      </c>
      <c r="G58" s="386" t="s">
        <v>449</v>
      </c>
      <c r="H58" s="386" t="s">
        <v>450</v>
      </c>
    </row>
    <row r="59" spans="1:8">
      <c r="A59" s="521" t="s">
        <v>318</v>
      </c>
      <c r="B59" s="522" t="s">
        <v>1037</v>
      </c>
      <c r="C59" s="423" t="s">
        <v>329</v>
      </c>
      <c r="D59" s="521" t="s">
        <v>1038</v>
      </c>
      <c r="E59" s="522">
        <v>201611</v>
      </c>
      <c r="F59" s="523">
        <v>536.70000000000005</v>
      </c>
      <c r="G59" s="386" t="s">
        <v>449</v>
      </c>
      <c r="H59" s="386" t="s">
        <v>450</v>
      </c>
    </row>
    <row r="60" spans="1:8">
      <c r="A60" s="521" t="s">
        <v>318</v>
      </c>
      <c r="B60" s="522" t="s">
        <v>850</v>
      </c>
      <c r="C60" s="423" t="s">
        <v>329</v>
      </c>
      <c r="D60" s="521" t="s">
        <v>851</v>
      </c>
      <c r="E60" s="522">
        <v>201611</v>
      </c>
      <c r="F60" s="523">
        <v>-23.71</v>
      </c>
      <c r="G60" s="386" t="s">
        <v>449</v>
      </c>
      <c r="H60" s="386" t="s">
        <v>450</v>
      </c>
    </row>
    <row r="61" spans="1:8">
      <c r="A61" s="521" t="s">
        <v>318</v>
      </c>
      <c r="B61" s="522" t="s">
        <v>850</v>
      </c>
      <c r="C61" s="423" t="s">
        <v>329</v>
      </c>
      <c r="D61" s="521" t="s">
        <v>851</v>
      </c>
      <c r="E61" s="522">
        <v>201611</v>
      </c>
      <c r="F61" s="523">
        <v>-1.96</v>
      </c>
      <c r="G61" s="386" t="s">
        <v>449</v>
      </c>
      <c r="H61" s="386" t="s">
        <v>450</v>
      </c>
    </row>
    <row r="62" spans="1:8">
      <c r="A62" s="521" t="s">
        <v>318</v>
      </c>
      <c r="B62" s="522" t="s">
        <v>1069</v>
      </c>
      <c r="C62" s="423" t="s">
        <v>330</v>
      </c>
      <c r="D62" s="521" t="s">
        <v>1105</v>
      </c>
      <c r="E62" s="522">
        <v>201611</v>
      </c>
      <c r="F62" s="523">
        <v>-2518.46</v>
      </c>
      <c r="G62" s="386" t="s">
        <v>449</v>
      </c>
      <c r="H62" s="386" t="s">
        <v>450</v>
      </c>
    </row>
    <row r="63" spans="1:8" ht="15">
      <c r="A63" s="521" t="s">
        <v>318</v>
      </c>
      <c r="B63" s="522" t="s">
        <v>1069</v>
      </c>
      <c r="C63" s="424" t="s">
        <v>330</v>
      </c>
      <c r="D63" s="521" t="s">
        <v>1105</v>
      </c>
      <c r="E63" s="522">
        <v>201611</v>
      </c>
      <c r="F63" s="523">
        <v>-114</v>
      </c>
      <c r="G63" s="386" t="s">
        <v>449</v>
      </c>
      <c r="H63" s="386" t="s">
        <v>450</v>
      </c>
    </row>
    <row r="64" spans="1:8" ht="15">
      <c r="A64" s="521" t="s">
        <v>318</v>
      </c>
      <c r="B64" s="522" t="s">
        <v>975</v>
      </c>
      <c r="C64" s="424" t="s">
        <v>330</v>
      </c>
      <c r="D64" s="521" t="s">
        <v>976</v>
      </c>
      <c r="E64" s="522">
        <v>201611</v>
      </c>
      <c r="F64" s="523">
        <v>0.65</v>
      </c>
      <c r="G64" s="386" t="s">
        <v>449</v>
      </c>
      <c r="H64" s="386" t="s">
        <v>450</v>
      </c>
    </row>
    <row r="65" spans="1:8">
      <c r="A65" s="521" t="s">
        <v>318</v>
      </c>
      <c r="B65" s="522" t="s">
        <v>975</v>
      </c>
      <c r="C65" s="423" t="s">
        <v>330</v>
      </c>
      <c r="D65" s="521" t="s">
        <v>976</v>
      </c>
      <c r="E65" s="522">
        <v>201611</v>
      </c>
      <c r="F65" s="523">
        <v>45.74</v>
      </c>
      <c r="G65" s="386" t="s">
        <v>449</v>
      </c>
      <c r="H65" s="386" t="s">
        <v>450</v>
      </c>
    </row>
    <row r="66" spans="1:8">
      <c r="A66" s="521" t="s">
        <v>318</v>
      </c>
      <c r="B66" s="522" t="s">
        <v>852</v>
      </c>
      <c r="C66" s="423" t="s">
        <v>330</v>
      </c>
      <c r="D66" s="521" t="s">
        <v>853</v>
      </c>
      <c r="E66" s="522">
        <v>201611</v>
      </c>
      <c r="F66" s="523">
        <v>1325.56</v>
      </c>
      <c r="G66" s="386" t="s">
        <v>449</v>
      </c>
      <c r="H66" s="386" t="s">
        <v>450</v>
      </c>
    </row>
    <row r="67" spans="1:8">
      <c r="A67" s="521" t="s">
        <v>318</v>
      </c>
      <c r="B67" s="522" t="s">
        <v>852</v>
      </c>
      <c r="C67" s="423" t="s">
        <v>330</v>
      </c>
      <c r="D67" s="521" t="s">
        <v>853</v>
      </c>
      <c r="E67" s="522">
        <v>201611</v>
      </c>
      <c r="F67" s="523">
        <v>6829.36</v>
      </c>
      <c r="G67" s="386" t="s">
        <v>449</v>
      </c>
      <c r="H67" s="386" t="s">
        <v>450</v>
      </c>
    </row>
    <row r="68" spans="1:8">
      <c r="A68" s="521" t="s">
        <v>318</v>
      </c>
      <c r="B68" s="522" t="s">
        <v>870</v>
      </c>
      <c r="C68" s="423" t="s">
        <v>330</v>
      </c>
      <c r="D68" s="521" t="s">
        <v>871</v>
      </c>
      <c r="E68" s="522">
        <v>201611</v>
      </c>
      <c r="F68" s="523">
        <v>-13596.24</v>
      </c>
      <c r="G68" s="386" t="s">
        <v>449</v>
      </c>
      <c r="H68" s="386" t="s">
        <v>450</v>
      </c>
    </row>
    <row r="69" spans="1:8">
      <c r="A69" s="521" t="s">
        <v>318</v>
      </c>
      <c r="B69" s="522" t="s">
        <v>870</v>
      </c>
      <c r="C69" s="423" t="s">
        <v>330</v>
      </c>
      <c r="D69" s="521" t="s">
        <v>871</v>
      </c>
      <c r="E69" s="522">
        <v>201611</v>
      </c>
      <c r="F69" s="523">
        <v>12007.77</v>
      </c>
      <c r="G69" s="386" t="s">
        <v>449</v>
      </c>
      <c r="H69" s="386" t="s">
        <v>450</v>
      </c>
    </row>
    <row r="70" spans="1:8">
      <c r="A70" s="521" t="s">
        <v>318</v>
      </c>
      <c r="B70" s="522" t="s">
        <v>1039</v>
      </c>
      <c r="C70" s="423" t="s">
        <v>330</v>
      </c>
      <c r="D70" s="521" t="s">
        <v>1040</v>
      </c>
      <c r="E70" s="522">
        <v>201611</v>
      </c>
      <c r="F70" s="523">
        <v>263.55</v>
      </c>
      <c r="G70" s="386" t="s">
        <v>449</v>
      </c>
      <c r="H70" s="386" t="s">
        <v>450</v>
      </c>
    </row>
    <row r="71" spans="1:8">
      <c r="A71" s="521" t="s">
        <v>318</v>
      </c>
      <c r="B71" s="522" t="s">
        <v>1039</v>
      </c>
      <c r="C71" s="423" t="s">
        <v>330</v>
      </c>
      <c r="D71" s="521" t="s">
        <v>1040</v>
      </c>
      <c r="E71" s="522">
        <v>201611</v>
      </c>
      <c r="F71" s="523">
        <v>5348.74</v>
      </c>
      <c r="G71" s="386" t="s">
        <v>449</v>
      </c>
      <c r="H71" s="386" t="s">
        <v>450</v>
      </c>
    </row>
    <row r="72" spans="1:8">
      <c r="A72" s="521" t="s">
        <v>318</v>
      </c>
      <c r="B72" s="522" t="s">
        <v>872</v>
      </c>
      <c r="C72" s="423" t="s">
        <v>330</v>
      </c>
      <c r="D72" s="521" t="s">
        <v>873</v>
      </c>
      <c r="E72" s="522">
        <v>201611</v>
      </c>
      <c r="F72" s="523">
        <v>-18745.8</v>
      </c>
      <c r="G72" s="386" t="s">
        <v>449</v>
      </c>
      <c r="H72" s="386" t="s">
        <v>450</v>
      </c>
    </row>
    <row r="73" spans="1:8">
      <c r="A73" s="521" t="s">
        <v>318</v>
      </c>
      <c r="B73" s="522" t="s">
        <v>872</v>
      </c>
      <c r="C73" s="423" t="s">
        <v>330</v>
      </c>
      <c r="D73" s="521" t="s">
        <v>873</v>
      </c>
      <c r="E73" s="522">
        <v>201611</v>
      </c>
      <c r="F73" s="523">
        <v>905.16</v>
      </c>
      <c r="G73" s="386" t="s">
        <v>449</v>
      </c>
      <c r="H73" s="386" t="s">
        <v>450</v>
      </c>
    </row>
    <row r="74" spans="1:8">
      <c r="A74" s="521" t="s">
        <v>318</v>
      </c>
      <c r="B74" s="522" t="s">
        <v>977</v>
      </c>
      <c r="C74" s="423" t="s">
        <v>330</v>
      </c>
      <c r="D74" s="521" t="s">
        <v>978</v>
      </c>
      <c r="E74" s="522">
        <v>201611</v>
      </c>
      <c r="F74" s="523">
        <v>22.9</v>
      </c>
      <c r="G74" s="386" t="s">
        <v>449</v>
      </c>
      <c r="H74" s="386" t="s">
        <v>450</v>
      </c>
    </row>
    <row r="75" spans="1:8">
      <c r="A75" s="521" t="s">
        <v>318</v>
      </c>
      <c r="B75" s="522" t="s">
        <v>977</v>
      </c>
      <c r="C75" s="423" t="s">
        <v>330</v>
      </c>
      <c r="D75" s="521" t="s">
        <v>978</v>
      </c>
      <c r="E75" s="522">
        <v>201611</v>
      </c>
      <c r="F75" s="523">
        <v>360.88</v>
      </c>
      <c r="G75" s="386" t="s">
        <v>449</v>
      </c>
      <c r="H75" s="386" t="s">
        <v>450</v>
      </c>
    </row>
    <row r="76" spans="1:8">
      <c r="A76" s="521" t="s">
        <v>318</v>
      </c>
      <c r="B76" s="522" t="s">
        <v>1041</v>
      </c>
      <c r="C76" s="423" t="s">
        <v>330</v>
      </c>
      <c r="D76" s="521" t="s">
        <v>1042</v>
      </c>
      <c r="E76" s="522">
        <v>201611</v>
      </c>
      <c r="F76" s="523">
        <v>251.15</v>
      </c>
      <c r="G76" s="386" t="s">
        <v>449</v>
      </c>
      <c r="H76" s="386" t="s">
        <v>450</v>
      </c>
    </row>
    <row r="77" spans="1:8">
      <c r="A77" s="521" t="s">
        <v>318</v>
      </c>
      <c r="B77" s="522" t="s">
        <v>1041</v>
      </c>
      <c r="C77" s="423" t="s">
        <v>330</v>
      </c>
      <c r="D77" s="521" t="s">
        <v>1042</v>
      </c>
      <c r="E77" s="522">
        <v>201611</v>
      </c>
      <c r="F77" s="523">
        <v>3360.47</v>
      </c>
      <c r="G77" s="386" t="s">
        <v>449</v>
      </c>
      <c r="H77" s="386" t="s">
        <v>450</v>
      </c>
    </row>
    <row r="78" spans="1:8">
      <c r="A78" s="521" t="s">
        <v>318</v>
      </c>
      <c r="B78" s="522" t="s">
        <v>979</v>
      </c>
      <c r="C78" s="423" t="s">
        <v>330</v>
      </c>
      <c r="D78" s="521" t="s">
        <v>980</v>
      </c>
      <c r="E78" s="522">
        <v>201611</v>
      </c>
      <c r="F78" s="523">
        <v>1.43</v>
      </c>
      <c r="G78" s="386" t="s">
        <v>449</v>
      </c>
      <c r="H78" s="386" t="s">
        <v>450</v>
      </c>
    </row>
    <row r="79" spans="1:8" ht="15">
      <c r="A79" s="521" t="s">
        <v>318</v>
      </c>
      <c r="B79" s="522" t="s">
        <v>979</v>
      </c>
      <c r="C79" s="424" t="s">
        <v>330</v>
      </c>
      <c r="D79" s="521" t="s">
        <v>980</v>
      </c>
      <c r="E79" s="522">
        <v>201611</v>
      </c>
      <c r="F79" s="523">
        <v>29.04</v>
      </c>
      <c r="G79" s="386" t="s">
        <v>449</v>
      </c>
      <c r="H79" s="386" t="s">
        <v>450</v>
      </c>
    </row>
    <row r="80" spans="1:8" ht="15">
      <c r="A80" s="521" t="s">
        <v>318</v>
      </c>
      <c r="B80" s="522" t="s">
        <v>981</v>
      </c>
      <c r="C80" s="424" t="s">
        <v>330</v>
      </c>
      <c r="D80" s="521" t="s">
        <v>1014</v>
      </c>
      <c r="E80" s="522">
        <v>201611</v>
      </c>
      <c r="F80" s="523">
        <v>18.66</v>
      </c>
      <c r="G80" s="386" t="s">
        <v>449</v>
      </c>
      <c r="H80" s="386" t="s">
        <v>450</v>
      </c>
    </row>
    <row r="81" spans="1:8" ht="15">
      <c r="A81" s="521" t="s">
        <v>318</v>
      </c>
      <c r="B81" s="522" t="s">
        <v>981</v>
      </c>
      <c r="C81" s="424" t="s">
        <v>330</v>
      </c>
      <c r="D81" s="521" t="s">
        <v>1014</v>
      </c>
      <c r="E81" s="522">
        <v>201611</v>
      </c>
      <c r="F81" s="523">
        <v>102.47</v>
      </c>
      <c r="G81" s="386" t="s">
        <v>449</v>
      </c>
      <c r="H81" s="386" t="s">
        <v>450</v>
      </c>
    </row>
    <row r="82" spans="1:8" ht="15">
      <c r="A82" s="521" t="s">
        <v>318</v>
      </c>
      <c r="B82" s="522" t="s">
        <v>981</v>
      </c>
      <c r="C82" s="424" t="s">
        <v>330</v>
      </c>
      <c r="D82" s="521" t="s">
        <v>1014</v>
      </c>
      <c r="E82" s="522">
        <v>201611</v>
      </c>
      <c r="F82" s="523">
        <v>2023.18</v>
      </c>
      <c r="G82" s="386" t="s">
        <v>449</v>
      </c>
      <c r="H82" s="386" t="s">
        <v>450</v>
      </c>
    </row>
    <row r="83" spans="1:8" ht="15">
      <c r="A83" s="521" t="s">
        <v>318</v>
      </c>
      <c r="B83" s="522" t="s">
        <v>874</v>
      </c>
      <c r="C83" s="424" t="s">
        <v>330</v>
      </c>
      <c r="D83" s="521" t="s">
        <v>875</v>
      </c>
      <c r="E83" s="522">
        <v>201611</v>
      </c>
      <c r="F83" s="523">
        <v>-2553.87</v>
      </c>
      <c r="G83" s="386" t="s">
        <v>449</v>
      </c>
      <c r="H83" s="386" t="s">
        <v>450</v>
      </c>
    </row>
    <row r="84" spans="1:8" ht="15">
      <c r="A84" s="521" t="s">
        <v>318</v>
      </c>
      <c r="B84" s="522" t="s">
        <v>874</v>
      </c>
      <c r="C84" s="424" t="s">
        <v>330</v>
      </c>
      <c r="D84" s="521" t="s">
        <v>875</v>
      </c>
      <c r="E84" s="522">
        <v>201611</v>
      </c>
      <c r="F84" s="523">
        <v>1916.25</v>
      </c>
      <c r="G84" s="386" t="s">
        <v>449</v>
      </c>
      <c r="H84" s="386" t="s">
        <v>450</v>
      </c>
    </row>
    <row r="85" spans="1:8">
      <c r="A85" s="521" t="s">
        <v>318</v>
      </c>
      <c r="B85" s="522" t="s">
        <v>983</v>
      </c>
      <c r="C85" s="423" t="s">
        <v>330</v>
      </c>
      <c r="D85" s="521" t="s">
        <v>984</v>
      </c>
      <c r="E85" s="522">
        <v>201611</v>
      </c>
      <c r="F85" s="523">
        <v>1.48</v>
      </c>
      <c r="G85" s="386" t="s">
        <v>449</v>
      </c>
      <c r="H85" s="386" t="s">
        <v>450</v>
      </c>
    </row>
    <row r="86" spans="1:8">
      <c r="A86" s="521" t="s">
        <v>318</v>
      </c>
      <c r="B86" s="522" t="s">
        <v>983</v>
      </c>
      <c r="C86" s="423" t="s">
        <v>330</v>
      </c>
      <c r="D86" s="521" t="s">
        <v>984</v>
      </c>
      <c r="E86" s="522">
        <v>201611</v>
      </c>
      <c r="F86" s="523">
        <v>41.57</v>
      </c>
      <c r="G86" s="386" t="s">
        <v>449</v>
      </c>
      <c r="H86" s="386" t="s">
        <v>450</v>
      </c>
    </row>
    <row r="87" spans="1:8">
      <c r="A87" s="521" t="s">
        <v>318</v>
      </c>
      <c r="B87" s="522" t="s">
        <v>1043</v>
      </c>
      <c r="C87" s="423" t="s">
        <v>330</v>
      </c>
      <c r="D87" s="521" t="s">
        <v>1044</v>
      </c>
      <c r="E87" s="522">
        <v>201611</v>
      </c>
      <c r="F87" s="523">
        <v>14.91</v>
      </c>
      <c r="G87" s="386" t="s">
        <v>449</v>
      </c>
      <c r="H87" s="386" t="s">
        <v>450</v>
      </c>
    </row>
    <row r="88" spans="1:8">
      <c r="A88" s="521" t="s">
        <v>318</v>
      </c>
      <c r="B88" s="522" t="s">
        <v>1043</v>
      </c>
      <c r="C88" s="423" t="s">
        <v>330</v>
      </c>
      <c r="D88" s="521" t="s">
        <v>1044</v>
      </c>
      <c r="E88" s="522">
        <v>201611</v>
      </c>
      <c r="F88" s="523">
        <v>273.77999999999997</v>
      </c>
      <c r="G88" s="386" t="s">
        <v>449</v>
      </c>
      <c r="H88" s="386" t="s">
        <v>450</v>
      </c>
    </row>
    <row r="89" spans="1:8">
      <c r="A89" s="521" t="s">
        <v>318</v>
      </c>
      <c r="B89" s="522" t="s">
        <v>876</v>
      </c>
      <c r="C89" s="423" t="s">
        <v>330</v>
      </c>
      <c r="D89" s="521" t="s">
        <v>877</v>
      </c>
      <c r="E89" s="522">
        <v>201611</v>
      </c>
      <c r="F89" s="523">
        <v>-74.81</v>
      </c>
      <c r="G89" s="386" t="s">
        <v>449</v>
      </c>
      <c r="H89" s="386" t="s">
        <v>450</v>
      </c>
    </row>
    <row r="90" spans="1:8">
      <c r="A90" s="521" t="s">
        <v>318</v>
      </c>
      <c r="B90" s="522" t="s">
        <v>876</v>
      </c>
      <c r="C90" s="423" t="s">
        <v>330</v>
      </c>
      <c r="D90" s="521" t="s">
        <v>877</v>
      </c>
      <c r="E90" s="522">
        <v>201611</v>
      </c>
      <c r="F90" s="523">
        <v>-4.22</v>
      </c>
      <c r="G90" s="386" t="s">
        <v>449</v>
      </c>
      <c r="H90" s="386" t="s">
        <v>450</v>
      </c>
    </row>
    <row r="91" spans="1:8">
      <c r="A91" s="521" t="s">
        <v>318</v>
      </c>
      <c r="B91" s="522" t="s">
        <v>1045</v>
      </c>
      <c r="C91" s="423" t="s">
        <v>330</v>
      </c>
      <c r="D91" s="521" t="s">
        <v>1046</v>
      </c>
      <c r="E91" s="522">
        <v>201611</v>
      </c>
      <c r="F91" s="523">
        <v>1.1499999999999999</v>
      </c>
      <c r="G91" s="386" t="s">
        <v>449</v>
      </c>
      <c r="H91" s="386" t="s">
        <v>450</v>
      </c>
    </row>
    <row r="92" spans="1:8" ht="15">
      <c r="A92" s="521" t="s">
        <v>318</v>
      </c>
      <c r="B92" s="522" t="s">
        <v>1045</v>
      </c>
      <c r="C92" s="424" t="s">
        <v>330</v>
      </c>
      <c r="D92" s="521" t="s">
        <v>1046</v>
      </c>
      <c r="E92" s="522">
        <v>201611</v>
      </c>
      <c r="F92" s="523">
        <v>20.34</v>
      </c>
      <c r="G92" s="386" t="s">
        <v>449</v>
      </c>
      <c r="H92" s="386" t="s">
        <v>450</v>
      </c>
    </row>
    <row r="93" spans="1:8" ht="15">
      <c r="A93" s="521" t="s">
        <v>318</v>
      </c>
      <c r="B93" s="522" t="s">
        <v>987</v>
      </c>
      <c r="C93" s="424" t="s">
        <v>330</v>
      </c>
      <c r="D93" s="521" t="s">
        <v>988</v>
      </c>
      <c r="E93" s="522">
        <v>201611</v>
      </c>
      <c r="F93" s="523">
        <v>0.09</v>
      </c>
      <c r="G93" s="386" t="s">
        <v>449</v>
      </c>
      <c r="H93" s="386" t="s">
        <v>450</v>
      </c>
    </row>
    <row r="94" spans="1:8">
      <c r="A94" s="521" t="s">
        <v>318</v>
      </c>
      <c r="B94" s="522" t="s">
        <v>987</v>
      </c>
      <c r="C94" s="423" t="s">
        <v>330</v>
      </c>
      <c r="D94" s="521" t="s">
        <v>988</v>
      </c>
      <c r="E94" s="522">
        <v>201611</v>
      </c>
      <c r="F94" s="523">
        <v>1.9</v>
      </c>
      <c r="G94" s="386" t="s">
        <v>449</v>
      </c>
      <c r="H94" s="386" t="s">
        <v>450</v>
      </c>
    </row>
    <row r="95" spans="1:8">
      <c r="A95" s="521" t="s">
        <v>318</v>
      </c>
      <c r="B95" s="522" t="s">
        <v>991</v>
      </c>
      <c r="C95" s="423" t="s">
        <v>330</v>
      </c>
      <c r="D95" s="521" t="s">
        <v>992</v>
      </c>
      <c r="E95" s="522">
        <v>201611</v>
      </c>
      <c r="F95" s="523">
        <v>-449.03</v>
      </c>
      <c r="G95" s="386" t="s">
        <v>449</v>
      </c>
      <c r="H95" s="386" t="s">
        <v>450</v>
      </c>
    </row>
    <row r="96" spans="1:8" ht="15">
      <c r="A96" s="521" t="s">
        <v>318</v>
      </c>
      <c r="B96" s="522" t="s">
        <v>991</v>
      </c>
      <c r="C96" s="424" t="s">
        <v>330</v>
      </c>
      <c r="D96" s="521" t="s">
        <v>992</v>
      </c>
      <c r="E96" s="522">
        <v>201611</v>
      </c>
      <c r="F96" s="523">
        <v>114.54</v>
      </c>
      <c r="G96" s="386" t="s">
        <v>449</v>
      </c>
      <c r="H96" s="386" t="s">
        <v>450</v>
      </c>
    </row>
    <row r="97" spans="1:8" ht="15">
      <c r="A97" s="521" t="s">
        <v>318</v>
      </c>
      <c r="B97" s="522" t="s">
        <v>880</v>
      </c>
      <c r="C97" s="424" t="s">
        <v>330</v>
      </c>
      <c r="D97" s="521" t="s">
        <v>881</v>
      </c>
      <c r="E97" s="522">
        <v>201611</v>
      </c>
      <c r="F97" s="523">
        <v>-31679.119999999999</v>
      </c>
      <c r="G97" s="386" t="s">
        <v>449</v>
      </c>
      <c r="H97" s="386" t="s">
        <v>450</v>
      </c>
    </row>
    <row r="98" spans="1:8">
      <c r="A98" s="521" t="s">
        <v>318</v>
      </c>
      <c r="B98" s="522" t="s">
        <v>880</v>
      </c>
      <c r="C98" s="423" t="s">
        <v>330</v>
      </c>
      <c r="D98" s="521" t="s">
        <v>881</v>
      </c>
      <c r="E98" s="522">
        <v>201611</v>
      </c>
      <c r="F98" s="523">
        <v>-1563.71</v>
      </c>
      <c r="G98" s="386" t="s">
        <v>449</v>
      </c>
      <c r="H98" s="386" t="s">
        <v>450</v>
      </c>
    </row>
    <row r="99" spans="1:8">
      <c r="A99" s="521" t="s">
        <v>318</v>
      </c>
      <c r="B99" s="522" t="s">
        <v>993</v>
      </c>
      <c r="C99" s="423" t="s">
        <v>330</v>
      </c>
      <c r="D99" s="521" t="s">
        <v>994</v>
      </c>
      <c r="E99" s="522">
        <v>201611</v>
      </c>
      <c r="F99" s="523">
        <v>74.44</v>
      </c>
      <c r="G99" s="386" t="s">
        <v>449</v>
      </c>
      <c r="H99" s="386" t="s">
        <v>450</v>
      </c>
    </row>
    <row r="100" spans="1:8" ht="15">
      <c r="A100" s="521" t="s">
        <v>318</v>
      </c>
      <c r="B100" s="522" t="s">
        <v>993</v>
      </c>
      <c r="C100" s="424" t="s">
        <v>330</v>
      </c>
      <c r="D100" s="521" t="s">
        <v>994</v>
      </c>
      <c r="E100" s="522">
        <v>201611</v>
      </c>
      <c r="F100" s="523">
        <v>1478.94</v>
      </c>
      <c r="G100" s="386" t="s">
        <v>449</v>
      </c>
      <c r="H100" s="386" t="s">
        <v>450</v>
      </c>
    </row>
    <row r="101" spans="1:8" ht="15">
      <c r="A101" s="521" t="s">
        <v>318</v>
      </c>
      <c r="B101" s="522" t="s">
        <v>996</v>
      </c>
      <c r="C101" s="424" t="s">
        <v>330</v>
      </c>
      <c r="D101" s="521" t="s">
        <v>997</v>
      </c>
      <c r="E101" s="522">
        <v>201611</v>
      </c>
      <c r="F101" s="523">
        <v>59.92</v>
      </c>
      <c r="G101" s="386" t="s">
        <v>449</v>
      </c>
      <c r="H101" s="386" t="s">
        <v>450</v>
      </c>
    </row>
    <row r="102" spans="1:8" ht="15">
      <c r="A102" s="521" t="s">
        <v>318</v>
      </c>
      <c r="B102" s="522" t="s">
        <v>996</v>
      </c>
      <c r="C102" s="424" t="s">
        <v>330</v>
      </c>
      <c r="D102" s="521" t="s">
        <v>997</v>
      </c>
      <c r="E102" s="522">
        <v>201611</v>
      </c>
      <c r="F102" s="523">
        <v>1661.15</v>
      </c>
      <c r="G102" s="386" t="s">
        <v>449</v>
      </c>
      <c r="H102" s="386" t="s">
        <v>450</v>
      </c>
    </row>
    <row r="103" spans="1:8" ht="15">
      <c r="A103" s="521" t="s">
        <v>318</v>
      </c>
      <c r="B103" s="522" t="s">
        <v>1047</v>
      </c>
      <c r="C103" s="424" t="s">
        <v>329</v>
      </c>
      <c r="D103" s="521" t="s">
        <v>1048</v>
      </c>
      <c r="E103" s="522">
        <v>201611</v>
      </c>
      <c r="F103" s="523">
        <v>-135.26</v>
      </c>
      <c r="G103" s="386" t="s">
        <v>449</v>
      </c>
      <c r="H103" s="386" t="s">
        <v>450</v>
      </c>
    </row>
    <row r="104" spans="1:8" ht="15">
      <c r="A104" s="521" t="s">
        <v>318</v>
      </c>
      <c r="B104" s="522" t="s">
        <v>1047</v>
      </c>
      <c r="C104" s="424" t="s">
        <v>329</v>
      </c>
      <c r="D104" s="521" t="s">
        <v>1048</v>
      </c>
      <c r="E104" s="522">
        <v>201611</v>
      </c>
      <c r="F104" s="523">
        <v>-42.73</v>
      </c>
      <c r="G104" s="386" t="s">
        <v>449</v>
      </c>
      <c r="H104" s="386" t="s">
        <v>450</v>
      </c>
    </row>
    <row r="105" spans="1:8" ht="15">
      <c r="A105" s="521" t="s">
        <v>318</v>
      </c>
      <c r="B105" s="522" t="s">
        <v>887</v>
      </c>
      <c r="C105" s="424" t="s">
        <v>330</v>
      </c>
      <c r="D105" s="521" t="s">
        <v>888</v>
      </c>
      <c r="E105" s="522">
        <v>201611</v>
      </c>
      <c r="F105" s="523">
        <v>1.91</v>
      </c>
      <c r="G105" s="386" t="s">
        <v>449</v>
      </c>
      <c r="H105" s="386" t="s">
        <v>450</v>
      </c>
    </row>
    <row r="106" spans="1:8" ht="15">
      <c r="A106" s="521" t="s">
        <v>318</v>
      </c>
      <c r="B106" s="522" t="s">
        <v>887</v>
      </c>
      <c r="C106" s="424" t="s">
        <v>330</v>
      </c>
      <c r="D106" s="521" t="s">
        <v>888</v>
      </c>
      <c r="E106" s="522">
        <v>201611</v>
      </c>
      <c r="F106" s="523">
        <v>106.88</v>
      </c>
      <c r="G106" s="386" t="s">
        <v>449</v>
      </c>
      <c r="H106" s="386" t="s">
        <v>450</v>
      </c>
    </row>
    <row r="107" spans="1:8" ht="15">
      <c r="A107" s="521" t="s">
        <v>318</v>
      </c>
      <c r="B107" s="522" t="s">
        <v>1071</v>
      </c>
      <c r="C107" s="424" t="s">
        <v>330</v>
      </c>
      <c r="D107" s="521" t="s">
        <v>1072</v>
      </c>
      <c r="E107" s="522">
        <v>201611</v>
      </c>
      <c r="F107" s="523">
        <v>-2288.6999999999998</v>
      </c>
      <c r="G107" s="386" t="s">
        <v>449</v>
      </c>
      <c r="H107" s="386" t="s">
        <v>450</v>
      </c>
    </row>
    <row r="108" spans="1:8" ht="15">
      <c r="A108" s="521" t="s">
        <v>318</v>
      </c>
      <c r="B108" s="522" t="s">
        <v>889</v>
      </c>
      <c r="C108" s="424" t="s">
        <v>414</v>
      </c>
      <c r="D108" s="521" t="s">
        <v>890</v>
      </c>
      <c r="E108" s="522">
        <v>201611</v>
      </c>
      <c r="F108" s="523">
        <v>1.0900000000000001</v>
      </c>
      <c r="G108" s="386" t="s">
        <v>449</v>
      </c>
      <c r="H108" s="386" t="s">
        <v>450</v>
      </c>
    </row>
    <row r="109" spans="1:8" ht="15">
      <c r="A109" s="521" t="s">
        <v>318</v>
      </c>
      <c r="B109" s="522" t="s">
        <v>889</v>
      </c>
      <c r="C109" s="424" t="s">
        <v>414</v>
      </c>
      <c r="D109" s="521" t="s">
        <v>890</v>
      </c>
      <c r="E109" s="522">
        <v>201611</v>
      </c>
      <c r="F109" s="523">
        <v>28.5</v>
      </c>
      <c r="G109" s="386" t="s">
        <v>449</v>
      </c>
      <c r="H109" s="386" t="s">
        <v>450</v>
      </c>
    </row>
    <row r="110" spans="1:8">
      <c r="A110" s="521" t="s">
        <v>318</v>
      </c>
      <c r="B110" s="522" t="s">
        <v>1006</v>
      </c>
      <c r="C110" s="423" t="s">
        <v>414</v>
      </c>
      <c r="D110" s="521" t="s">
        <v>1007</v>
      </c>
      <c r="E110" s="522">
        <v>201611</v>
      </c>
      <c r="F110" s="523">
        <v>-24.4</v>
      </c>
      <c r="G110" s="386" t="s">
        <v>449</v>
      </c>
      <c r="H110" s="386" t="s">
        <v>450</v>
      </c>
    </row>
    <row r="111" spans="1:8">
      <c r="A111" s="521" t="s">
        <v>318</v>
      </c>
      <c r="B111" s="522" t="s">
        <v>1006</v>
      </c>
      <c r="C111" s="423" t="s">
        <v>414</v>
      </c>
      <c r="D111" s="521" t="s">
        <v>1007</v>
      </c>
      <c r="E111" s="522">
        <v>201611</v>
      </c>
      <c r="F111" s="523">
        <v>-0.35</v>
      </c>
      <c r="G111" s="386" t="s">
        <v>449</v>
      </c>
      <c r="H111" s="386" t="s">
        <v>450</v>
      </c>
    </row>
    <row r="112" spans="1:8" ht="15">
      <c r="A112" s="521" t="s">
        <v>318</v>
      </c>
      <c r="B112" s="522" t="s">
        <v>1012</v>
      </c>
      <c r="C112" s="424" t="s">
        <v>331</v>
      </c>
      <c r="D112" s="521" t="s">
        <v>1013</v>
      </c>
      <c r="E112" s="522">
        <v>201611</v>
      </c>
      <c r="F112" s="523">
        <v>0.51</v>
      </c>
      <c r="G112" s="386" t="s">
        <v>449</v>
      </c>
      <c r="H112" s="386" t="s">
        <v>545</v>
      </c>
    </row>
    <row r="113" spans="1:8" ht="15">
      <c r="A113" s="521" t="s">
        <v>318</v>
      </c>
      <c r="B113" s="522" t="s">
        <v>1012</v>
      </c>
      <c r="C113" s="424" t="s">
        <v>331</v>
      </c>
      <c r="D113" s="521" t="s">
        <v>1013</v>
      </c>
      <c r="E113" s="522">
        <v>201611</v>
      </c>
      <c r="F113" s="523">
        <v>6.72</v>
      </c>
      <c r="G113" s="386" t="s">
        <v>449</v>
      </c>
      <c r="H113" s="386" t="s">
        <v>545</v>
      </c>
    </row>
    <row r="114" spans="1:8">
      <c r="A114" s="521" t="s">
        <v>318</v>
      </c>
      <c r="B114" s="522" t="s">
        <v>1073</v>
      </c>
      <c r="C114" s="423" t="s">
        <v>331</v>
      </c>
      <c r="D114" s="521" t="s">
        <v>1074</v>
      </c>
      <c r="E114" s="522">
        <v>201611</v>
      </c>
      <c r="F114" s="523">
        <v>398.87</v>
      </c>
      <c r="G114" s="386" t="s">
        <v>449</v>
      </c>
      <c r="H114" s="386" t="s">
        <v>545</v>
      </c>
    </row>
    <row r="115" spans="1:8">
      <c r="A115" s="521" t="s">
        <v>318</v>
      </c>
      <c r="B115" s="522" t="s">
        <v>1073</v>
      </c>
      <c r="C115" s="423" t="s">
        <v>331</v>
      </c>
      <c r="D115" s="521" t="s">
        <v>1074</v>
      </c>
      <c r="E115" s="522">
        <v>201611</v>
      </c>
      <c r="F115" s="523">
        <v>4158.9799999999996</v>
      </c>
      <c r="G115" s="386" t="s">
        <v>449</v>
      </c>
      <c r="H115" s="386" t="s">
        <v>545</v>
      </c>
    </row>
    <row r="116" spans="1:8">
      <c r="A116" s="521" t="s">
        <v>318</v>
      </c>
      <c r="B116" s="522" t="s">
        <v>1049</v>
      </c>
      <c r="C116" s="423" t="s">
        <v>330</v>
      </c>
      <c r="D116" s="521" t="s">
        <v>1050</v>
      </c>
      <c r="E116" s="522">
        <v>201611</v>
      </c>
      <c r="F116" s="523">
        <v>92.49</v>
      </c>
      <c r="G116" s="386" t="s">
        <v>449</v>
      </c>
      <c r="H116" s="386" t="s">
        <v>450</v>
      </c>
    </row>
    <row r="117" spans="1:8">
      <c r="A117" s="521" t="s">
        <v>318</v>
      </c>
      <c r="B117" s="522" t="s">
        <v>1049</v>
      </c>
      <c r="C117" s="423" t="s">
        <v>330</v>
      </c>
      <c r="D117" s="521" t="s">
        <v>1050</v>
      </c>
      <c r="E117" s="522">
        <v>201611</v>
      </c>
      <c r="F117" s="523">
        <v>2450.66</v>
      </c>
      <c r="G117" s="386" t="s">
        <v>449</v>
      </c>
      <c r="H117" s="386" t="s">
        <v>450</v>
      </c>
    </row>
    <row r="118" spans="1:8">
      <c r="A118" s="521" t="s">
        <v>318</v>
      </c>
      <c r="B118" s="522" t="s">
        <v>1077</v>
      </c>
      <c r="C118" s="423" t="s">
        <v>330</v>
      </c>
      <c r="D118" s="521" t="s">
        <v>1078</v>
      </c>
      <c r="E118" s="522">
        <v>201611</v>
      </c>
      <c r="F118" s="523">
        <v>-1374.65</v>
      </c>
      <c r="G118" s="386" t="s">
        <v>449</v>
      </c>
      <c r="H118" s="386" t="s">
        <v>450</v>
      </c>
    </row>
    <row r="119" spans="1:8">
      <c r="A119" s="521" t="s">
        <v>318</v>
      </c>
      <c r="B119" s="522" t="s">
        <v>1077</v>
      </c>
      <c r="C119" s="423" t="s">
        <v>330</v>
      </c>
      <c r="D119" s="521" t="s">
        <v>1078</v>
      </c>
      <c r="E119" s="522">
        <v>201611</v>
      </c>
      <c r="F119" s="523">
        <v>-121.93</v>
      </c>
      <c r="G119" s="386" t="s">
        <v>449</v>
      </c>
      <c r="H119" s="386" t="s">
        <v>450</v>
      </c>
    </row>
    <row r="120" spans="1:8">
      <c r="A120" s="521" t="s">
        <v>318</v>
      </c>
      <c r="B120" s="522" t="s">
        <v>1079</v>
      </c>
      <c r="C120" s="423" t="s">
        <v>330</v>
      </c>
      <c r="D120" s="521" t="s">
        <v>1080</v>
      </c>
      <c r="E120" s="522">
        <v>201611</v>
      </c>
      <c r="F120" s="523">
        <v>-1769.32</v>
      </c>
      <c r="G120" s="386" t="s">
        <v>449</v>
      </c>
      <c r="H120" s="386" t="s">
        <v>450</v>
      </c>
    </row>
    <row r="121" spans="1:8">
      <c r="A121" s="521" t="s">
        <v>318</v>
      </c>
      <c r="B121" s="522" t="s">
        <v>1079</v>
      </c>
      <c r="C121" s="423" t="s">
        <v>330</v>
      </c>
      <c r="D121" s="521" t="s">
        <v>1080</v>
      </c>
      <c r="E121" s="522">
        <v>201611</v>
      </c>
      <c r="F121" s="523">
        <v>-118.61</v>
      </c>
      <c r="G121" s="386" t="s">
        <v>449</v>
      </c>
      <c r="H121" s="386" t="s">
        <v>450</v>
      </c>
    </row>
    <row r="122" spans="1:8">
      <c r="A122" s="521" t="s">
        <v>318</v>
      </c>
      <c r="B122" s="522" t="s">
        <v>320</v>
      </c>
      <c r="C122" s="423" t="s">
        <v>319</v>
      </c>
      <c r="D122" s="521" t="s">
        <v>321</v>
      </c>
      <c r="E122" s="522">
        <v>201612</v>
      </c>
      <c r="F122" s="523">
        <v>334.28</v>
      </c>
      <c r="G122" s="386" t="s">
        <v>449</v>
      </c>
      <c r="H122" s="386" t="s">
        <v>544</v>
      </c>
    </row>
    <row r="123" spans="1:8">
      <c r="A123" s="521" t="s">
        <v>318</v>
      </c>
      <c r="B123" s="522" t="s">
        <v>323</v>
      </c>
      <c r="C123" s="423" t="s">
        <v>319</v>
      </c>
      <c r="D123" s="521" t="s">
        <v>324</v>
      </c>
      <c r="E123" s="522">
        <v>201612</v>
      </c>
      <c r="F123" s="523">
        <v>2034.33</v>
      </c>
      <c r="G123" s="386" t="s">
        <v>449</v>
      </c>
      <c r="H123" s="386" t="s">
        <v>544</v>
      </c>
    </row>
    <row r="124" spans="1:8">
      <c r="A124" s="521" t="s">
        <v>322</v>
      </c>
      <c r="B124" s="522" t="s">
        <v>325</v>
      </c>
      <c r="C124" s="423" t="s">
        <v>319</v>
      </c>
      <c r="D124" s="521" t="s">
        <v>326</v>
      </c>
      <c r="E124" s="522">
        <v>201612</v>
      </c>
      <c r="F124" s="523">
        <v>1190.7</v>
      </c>
      <c r="G124" s="386" t="s">
        <v>449</v>
      </c>
      <c r="H124" s="386" t="s">
        <v>544</v>
      </c>
    </row>
    <row r="125" spans="1:8">
      <c r="A125" s="521" t="s">
        <v>318</v>
      </c>
      <c r="B125" s="522" t="s">
        <v>327</v>
      </c>
      <c r="C125" s="423" t="s">
        <v>319</v>
      </c>
      <c r="D125" s="521" t="s">
        <v>328</v>
      </c>
      <c r="E125" s="522">
        <v>201612</v>
      </c>
      <c r="F125" s="523">
        <v>27573.29</v>
      </c>
      <c r="G125" s="386" t="s">
        <v>449</v>
      </c>
      <c r="H125" s="386" t="s">
        <v>544</v>
      </c>
    </row>
    <row r="126" spans="1:8">
      <c r="A126" s="521" t="s">
        <v>318</v>
      </c>
      <c r="B126" s="522" t="s">
        <v>941</v>
      </c>
      <c r="C126" s="423" t="s">
        <v>330</v>
      </c>
      <c r="D126" s="521" t="s">
        <v>942</v>
      </c>
      <c r="E126" s="522">
        <v>201612</v>
      </c>
      <c r="F126" s="523">
        <v>-142.61000000000001</v>
      </c>
      <c r="G126" s="386" t="s">
        <v>449</v>
      </c>
      <c r="H126" s="386" t="s">
        <v>450</v>
      </c>
    </row>
    <row r="127" spans="1:8">
      <c r="A127" s="521" t="s">
        <v>318</v>
      </c>
      <c r="B127" s="522" t="s">
        <v>941</v>
      </c>
      <c r="C127" s="423" t="s">
        <v>330</v>
      </c>
      <c r="D127" s="521" t="s">
        <v>942</v>
      </c>
      <c r="E127" s="522">
        <v>201612</v>
      </c>
      <c r="F127" s="523">
        <v>-9.99</v>
      </c>
      <c r="G127" s="386" t="s">
        <v>449</v>
      </c>
      <c r="H127" s="386" t="s">
        <v>450</v>
      </c>
    </row>
    <row r="128" spans="1:8">
      <c r="A128" s="521" t="s">
        <v>322</v>
      </c>
      <c r="B128" s="522" t="s">
        <v>856</v>
      </c>
      <c r="C128" s="423" t="s">
        <v>330</v>
      </c>
      <c r="D128" s="521" t="s">
        <v>857</v>
      </c>
      <c r="E128" s="522">
        <v>201612</v>
      </c>
      <c r="F128" s="523">
        <v>-5935.18</v>
      </c>
      <c r="G128" s="386" t="s">
        <v>449</v>
      </c>
      <c r="H128" s="386" t="s">
        <v>450</v>
      </c>
    </row>
    <row r="129" spans="1:8">
      <c r="A129" s="521" t="s">
        <v>322</v>
      </c>
      <c r="B129" s="522" t="s">
        <v>856</v>
      </c>
      <c r="C129" s="423" t="s">
        <v>330</v>
      </c>
      <c r="D129" s="521" t="s">
        <v>857</v>
      </c>
      <c r="E129" s="522">
        <v>201612</v>
      </c>
      <c r="F129" s="523">
        <v>0.03</v>
      </c>
      <c r="G129" s="386" t="s">
        <v>449</v>
      </c>
      <c r="H129" s="386" t="s">
        <v>450</v>
      </c>
    </row>
    <row r="130" spans="1:8" ht="15">
      <c r="A130" s="521" t="s">
        <v>318</v>
      </c>
      <c r="B130" s="522" t="s">
        <v>856</v>
      </c>
      <c r="C130" s="424" t="s">
        <v>330</v>
      </c>
      <c r="D130" s="521" t="s">
        <v>857</v>
      </c>
      <c r="E130" s="522">
        <v>201612</v>
      </c>
      <c r="F130" s="523">
        <v>-649207.34</v>
      </c>
      <c r="G130" s="386" t="s">
        <v>449</v>
      </c>
      <c r="H130" s="386" t="s">
        <v>450</v>
      </c>
    </row>
    <row r="131" spans="1:8">
      <c r="A131" s="521" t="s">
        <v>318</v>
      </c>
      <c r="B131" s="522" t="s">
        <v>856</v>
      </c>
      <c r="C131" s="423" t="s">
        <v>330</v>
      </c>
      <c r="D131" s="521" t="s">
        <v>857</v>
      </c>
      <c r="E131" s="522">
        <v>201612</v>
      </c>
      <c r="F131" s="523">
        <v>-27798.02</v>
      </c>
      <c r="G131" s="386" t="s">
        <v>449</v>
      </c>
      <c r="H131" s="386" t="s">
        <v>450</v>
      </c>
    </row>
    <row r="132" spans="1:8">
      <c r="A132" s="521" t="s">
        <v>318</v>
      </c>
      <c r="B132" s="522" t="s">
        <v>856</v>
      </c>
      <c r="C132" s="423" t="s">
        <v>330</v>
      </c>
      <c r="D132" s="521" t="s">
        <v>857</v>
      </c>
      <c r="E132" s="522">
        <v>201612</v>
      </c>
      <c r="F132" s="523">
        <v>44958.98</v>
      </c>
      <c r="G132" s="386" t="s">
        <v>449</v>
      </c>
      <c r="H132" s="386" t="s">
        <v>450</v>
      </c>
    </row>
    <row r="133" spans="1:8">
      <c r="A133" s="521" t="s">
        <v>318</v>
      </c>
      <c r="B133" s="522" t="s">
        <v>856</v>
      </c>
      <c r="C133" s="423" t="s">
        <v>330</v>
      </c>
      <c r="D133" s="521" t="s">
        <v>857</v>
      </c>
      <c r="E133" s="522">
        <v>201612</v>
      </c>
      <c r="F133" s="523">
        <v>673160.64</v>
      </c>
      <c r="G133" s="386" t="s">
        <v>449</v>
      </c>
      <c r="H133" s="386" t="s">
        <v>450</v>
      </c>
    </row>
    <row r="134" spans="1:8">
      <c r="A134" s="521" t="s">
        <v>318</v>
      </c>
      <c r="B134" s="522" t="s">
        <v>800</v>
      </c>
      <c r="C134" s="423" t="s">
        <v>330</v>
      </c>
      <c r="D134" s="521" t="s">
        <v>830</v>
      </c>
      <c r="E134" s="522">
        <v>201612</v>
      </c>
      <c r="F134" s="523">
        <v>-89532.41</v>
      </c>
      <c r="G134" s="386" t="s">
        <v>449</v>
      </c>
      <c r="H134" s="386" t="s">
        <v>450</v>
      </c>
    </row>
    <row r="135" spans="1:8">
      <c r="A135" s="521" t="s">
        <v>318</v>
      </c>
      <c r="B135" s="522" t="s">
        <v>800</v>
      </c>
      <c r="C135" s="423" t="s">
        <v>330</v>
      </c>
      <c r="D135" s="521" t="s">
        <v>830</v>
      </c>
      <c r="E135" s="522">
        <v>201612</v>
      </c>
      <c r="F135" s="523">
        <v>-5018.29</v>
      </c>
      <c r="G135" s="386" t="s">
        <v>449</v>
      </c>
      <c r="H135" s="386" t="s">
        <v>450</v>
      </c>
    </row>
    <row r="136" spans="1:8">
      <c r="A136" s="521" t="s">
        <v>318</v>
      </c>
      <c r="B136" s="522" t="s">
        <v>800</v>
      </c>
      <c r="C136" s="423" t="s">
        <v>330</v>
      </c>
      <c r="D136" s="521" t="s">
        <v>830</v>
      </c>
      <c r="E136" s="522">
        <v>201612</v>
      </c>
      <c r="F136" s="523">
        <v>10100.209999999999</v>
      </c>
      <c r="G136" s="386" t="s">
        <v>449</v>
      </c>
      <c r="H136" s="386" t="s">
        <v>450</v>
      </c>
    </row>
    <row r="137" spans="1:8">
      <c r="A137" s="521" t="s">
        <v>318</v>
      </c>
      <c r="B137" s="522" t="s">
        <v>800</v>
      </c>
      <c r="C137" s="423" t="s">
        <v>330</v>
      </c>
      <c r="D137" s="521" t="s">
        <v>830</v>
      </c>
      <c r="E137" s="522">
        <v>201612</v>
      </c>
      <c r="F137" s="523">
        <v>71467.740000000005</v>
      </c>
      <c r="G137" s="386" t="s">
        <v>449</v>
      </c>
      <c r="H137" s="386" t="s">
        <v>450</v>
      </c>
    </row>
    <row r="138" spans="1:8">
      <c r="A138" s="521" t="s">
        <v>318</v>
      </c>
      <c r="B138" s="522" t="s">
        <v>629</v>
      </c>
      <c r="C138" s="423" t="s">
        <v>330</v>
      </c>
      <c r="D138" s="521" t="s">
        <v>630</v>
      </c>
      <c r="E138" s="522">
        <v>201612</v>
      </c>
      <c r="F138" s="523">
        <v>0.41</v>
      </c>
      <c r="G138" s="386" t="s">
        <v>449</v>
      </c>
      <c r="H138" s="386" t="s">
        <v>450</v>
      </c>
    </row>
    <row r="139" spans="1:8">
      <c r="A139" s="521" t="s">
        <v>318</v>
      </c>
      <c r="B139" s="522" t="s">
        <v>629</v>
      </c>
      <c r="C139" s="423" t="s">
        <v>330</v>
      </c>
      <c r="D139" s="521" t="s">
        <v>630</v>
      </c>
      <c r="E139" s="522">
        <v>201612</v>
      </c>
      <c r="F139" s="523">
        <v>20.149999999999999</v>
      </c>
      <c r="G139" s="386" t="s">
        <v>449</v>
      </c>
      <c r="H139" s="386" t="s">
        <v>450</v>
      </c>
    </row>
    <row r="140" spans="1:8">
      <c r="A140" s="521" t="s">
        <v>318</v>
      </c>
      <c r="B140" s="522" t="s">
        <v>838</v>
      </c>
      <c r="C140" s="423" t="s">
        <v>330</v>
      </c>
      <c r="D140" s="521" t="s">
        <v>1015</v>
      </c>
      <c r="E140" s="522">
        <v>201612</v>
      </c>
      <c r="F140" s="523">
        <v>-92226.54</v>
      </c>
      <c r="G140" s="386" t="s">
        <v>449</v>
      </c>
      <c r="H140" s="386" t="s">
        <v>450</v>
      </c>
    </row>
    <row r="141" spans="1:8">
      <c r="A141" s="521" t="s">
        <v>318</v>
      </c>
      <c r="B141" s="522" t="s">
        <v>838</v>
      </c>
      <c r="C141" s="423" t="s">
        <v>330</v>
      </c>
      <c r="D141" s="521" t="s">
        <v>1015</v>
      </c>
      <c r="E141" s="522">
        <v>201612</v>
      </c>
      <c r="F141" s="523">
        <v>82982.69</v>
      </c>
      <c r="G141" s="386" t="s">
        <v>449</v>
      </c>
      <c r="H141" s="386" t="s">
        <v>450</v>
      </c>
    </row>
    <row r="142" spans="1:8">
      <c r="A142" s="521" t="s">
        <v>318</v>
      </c>
      <c r="B142" s="522" t="s">
        <v>661</v>
      </c>
      <c r="C142" s="423" t="s">
        <v>330</v>
      </c>
      <c r="D142" s="521" t="s">
        <v>662</v>
      </c>
      <c r="E142" s="522">
        <v>201612</v>
      </c>
      <c r="F142" s="523">
        <v>-23.41</v>
      </c>
      <c r="G142" s="386" t="s">
        <v>449</v>
      </c>
      <c r="H142" s="386" t="s">
        <v>450</v>
      </c>
    </row>
    <row r="143" spans="1:8">
      <c r="A143" s="521" t="s">
        <v>318</v>
      </c>
      <c r="B143" s="522" t="s">
        <v>661</v>
      </c>
      <c r="C143" s="423" t="s">
        <v>330</v>
      </c>
      <c r="D143" s="521" t="s">
        <v>662</v>
      </c>
      <c r="E143" s="522">
        <v>201612</v>
      </c>
      <c r="F143" s="523">
        <v>-1.55</v>
      </c>
      <c r="G143" s="386" t="s">
        <v>449</v>
      </c>
      <c r="H143" s="386" t="s">
        <v>450</v>
      </c>
    </row>
    <row r="144" spans="1:8">
      <c r="A144" s="521" t="s">
        <v>318</v>
      </c>
      <c r="B144" s="522" t="s">
        <v>801</v>
      </c>
      <c r="C144" s="423" t="s">
        <v>330</v>
      </c>
      <c r="D144" s="521" t="s">
        <v>802</v>
      </c>
      <c r="E144" s="522">
        <v>201612</v>
      </c>
      <c r="F144" s="523">
        <v>-23.8</v>
      </c>
      <c r="G144" s="386" t="s">
        <v>449</v>
      </c>
      <c r="H144" s="386" t="s">
        <v>450</v>
      </c>
    </row>
    <row r="145" spans="1:8">
      <c r="A145" s="521" t="s">
        <v>318</v>
      </c>
      <c r="B145" s="522" t="s">
        <v>801</v>
      </c>
      <c r="C145" s="423" t="s">
        <v>330</v>
      </c>
      <c r="D145" s="521" t="s">
        <v>802</v>
      </c>
      <c r="E145" s="522">
        <v>201612</v>
      </c>
      <c r="F145" s="523">
        <v>-11.02</v>
      </c>
      <c r="G145" s="386" t="s">
        <v>449</v>
      </c>
      <c r="H145" s="386" t="s">
        <v>450</v>
      </c>
    </row>
    <row r="146" spans="1:8">
      <c r="A146" s="521" t="s">
        <v>318</v>
      </c>
      <c r="B146" s="522" t="s">
        <v>803</v>
      </c>
      <c r="C146" s="423" t="s">
        <v>330</v>
      </c>
      <c r="D146" s="521" t="s">
        <v>804</v>
      </c>
      <c r="E146" s="522">
        <v>201612</v>
      </c>
      <c r="F146" s="523">
        <v>-77.58</v>
      </c>
      <c r="G146" s="386" t="s">
        <v>449</v>
      </c>
      <c r="H146" s="386" t="s">
        <v>450</v>
      </c>
    </row>
    <row r="147" spans="1:8">
      <c r="A147" s="521" t="s">
        <v>318</v>
      </c>
      <c r="B147" s="522" t="s">
        <v>803</v>
      </c>
      <c r="C147" s="423" t="s">
        <v>330</v>
      </c>
      <c r="D147" s="521" t="s">
        <v>804</v>
      </c>
      <c r="E147" s="522">
        <v>201612</v>
      </c>
      <c r="F147" s="523">
        <v>-48.74</v>
      </c>
      <c r="G147" s="386" t="s">
        <v>449</v>
      </c>
      <c r="H147" s="386" t="s">
        <v>450</v>
      </c>
    </row>
    <row r="148" spans="1:8">
      <c r="A148" s="521" t="s">
        <v>318</v>
      </c>
      <c r="B148" s="522" t="s">
        <v>805</v>
      </c>
      <c r="C148" s="423" t="s">
        <v>330</v>
      </c>
      <c r="D148" s="521" t="s">
        <v>806</v>
      </c>
      <c r="E148" s="522">
        <v>201612</v>
      </c>
      <c r="F148" s="523">
        <v>0.1</v>
      </c>
      <c r="G148" s="386" t="s">
        <v>449</v>
      </c>
      <c r="H148" s="386" t="s">
        <v>450</v>
      </c>
    </row>
    <row r="149" spans="1:8">
      <c r="A149" s="521" t="s">
        <v>318</v>
      </c>
      <c r="B149" s="522" t="s">
        <v>805</v>
      </c>
      <c r="C149" s="423" t="s">
        <v>330</v>
      </c>
      <c r="D149" s="521" t="s">
        <v>806</v>
      </c>
      <c r="E149" s="522">
        <v>201612</v>
      </c>
      <c r="F149" s="523">
        <v>0.86</v>
      </c>
      <c r="G149" s="386" t="s">
        <v>449</v>
      </c>
      <c r="H149" s="386" t="s">
        <v>450</v>
      </c>
    </row>
    <row r="150" spans="1:8">
      <c r="A150" s="521" t="s">
        <v>318</v>
      </c>
      <c r="B150" s="522" t="s">
        <v>1067</v>
      </c>
      <c r="C150" s="423" t="s">
        <v>330</v>
      </c>
      <c r="D150" s="521" t="s">
        <v>1068</v>
      </c>
      <c r="E150" s="522">
        <v>201612</v>
      </c>
      <c r="F150" s="523">
        <v>21.36</v>
      </c>
      <c r="G150" s="386" t="s">
        <v>449</v>
      </c>
      <c r="H150" s="386" t="s">
        <v>450</v>
      </c>
    </row>
    <row r="151" spans="1:8">
      <c r="A151" s="521" t="s">
        <v>318</v>
      </c>
      <c r="B151" s="522" t="s">
        <v>1067</v>
      </c>
      <c r="C151" s="423" t="s">
        <v>330</v>
      </c>
      <c r="D151" s="521" t="s">
        <v>1068</v>
      </c>
      <c r="E151" s="522">
        <v>201612</v>
      </c>
      <c r="F151" s="523">
        <v>987.74</v>
      </c>
      <c r="G151" s="386" t="s">
        <v>449</v>
      </c>
      <c r="H151" s="386" t="s">
        <v>450</v>
      </c>
    </row>
    <row r="152" spans="1:8">
      <c r="A152" s="521" t="s">
        <v>318</v>
      </c>
      <c r="B152" s="522" t="s">
        <v>858</v>
      </c>
      <c r="C152" s="423" t="s">
        <v>329</v>
      </c>
      <c r="D152" s="521" t="s">
        <v>859</v>
      </c>
      <c r="E152" s="522">
        <v>201612</v>
      </c>
      <c r="F152" s="523">
        <v>-90.77</v>
      </c>
      <c r="G152" s="386" t="s">
        <v>449</v>
      </c>
      <c r="H152" s="386" t="s">
        <v>450</v>
      </c>
    </row>
    <row r="153" spans="1:8">
      <c r="A153" s="521" t="s">
        <v>318</v>
      </c>
      <c r="B153" s="522" t="s">
        <v>858</v>
      </c>
      <c r="C153" s="423" t="s">
        <v>329</v>
      </c>
      <c r="D153" s="521" t="s">
        <v>859</v>
      </c>
      <c r="E153" s="522">
        <v>201612</v>
      </c>
      <c r="F153" s="523">
        <v>-70.510000000000005</v>
      </c>
      <c r="G153" s="386" t="s">
        <v>449</v>
      </c>
      <c r="H153" s="386" t="s">
        <v>450</v>
      </c>
    </row>
    <row r="154" spans="1:8">
      <c r="A154" s="521" t="s">
        <v>318</v>
      </c>
      <c r="B154" s="522" t="s">
        <v>808</v>
      </c>
      <c r="C154" s="423" t="s">
        <v>329</v>
      </c>
      <c r="D154" s="521" t="s">
        <v>809</v>
      </c>
      <c r="E154" s="522">
        <v>201612</v>
      </c>
      <c r="F154" s="523">
        <v>-46.7</v>
      </c>
      <c r="G154" s="386" t="s">
        <v>449</v>
      </c>
      <c r="H154" s="386" t="s">
        <v>450</v>
      </c>
    </row>
    <row r="155" spans="1:8">
      <c r="A155" s="521" t="s">
        <v>318</v>
      </c>
      <c r="B155" s="522" t="s">
        <v>808</v>
      </c>
      <c r="C155" s="423" t="s">
        <v>329</v>
      </c>
      <c r="D155" s="521" t="s">
        <v>809</v>
      </c>
      <c r="E155" s="522">
        <v>201612</v>
      </c>
      <c r="F155" s="523">
        <v>-33.96</v>
      </c>
      <c r="G155" s="386" t="s">
        <v>449</v>
      </c>
      <c r="H155" s="386" t="s">
        <v>450</v>
      </c>
    </row>
    <row r="156" spans="1:8">
      <c r="A156" s="521" t="s">
        <v>322</v>
      </c>
      <c r="B156" s="522" t="s">
        <v>667</v>
      </c>
      <c r="C156" s="423" t="s">
        <v>329</v>
      </c>
      <c r="D156" s="521" t="s">
        <v>668</v>
      </c>
      <c r="E156" s="522">
        <v>201612</v>
      </c>
      <c r="F156" s="523">
        <v>-3.68</v>
      </c>
      <c r="G156" s="386" t="s">
        <v>449</v>
      </c>
      <c r="H156" s="386" t="s">
        <v>450</v>
      </c>
    </row>
    <row r="157" spans="1:8">
      <c r="A157" s="521" t="s">
        <v>318</v>
      </c>
      <c r="B157" s="522" t="s">
        <v>667</v>
      </c>
      <c r="C157" s="423" t="s">
        <v>329</v>
      </c>
      <c r="D157" s="521" t="s">
        <v>668</v>
      </c>
      <c r="E157" s="522">
        <v>201612</v>
      </c>
      <c r="F157" s="523">
        <v>-50.23</v>
      </c>
      <c r="G157" s="386" t="s">
        <v>449</v>
      </c>
      <c r="H157" s="386" t="s">
        <v>450</v>
      </c>
    </row>
    <row r="158" spans="1:8">
      <c r="A158" s="521" t="s">
        <v>318</v>
      </c>
      <c r="B158" s="522" t="s">
        <v>667</v>
      </c>
      <c r="C158" s="423" t="s">
        <v>329</v>
      </c>
      <c r="D158" s="521" t="s">
        <v>668</v>
      </c>
      <c r="E158" s="522">
        <v>201612</v>
      </c>
      <c r="F158" s="523">
        <v>-26.75</v>
      </c>
      <c r="G158" s="386" t="s">
        <v>449</v>
      </c>
      <c r="H158" s="386" t="s">
        <v>450</v>
      </c>
    </row>
    <row r="159" spans="1:8">
      <c r="A159" s="521" t="s">
        <v>318</v>
      </c>
      <c r="B159" s="522" t="s">
        <v>1033</v>
      </c>
      <c r="C159" s="423" t="s">
        <v>330</v>
      </c>
      <c r="D159" s="521" t="s">
        <v>1034</v>
      </c>
      <c r="E159" s="522">
        <v>201612</v>
      </c>
      <c r="F159" s="523">
        <v>26.22</v>
      </c>
      <c r="G159" s="386" t="s">
        <v>449</v>
      </c>
      <c r="H159" s="386" t="s">
        <v>450</v>
      </c>
    </row>
    <row r="160" spans="1:8">
      <c r="A160" s="521" t="s">
        <v>318</v>
      </c>
      <c r="B160" s="522" t="s">
        <v>1033</v>
      </c>
      <c r="C160" s="423" t="s">
        <v>330</v>
      </c>
      <c r="D160" s="521" t="s">
        <v>1034</v>
      </c>
      <c r="E160" s="522">
        <v>201612</v>
      </c>
      <c r="F160" s="523">
        <v>477.91</v>
      </c>
      <c r="G160" s="386" t="s">
        <v>449</v>
      </c>
      <c r="H160" s="386" t="s">
        <v>450</v>
      </c>
    </row>
    <row r="161" spans="1:8">
      <c r="A161" s="521" t="s">
        <v>318</v>
      </c>
      <c r="B161" s="522" t="s">
        <v>832</v>
      </c>
      <c r="C161" s="423" t="s">
        <v>330</v>
      </c>
      <c r="D161" s="521" t="s">
        <v>833</v>
      </c>
      <c r="E161" s="522">
        <v>201612</v>
      </c>
      <c r="F161" s="523">
        <v>0.13</v>
      </c>
      <c r="G161" s="386" t="s">
        <v>449</v>
      </c>
      <c r="H161" s="386" t="s">
        <v>450</v>
      </c>
    </row>
    <row r="162" spans="1:8">
      <c r="A162" s="521" t="s">
        <v>318</v>
      </c>
      <c r="B162" s="522" t="s">
        <v>832</v>
      </c>
      <c r="C162" s="423" t="s">
        <v>330</v>
      </c>
      <c r="D162" s="521" t="s">
        <v>833</v>
      </c>
      <c r="E162" s="522">
        <v>201612</v>
      </c>
      <c r="F162" s="523">
        <v>6.18</v>
      </c>
      <c r="G162" s="386" t="s">
        <v>449</v>
      </c>
      <c r="H162" s="386" t="s">
        <v>450</v>
      </c>
    </row>
    <row r="163" spans="1:8">
      <c r="A163" s="521" t="s">
        <v>318</v>
      </c>
      <c r="B163" s="522" t="s">
        <v>947</v>
      </c>
      <c r="C163" s="423" t="s">
        <v>330</v>
      </c>
      <c r="D163" s="521" t="s">
        <v>948</v>
      </c>
      <c r="E163" s="522">
        <v>201612</v>
      </c>
      <c r="F163" s="523">
        <v>7.51</v>
      </c>
      <c r="G163" s="386" t="s">
        <v>449</v>
      </c>
      <c r="H163" s="386" t="s">
        <v>450</v>
      </c>
    </row>
    <row r="164" spans="1:8">
      <c r="A164" s="521" t="s">
        <v>318</v>
      </c>
      <c r="B164" s="522" t="s">
        <v>947</v>
      </c>
      <c r="C164" s="423" t="s">
        <v>330</v>
      </c>
      <c r="D164" s="521" t="s">
        <v>948</v>
      </c>
      <c r="E164" s="522">
        <v>201612</v>
      </c>
      <c r="F164" s="523">
        <v>209.41</v>
      </c>
      <c r="G164" s="386" t="s">
        <v>449</v>
      </c>
      <c r="H164" s="386" t="s">
        <v>450</v>
      </c>
    </row>
    <row r="165" spans="1:8">
      <c r="A165" s="521" t="s">
        <v>318</v>
      </c>
      <c r="B165" s="522" t="s">
        <v>834</v>
      </c>
      <c r="C165" s="423" t="s">
        <v>330</v>
      </c>
      <c r="D165" s="521" t="s">
        <v>835</v>
      </c>
      <c r="E165" s="522">
        <v>201612</v>
      </c>
      <c r="F165" s="523">
        <v>-456957.15</v>
      </c>
      <c r="G165" s="386" t="s">
        <v>449</v>
      </c>
      <c r="H165" s="386" t="s">
        <v>450</v>
      </c>
    </row>
    <row r="166" spans="1:8">
      <c r="A166" s="521" t="s">
        <v>318</v>
      </c>
      <c r="B166" s="522" t="s">
        <v>834</v>
      </c>
      <c r="C166" s="423" t="s">
        <v>330</v>
      </c>
      <c r="D166" s="521" t="s">
        <v>835</v>
      </c>
      <c r="E166" s="522">
        <v>201612</v>
      </c>
      <c r="F166" s="523">
        <v>-55531</v>
      </c>
      <c r="G166" s="386" t="s">
        <v>449</v>
      </c>
      <c r="H166" s="386" t="s">
        <v>450</v>
      </c>
    </row>
    <row r="167" spans="1:8">
      <c r="A167" s="521" t="s">
        <v>318</v>
      </c>
      <c r="B167" s="522" t="s">
        <v>951</v>
      </c>
      <c r="C167" s="423" t="s">
        <v>330</v>
      </c>
      <c r="D167" s="521" t="s">
        <v>952</v>
      </c>
      <c r="E167" s="522">
        <v>201612</v>
      </c>
      <c r="F167" s="523">
        <v>-138.94</v>
      </c>
      <c r="G167" s="386" t="s">
        <v>449</v>
      </c>
      <c r="H167" s="386" t="s">
        <v>450</v>
      </c>
    </row>
    <row r="168" spans="1:8">
      <c r="A168" s="521" t="s">
        <v>318</v>
      </c>
      <c r="B168" s="522" t="s">
        <v>951</v>
      </c>
      <c r="C168" s="423" t="s">
        <v>330</v>
      </c>
      <c r="D168" s="521" t="s">
        <v>952</v>
      </c>
      <c r="E168" s="522">
        <v>201612</v>
      </c>
      <c r="F168" s="523">
        <v>-4.46</v>
      </c>
      <c r="G168" s="386" t="s">
        <v>449</v>
      </c>
      <c r="H168" s="386" t="s">
        <v>450</v>
      </c>
    </row>
    <row r="169" spans="1:8">
      <c r="A169" s="521" t="s">
        <v>318</v>
      </c>
      <c r="B169" s="522" t="s">
        <v>953</v>
      </c>
      <c r="C169" s="423" t="s">
        <v>330</v>
      </c>
      <c r="D169" s="521" t="s">
        <v>954</v>
      </c>
      <c r="E169" s="522">
        <v>201612</v>
      </c>
      <c r="F169" s="523">
        <v>5326</v>
      </c>
      <c r="G169" s="386" t="s">
        <v>449</v>
      </c>
      <c r="H169" s="386" t="s">
        <v>450</v>
      </c>
    </row>
    <row r="170" spans="1:8">
      <c r="A170" s="521" t="s">
        <v>318</v>
      </c>
      <c r="B170" s="522" t="s">
        <v>953</v>
      </c>
      <c r="C170" s="423" t="s">
        <v>330</v>
      </c>
      <c r="D170" s="521" t="s">
        <v>954</v>
      </c>
      <c r="E170" s="522">
        <v>201612</v>
      </c>
      <c r="F170" s="523">
        <v>12515.84</v>
      </c>
      <c r="G170" s="386" t="s">
        <v>449</v>
      </c>
      <c r="H170" s="386" t="s">
        <v>450</v>
      </c>
    </row>
    <row r="171" spans="1:8">
      <c r="A171" s="521" t="s">
        <v>318</v>
      </c>
      <c r="B171" s="522" t="s">
        <v>955</v>
      </c>
      <c r="C171" s="423" t="s">
        <v>330</v>
      </c>
      <c r="D171" s="521" t="s">
        <v>956</v>
      </c>
      <c r="E171" s="522">
        <v>201612</v>
      </c>
      <c r="F171" s="523">
        <v>0.38</v>
      </c>
      <c r="G171" s="386" t="s">
        <v>449</v>
      </c>
      <c r="H171" s="386" t="s">
        <v>450</v>
      </c>
    </row>
    <row r="172" spans="1:8">
      <c r="A172" s="521" t="s">
        <v>318</v>
      </c>
      <c r="B172" s="522" t="s">
        <v>955</v>
      </c>
      <c r="C172" s="423" t="s">
        <v>330</v>
      </c>
      <c r="D172" s="521" t="s">
        <v>956</v>
      </c>
      <c r="E172" s="522">
        <v>201612</v>
      </c>
      <c r="F172" s="523">
        <v>11.42</v>
      </c>
      <c r="G172" s="386" t="s">
        <v>449</v>
      </c>
      <c r="H172" s="386" t="s">
        <v>450</v>
      </c>
    </row>
    <row r="173" spans="1:8">
      <c r="A173" s="521" t="s">
        <v>318</v>
      </c>
      <c r="B173" s="522" t="s">
        <v>672</v>
      </c>
      <c r="C173" s="423" t="s">
        <v>330</v>
      </c>
      <c r="D173" s="521" t="s">
        <v>673</v>
      </c>
      <c r="E173" s="522">
        <v>201612</v>
      </c>
      <c r="F173" s="523">
        <v>-92.08</v>
      </c>
      <c r="G173" s="386" t="s">
        <v>449</v>
      </c>
      <c r="H173" s="386" t="s">
        <v>450</v>
      </c>
    </row>
    <row r="174" spans="1:8">
      <c r="A174" s="521" t="s">
        <v>318</v>
      </c>
      <c r="B174" s="522" t="s">
        <v>814</v>
      </c>
      <c r="C174" s="423" t="s">
        <v>330</v>
      </c>
      <c r="D174" s="521" t="s">
        <v>815</v>
      </c>
      <c r="E174" s="522">
        <v>201612</v>
      </c>
      <c r="F174" s="523">
        <v>72441.429999999993</v>
      </c>
      <c r="G174" s="386" t="s">
        <v>449</v>
      </c>
      <c r="H174" s="386" t="s">
        <v>450</v>
      </c>
    </row>
    <row r="175" spans="1:8">
      <c r="A175" s="521" t="s">
        <v>318</v>
      </c>
      <c r="B175" s="522" t="s">
        <v>814</v>
      </c>
      <c r="C175" s="423" t="s">
        <v>330</v>
      </c>
      <c r="D175" s="521" t="s">
        <v>815</v>
      </c>
      <c r="E175" s="522">
        <v>201612</v>
      </c>
      <c r="F175" s="523">
        <v>75297.440000000002</v>
      </c>
      <c r="G175" s="386" t="s">
        <v>449</v>
      </c>
      <c r="H175" s="386" t="s">
        <v>450</v>
      </c>
    </row>
    <row r="176" spans="1:8">
      <c r="A176" s="521" t="s">
        <v>318</v>
      </c>
      <c r="B176" s="522" t="s">
        <v>961</v>
      </c>
      <c r="C176" s="423" t="s">
        <v>330</v>
      </c>
      <c r="D176" s="521" t="s">
        <v>962</v>
      </c>
      <c r="E176" s="522">
        <v>201612</v>
      </c>
      <c r="F176" s="523">
        <v>-126.79</v>
      </c>
      <c r="G176" s="386" t="s">
        <v>449</v>
      </c>
      <c r="H176" s="386" t="s">
        <v>450</v>
      </c>
    </row>
    <row r="177" spans="1:8">
      <c r="A177" s="521" t="s">
        <v>318</v>
      </c>
      <c r="B177" s="522" t="s">
        <v>961</v>
      </c>
      <c r="C177" s="423" t="s">
        <v>330</v>
      </c>
      <c r="D177" s="521" t="s">
        <v>962</v>
      </c>
      <c r="E177" s="522">
        <v>201612</v>
      </c>
      <c r="F177" s="523">
        <v>-7.9</v>
      </c>
      <c r="G177" s="386" t="s">
        <v>449</v>
      </c>
      <c r="H177" s="386" t="s">
        <v>450</v>
      </c>
    </row>
    <row r="178" spans="1:8">
      <c r="A178" s="521" t="s">
        <v>318</v>
      </c>
      <c r="B178" s="522" t="s">
        <v>963</v>
      </c>
      <c r="C178" s="423" t="s">
        <v>330</v>
      </c>
      <c r="D178" s="521" t="s">
        <v>964</v>
      </c>
      <c r="E178" s="522">
        <v>201612</v>
      </c>
      <c r="F178" s="523">
        <v>8.17</v>
      </c>
      <c r="G178" s="386" t="s">
        <v>449</v>
      </c>
      <c r="H178" s="386" t="s">
        <v>450</v>
      </c>
    </row>
    <row r="179" spans="1:8">
      <c r="A179" s="521" t="s">
        <v>318</v>
      </c>
      <c r="B179" s="522" t="s">
        <v>963</v>
      </c>
      <c r="C179" s="423" t="s">
        <v>330</v>
      </c>
      <c r="D179" s="521" t="s">
        <v>964</v>
      </c>
      <c r="E179" s="522">
        <v>201612</v>
      </c>
      <c r="F179" s="523">
        <v>105.05</v>
      </c>
      <c r="G179" s="386" t="s">
        <v>449</v>
      </c>
      <c r="H179" s="386" t="s">
        <v>450</v>
      </c>
    </row>
    <row r="180" spans="1:8">
      <c r="A180" s="521" t="s">
        <v>318</v>
      </c>
      <c r="B180" s="522" t="s">
        <v>842</v>
      </c>
      <c r="C180" s="423" t="s">
        <v>330</v>
      </c>
      <c r="D180" s="521" t="s">
        <v>843</v>
      </c>
      <c r="E180" s="522">
        <v>201612</v>
      </c>
      <c r="F180" s="523">
        <v>-950025.59</v>
      </c>
      <c r="G180" s="386" t="s">
        <v>449</v>
      </c>
      <c r="H180" s="386" t="s">
        <v>450</v>
      </c>
    </row>
    <row r="181" spans="1:8">
      <c r="A181" s="521" t="s">
        <v>318</v>
      </c>
      <c r="B181" s="522" t="s">
        <v>842</v>
      </c>
      <c r="C181" s="423" t="s">
        <v>330</v>
      </c>
      <c r="D181" s="521" t="s">
        <v>843</v>
      </c>
      <c r="E181" s="522">
        <v>201612</v>
      </c>
      <c r="F181" s="523">
        <v>-65717.08</v>
      </c>
      <c r="G181" s="386" t="s">
        <v>449</v>
      </c>
      <c r="H181" s="386" t="s">
        <v>450</v>
      </c>
    </row>
    <row r="182" spans="1:8">
      <c r="A182" s="521" t="s">
        <v>318</v>
      </c>
      <c r="B182" s="522" t="s">
        <v>842</v>
      </c>
      <c r="C182" s="423" t="s">
        <v>330</v>
      </c>
      <c r="D182" s="521" t="s">
        <v>843</v>
      </c>
      <c r="E182" s="522">
        <v>201612</v>
      </c>
      <c r="F182" s="523">
        <v>180514.63</v>
      </c>
      <c r="G182" s="386" t="s">
        <v>449</v>
      </c>
      <c r="H182" s="386" t="s">
        <v>450</v>
      </c>
    </row>
    <row r="183" spans="1:8">
      <c r="A183" s="521" t="s">
        <v>318</v>
      </c>
      <c r="B183" s="522" t="s">
        <v>842</v>
      </c>
      <c r="C183" s="423" t="s">
        <v>330</v>
      </c>
      <c r="D183" s="521" t="s">
        <v>843</v>
      </c>
      <c r="E183" s="522">
        <v>201612</v>
      </c>
      <c r="F183" s="523">
        <v>835768.31</v>
      </c>
      <c r="G183" s="386" t="s">
        <v>449</v>
      </c>
      <c r="H183" s="386" t="s">
        <v>450</v>
      </c>
    </row>
    <row r="184" spans="1:8">
      <c r="A184" s="521" t="s">
        <v>318</v>
      </c>
      <c r="B184" s="522" t="s">
        <v>844</v>
      </c>
      <c r="C184" s="423" t="s">
        <v>329</v>
      </c>
      <c r="D184" s="521" t="s">
        <v>845</v>
      </c>
      <c r="E184" s="522">
        <v>201612</v>
      </c>
      <c r="F184" s="523">
        <v>-414.62</v>
      </c>
      <c r="G184" s="386" t="s">
        <v>449</v>
      </c>
      <c r="H184" s="386" t="s">
        <v>450</v>
      </c>
    </row>
    <row r="185" spans="1:8">
      <c r="A185" s="521" t="s">
        <v>318</v>
      </c>
      <c r="B185" s="522" t="s">
        <v>844</v>
      </c>
      <c r="C185" s="423" t="s">
        <v>329</v>
      </c>
      <c r="D185" s="521" t="s">
        <v>845</v>
      </c>
      <c r="E185" s="522">
        <v>201612</v>
      </c>
      <c r="F185" s="523">
        <v>-322.36</v>
      </c>
      <c r="G185" s="386" t="s">
        <v>449</v>
      </c>
      <c r="H185" s="386" t="s">
        <v>450</v>
      </c>
    </row>
    <row r="186" spans="1:8">
      <c r="A186" s="521" t="s">
        <v>318</v>
      </c>
      <c r="B186" s="522" t="s">
        <v>1035</v>
      </c>
      <c r="C186" s="423" t="s">
        <v>329</v>
      </c>
      <c r="D186" s="521" t="s">
        <v>1036</v>
      </c>
      <c r="E186" s="522">
        <v>201612</v>
      </c>
      <c r="F186" s="523">
        <v>-78.45</v>
      </c>
      <c r="G186" s="386" t="s">
        <v>449</v>
      </c>
      <c r="H186" s="386" t="s">
        <v>450</v>
      </c>
    </row>
    <row r="187" spans="1:8">
      <c r="A187" s="521" t="s">
        <v>318</v>
      </c>
      <c r="B187" s="522" t="s">
        <v>1035</v>
      </c>
      <c r="C187" s="423" t="s">
        <v>329</v>
      </c>
      <c r="D187" s="521" t="s">
        <v>1036</v>
      </c>
      <c r="E187" s="522">
        <v>201612</v>
      </c>
      <c r="F187" s="523">
        <v>-2.21</v>
      </c>
      <c r="G187" s="386" t="s">
        <v>449</v>
      </c>
      <c r="H187" s="386" t="s">
        <v>450</v>
      </c>
    </row>
    <row r="188" spans="1:8">
      <c r="A188" s="521" t="s">
        <v>318</v>
      </c>
      <c r="B188" s="522" t="s">
        <v>862</v>
      </c>
      <c r="C188" s="423" t="s">
        <v>330</v>
      </c>
      <c r="D188" s="521" t="s">
        <v>863</v>
      </c>
      <c r="E188" s="522">
        <v>201612</v>
      </c>
      <c r="F188" s="523">
        <v>-89463.92</v>
      </c>
      <c r="G188" s="386" t="s">
        <v>449</v>
      </c>
      <c r="H188" s="386" t="s">
        <v>450</v>
      </c>
    </row>
    <row r="189" spans="1:8">
      <c r="A189" s="521" t="s">
        <v>318</v>
      </c>
      <c r="B189" s="522" t="s">
        <v>862</v>
      </c>
      <c r="C189" s="423" t="s">
        <v>330</v>
      </c>
      <c r="D189" s="521" t="s">
        <v>863</v>
      </c>
      <c r="E189" s="522">
        <v>201612</v>
      </c>
      <c r="F189" s="523">
        <v>2852.43</v>
      </c>
      <c r="G189" s="386" t="s">
        <v>449</v>
      </c>
      <c r="H189" s="386" t="s">
        <v>450</v>
      </c>
    </row>
    <row r="190" spans="1:8">
      <c r="A190" s="521" t="s">
        <v>318</v>
      </c>
      <c r="B190" s="522" t="s">
        <v>967</v>
      </c>
      <c r="C190" s="423" t="s">
        <v>330</v>
      </c>
      <c r="D190" s="521" t="s">
        <v>968</v>
      </c>
      <c r="E190" s="522">
        <v>201612</v>
      </c>
      <c r="F190" s="523">
        <v>7.95</v>
      </c>
      <c r="G190" s="386" t="s">
        <v>449</v>
      </c>
      <c r="H190" s="386" t="s">
        <v>450</v>
      </c>
    </row>
    <row r="191" spans="1:8">
      <c r="A191" s="521" t="s">
        <v>318</v>
      </c>
      <c r="B191" s="522" t="s">
        <v>967</v>
      </c>
      <c r="C191" s="423" t="s">
        <v>330</v>
      </c>
      <c r="D191" s="521" t="s">
        <v>968</v>
      </c>
      <c r="E191" s="522">
        <v>201612</v>
      </c>
      <c r="F191" s="523">
        <v>210.4</v>
      </c>
      <c r="G191" s="386" t="s">
        <v>449</v>
      </c>
      <c r="H191" s="386" t="s">
        <v>450</v>
      </c>
    </row>
    <row r="192" spans="1:8">
      <c r="A192" s="521" t="s">
        <v>318</v>
      </c>
      <c r="B192" s="522" t="s">
        <v>682</v>
      </c>
      <c r="C192" s="423" t="s">
        <v>330</v>
      </c>
      <c r="D192" s="521" t="s">
        <v>683</v>
      </c>
      <c r="E192" s="522">
        <v>201612</v>
      </c>
      <c r="F192" s="523">
        <v>356.49</v>
      </c>
      <c r="G192" s="386" t="s">
        <v>449</v>
      </c>
      <c r="H192" s="386" t="s">
        <v>450</v>
      </c>
    </row>
    <row r="193" spans="1:8">
      <c r="A193" s="521" t="s">
        <v>318</v>
      </c>
      <c r="B193" s="522" t="s">
        <v>682</v>
      </c>
      <c r="C193" s="423" t="s">
        <v>330</v>
      </c>
      <c r="D193" s="521" t="s">
        <v>683</v>
      </c>
      <c r="E193" s="522">
        <v>201612</v>
      </c>
      <c r="F193" s="523">
        <v>8545.99</v>
      </c>
      <c r="G193" s="386" t="s">
        <v>449</v>
      </c>
      <c r="H193" s="386" t="s">
        <v>450</v>
      </c>
    </row>
    <row r="194" spans="1:8">
      <c r="A194" s="521" t="s">
        <v>318</v>
      </c>
      <c r="B194" s="522" t="s">
        <v>846</v>
      </c>
      <c r="C194" s="423" t="s">
        <v>330</v>
      </c>
      <c r="D194" s="521" t="s">
        <v>847</v>
      </c>
      <c r="E194" s="522">
        <v>201612</v>
      </c>
      <c r="F194" s="523">
        <v>38.85</v>
      </c>
      <c r="G194" s="386" t="s">
        <v>449</v>
      </c>
      <c r="H194" s="386" t="s">
        <v>450</v>
      </c>
    </row>
    <row r="195" spans="1:8">
      <c r="A195" s="521" t="s">
        <v>318</v>
      </c>
      <c r="B195" s="522" t="s">
        <v>846</v>
      </c>
      <c r="C195" s="423" t="s">
        <v>330</v>
      </c>
      <c r="D195" s="521" t="s">
        <v>847</v>
      </c>
      <c r="E195" s="522">
        <v>201612</v>
      </c>
      <c r="F195" s="523">
        <v>406.21</v>
      </c>
      <c r="G195" s="386" t="s">
        <v>449</v>
      </c>
      <c r="H195" s="386" t="s">
        <v>450</v>
      </c>
    </row>
    <row r="196" spans="1:8">
      <c r="A196" s="521" t="s">
        <v>322</v>
      </c>
      <c r="B196" s="522" t="s">
        <v>1106</v>
      </c>
      <c r="C196" s="423" t="s">
        <v>330</v>
      </c>
      <c r="D196" s="521" t="s">
        <v>1107</v>
      </c>
      <c r="E196" s="522">
        <v>201612</v>
      </c>
      <c r="F196" s="523">
        <v>621.71</v>
      </c>
      <c r="G196" s="386" t="s">
        <v>449</v>
      </c>
      <c r="H196" s="386" t="s">
        <v>450</v>
      </c>
    </row>
    <row r="197" spans="1:8">
      <c r="A197" s="521" t="s">
        <v>318</v>
      </c>
      <c r="B197" s="522" t="s">
        <v>1106</v>
      </c>
      <c r="C197" s="423" t="s">
        <v>330</v>
      </c>
      <c r="D197" s="521" t="s">
        <v>1107</v>
      </c>
      <c r="E197" s="522">
        <v>201612</v>
      </c>
      <c r="F197" s="523">
        <v>15673.6</v>
      </c>
      <c r="G197" s="386" t="s">
        <v>449</v>
      </c>
      <c r="H197" s="386" t="s">
        <v>450</v>
      </c>
    </row>
    <row r="198" spans="1:8">
      <c r="A198" s="521" t="s">
        <v>318</v>
      </c>
      <c r="B198" s="522" t="s">
        <v>1106</v>
      </c>
      <c r="C198" s="423" t="s">
        <v>330</v>
      </c>
      <c r="D198" s="521" t="s">
        <v>1107</v>
      </c>
      <c r="E198" s="522">
        <v>201612</v>
      </c>
      <c r="F198" s="523">
        <v>194730.47</v>
      </c>
      <c r="G198" s="386" t="s">
        <v>449</v>
      </c>
      <c r="H198" s="386" t="s">
        <v>450</v>
      </c>
    </row>
    <row r="199" spans="1:8">
      <c r="A199" s="521" t="s">
        <v>318</v>
      </c>
      <c r="B199" s="522" t="s">
        <v>848</v>
      </c>
      <c r="C199" s="423" t="s">
        <v>329</v>
      </c>
      <c r="D199" s="521" t="s">
        <v>849</v>
      </c>
      <c r="E199" s="522">
        <v>201612</v>
      </c>
      <c r="F199" s="523">
        <v>44.67</v>
      </c>
      <c r="G199" s="386" t="s">
        <v>449</v>
      </c>
      <c r="H199" s="386" t="s">
        <v>450</v>
      </c>
    </row>
    <row r="200" spans="1:8">
      <c r="A200" s="521" t="s">
        <v>318</v>
      </c>
      <c r="B200" s="522" t="s">
        <v>848</v>
      </c>
      <c r="C200" s="423" t="s">
        <v>329</v>
      </c>
      <c r="D200" s="521" t="s">
        <v>849</v>
      </c>
      <c r="E200" s="522">
        <v>201612</v>
      </c>
      <c r="F200" s="523">
        <v>189.5</v>
      </c>
      <c r="G200" s="386" t="s">
        <v>449</v>
      </c>
      <c r="H200" s="386" t="s">
        <v>450</v>
      </c>
    </row>
    <row r="201" spans="1:8">
      <c r="A201" s="521" t="s">
        <v>318</v>
      </c>
      <c r="B201" s="522" t="s">
        <v>971</v>
      </c>
      <c r="C201" s="423" t="s">
        <v>329</v>
      </c>
      <c r="D201" s="521" t="s">
        <v>972</v>
      </c>
      <c r="E201" s="522">
        <v>201612</v>
      </c>
      <c r="F201" s="523">
        <v>1.45</v>
      </c>
      <c r="G201" s="386" t="s">
        <v>449</v>
      </c>
      <c r="H201" s="386" t="s">
        <v>450</v>
      </c>
    </row>
    <row r="202" spans="1:8">
      <c r="A202" s="521" t="s">
        <v>318</v>
      </c>
      <c r="B202" s="522" t="s">
        <v>971</v>
      </c>
      <c r="C202" s="423" t="s">
        <v>329</v>
      </c>
      <c r="D202" s="521" t="s">
        <v>972</v>
      </c>
      <c r="E202" s="522">
        <v>201612</v>
      </c>
      <c r="F202" s="523">
        <v>15.92</v>
      </c>
      <c r="G202" s="386" t="s">
        <v>449</v>
      </c>
      <c r="H202" s="386" t="s">
        <v>450</v>
      </c>
    </row>
    <row r="203" spans="1:8">
      <c r="A203" s="521" t="s">
        <v>322</v>
      </c>
      <c r="B203" s="522" t="s">
        <v>822</v>
      </c>
      <c r="C203" s="423" t="s">
        <v>330</v>
      </c>
      <c r="D203" s="521" t="s">
        <v>823</v>
      </c>
      <c r="E203" s="522">
        <v>201612</v>
      </c>
      <c r="F203" s="523">
        <v>-6.07</v>
      </c>
      <c r="G203" s="386" t="s">
        <v>449</v>
      </c>
      <c r="H203" s="386" t="s">
        <v>450</v>
      </c>
    </row>
    <row r="204" spans="1:8">
      <c r="A204" s="521" t="s">
        <v>322</v>
      </c>
      <c r="B204" s="522" t="s">
        <v>822</v>
      </c>
      <c r="C204" s="423" t="s">
        <v>330</v>
      </c>
      <c r="D204" s="521" t="s">
        <v>823</v>
      </c>
      <c r="E204" s="522">
        <v>201612</v>
      </c>
      <c r="F204" s="523">
        <v>-0.01</v>
      </c>
      <c r="G204" s="386" t="s">
        <v>449</v>
      </c>
      <c r="H204" s="386" t="s">
        <v>450</v>
      </c>
    </row>
    <row r="205" spans="1:8">
      <c r="A205" s="521" t="s">
        <v>318</v>
      </c>
      <c r="B205" s="522" t="s">
        <v>822</v>
      </c>
      <c r="C205" s="423" t="s">
        <v>330</v>
      </c>
      <c r="D205" s="521" t="s">
        <v>823</v>
      </c>
      <c r="E205" s="522">
        <v>201612</v>
      </c>
      <c r="F205" s="523">
        <v>-49.15</v>
      </c>
      <c r="G205" s="386" t="s">
        <v>449</v>
      </c>
      <c r="H205" s="386" t="s">
        <v>450</v>
      </c>
    </row>
    <row r="206" spans="1:8">
      <c r="A206" s="521" t="s">
        <v>318</v>
      </c>
      <c r="B206" s="522" t="s">
        <v>822</v>
      </c>
      <c r="C206" s="423" t="s">
        <v>330</v>
      </c>
      <c r="D206" s="521" t="s">
        <v>823</v>
      </c>
      <c r="E206" s="522">
        <v>201612</v>
      </c>
      <c r="F206" s="523">
        <v>-38.590000000000003</v>
      </c>
      <c r="G206" s="386" t="s">
        <v>449</v>
      </c>
      <c r="H206" s="386" t="s">
        <v>450</v>
      </c>
    </row>
    <row r="207" spans="1:8">
      <c r="A207" s="521" t="s">
        <v>318</v>
      </c>
      <c r="B207" s="522" t="s">
        <v>822</v>
      </c>
      <c r="C207" s="423" t="s">
        <v>330</v>
      </c>
      <c r="D207" s="521" t="s">
        <v>823</v>
      </c>
      <c r="E207" s="522">
        <v>201612</v>
      </c>
      <c r="F207" s="523">
        <v>-2.93</v>
      </c>
      <c r="G207" s="386" t="s">
        <v>449</v>
      </c>
      <c r="H207" s="386" t="s">
        <v>450</v>
      </c>
    </row>
    <row r="208" spans="1:8">
      <c r="A208" s="521" t="s">
        <v>318</v>
      </c>
      <c r="B208" s="522" t="s">
        <v>973</v>
      </c>
      <c r="C208" s="423" t="s">
        <v>330</v>
      </c>
      <c r="D208" s="521" t="s">
        <v>974</v>
      </c>
      <c r="E208" s="522">
        <v>201612</v>
      </c>
      <c r="F208" s="523">
        <v>84.24</v>
      </c>
      <c r="G208" s="386" t="s">
        <v>449</v>
      </c>
      <c r="H208" s="386" t="s">
        <v>450</v>
      </c>
    </row>
    <row r="209" spans="1:8">
      <c r="A209" s="521" t="s">
        <v>318</v>
      </c>
      <c r="B209" s="522" t="s">
        <v>973</v>
      </c>
      <c r="C209" s="423" t="s">
        <v>330</v>
      </c>
      <c r="D209" s="521" t="s">
        <v>974</v>
      </c>
      <c r="E209" s="522">
        <v>201612</v>
      </c>
      <c r="F209" s="523">
        <v>2162.9699999999998</v>
      </c>
      <c r="G209" s="386" t="s">
        <v>449</v>
      </c>
      <c r="H209" s="386" t="s">
        <v>450</v>
      </c>
    </row>
    <row r="210" spans="1:8">
      <c r="A210" s="521" t="s">
        <v>318</v>
      </c>
      <c r="B210" s="522" t="s">
        <v>868</v>
      </c>
      <c r="C210" s="423" t="s">
        <v>330</v>
      </c>
      <c r="D210" s="521" t="s">
        <v>869</v>
      </c>
      <c r="E210" s="522">
        <v>201612</v>
      </c>
      <c r="F210" s="523">
        <v>78.11</v>
      </c>
      <c r="G210" s="386" t="s">
        <v>449</v>
      </c>
      <c r="H210" s="386" t="s">
        <v>450</v>
      </c>
    </row>
    <row r="211" spans="1:8">
      <c r="A211" s="521" t="s">
        <v>318</v>
      </c>
      <c r="B211" s="522" t="s">
        <v>868</v>
      </c>
      <c r="C211" s="423" t="s">
        <v>330</v>
      </c>
      <c r="D211" s="521" t="s">
        <v>869</v>
      </c>
      <c r="E211" s="522">
        <v>201612</v>
      </c>
      <c r="F211" s="523">
        <v>355.91</v>
      </c>
      <c r="G211" s="386" t="s">
        <v>449</v>
      </c>
      <c r="H211" s="386" t="s">
        <v>450</v>
      </c>
    </row>
    <row r="212" spans="1:8">
      <c r="A212" s="521" t="s">
        <v>318</v>
      </c>
      <c r="B212" s="522" t="s">
        <v>1108</v>
      </c>
      <c r="C212" s="423" t="s">
        <v>330</v>
      </c>
      <c r="D212" s="521" t="s">
        <v>1109</v>
      </c>
      <c r="E212" s="522">
        <v>201612</v>
      </c>
      <c r="F212" s="523">
        <v>6083.13</v>
      </c>
      <c r="G212" s="386" t="s">
        <v>449</v>
      </c>
      <c r="H212" s="386" t="s">
        <v>450</v>
      </c>
    </row>
    <row r="213" spans="1:8">
      <c r="A213" s="521" t="s">
        <v>318</v>
      </c>
      <c r="B213" s="522" t="s">
        <v>1108</v>
      </c>
      <c r="C213" s="423" t="s">
        <v>330</v>
      </c>
      <c r="D213" s="521" t="s">
        <v>1109</v>
      </c>
      <c r="E213" s="522">
        <v>201612</v>
      </c>
      <c r="F213" s="523">
        <v>206561.57</v>
      </c>
      <c r="G213" s="386" t="s">
        <v>449</v>
      </c>
      <c r="H213" s="386" t="s">
        <v>450</v>
      </c>
    </row>
    <row r="214" spans="1:8">
      <c r="A214" s="521" t="s">
        <v>318</v>
      </c>
      <c r="B214" s="522" t="s">
        <v>1037</v>
      </c>
      <c r="C214" s="423" t="s">
        <v>329</v>
      </c>
      <c r="D214" s="521" t="s">
        <v>1038</v>
      </c>
      <c r="E214" s="522">
        <v>201612</v>
      </c>
      <c r="F214" s="523">
        <v>-964.24</v>
      </c>
      <c r="G214" s="386" t="s">
        <v>449</v>
      </c>
      <c r="H214" s="386" t="s">
        <v>450</v>
      </c>
    </row>
    <row r="215" spans="1:8">
      <c r="A215" s="521" t="s">
        <v>318</v>
      </c>
      <c r="B215" s="522" t="s">
        <v>1037</v>
      </c>
      <c r="C215" s="423" t="s">
        <v>329</v>
      </c>
      <c r="D215" s="521" t="s">
        <v>1038</v>
      </c>
      <c r="E215" s="522">
        <v>201612</v>
      </c>
      <c r="F215" s="523">
        <v>-72.819999999999993</v>
      </c>
      <c r="G215" s="386" t="s">
        <v>449</v>
      </c>
      <c r="H215" s="386" t="s">
        <v>450</v>
      </c>
    </row>
    <row r="216" spans="1:8">
      <c r="A216" s="521" t="s">
        <v>318</v>
      </c>
      <c r="B216" s="522" t="s">
        <v>850</v>
      </c>
      <c r="C216" s="423" t="s">
        <v>329</v>
      </c>
      <c r="D216" s="521" t="s">
        <v>851</v>
      </c>
      <c r="E216" s="522">
        <v>201612</v>
      </c>
      <c r="F216" s="523">
        <v>29.44</v>
      </c>
      <c r="G216" s="386" t="s">
        <v>449</v>
      </c>
      <c r="H216" s="386" t="s">
        <v>450</v>
      </c>
    </row>
    <row r="217" spans="1:8">
      <c r="A217" s="521" t="s">
        <v>318</v>
      </c>
      <c r="B217" s="522" t="s">
        <v>850</v>
      </c>
      <c r="C217" s="423" t="s">
        <v>329</v>
      </c>
      <c r="D217" s="521" t="s">
        <v>851</v>
      </c>
      <c r="E217" s="522">
        <v>201612</v>
      </c>
      <c r="F217" s="523">
        <v>357.86</v>
      </c>
      <c r="G217" s="386" t="s">
        <v>449</v>
      </c>
      <c r="H217" s="386" t="s">
        <v>450</v>
      </c>
    </row>
    <row r="218" spans="1:8">
      <c r="A218" s="521" t="s">
        <v>318</v>
      </c>
      <c r="B218" s="522" t="s">
        <v>1069</v>
      </c>
      <c r="C218" s="423" t="s">
        <v>330</v>
      </c>
      <c r="D218" s="521" t="s">
        <v>1105</v>
      </c>
      <c r="E218" s="522">
        <v>201612</v>
      </c>
      <c r="F218" s="523">
        <v>398.74</v>
      </c>
      <c r="G218" s="386" t="s">
        <v>449</v>
      </c>
      <c r="H218" s="386" t="s">
        <v>450</v>
      </c>
    </row>
    <row r="219" spans="1:8">
      <c r="A219" s="521" t="s">
        <v>318</v>
      </c>
      <c r="B219" s="522" t="s">
        <v>1069</v>
      </c>
      <c r="C219" s="423" t="s">
        <v>330</v>
      </c>
      <c r="D219" s="521" t="s">
        <v>1105</v>
      </c>
      <c r="E219" s="522">
        <v>201612</v>
      </c>
      <c r="F219" s="523">
        <v>8808.9699999999993</v>
      </c>
      <c r="G219" s="386" t="s">
        <v>449</v>
      </c>
      <c r="H219" s="386" t="s">
        <v>450</v>
      </c>
    </row>
    <row r="220" spans="1:8">
      <c r="A220" s="521" t="s">
        <v>318</v>
      </c>
      <c r="B220" s="522" t="s">
        <v>975</v>
      </c>
      <c r="C220" s="423" t="s">
        <v>330</v>
      </c>
      <c r="D220" s="521" t="s">
        <v>976</v>
      </c>
      <c r="E220" s="522">
        <v>201612</v>
      </c>
      <c r="F220" s="523">
        <v>-170.62</v>
      </c>
      <c r="G220" s="386" t="s">
        <v>449</v>
      </c>
      <c r="H220" s="386" t="s">
        <v>450</v>
      </c>
    </row>
    <row r="221" spans="1:8">
      <c r="A221" s="521" t="s">
        <v>318</v>
      </c>
      <c r="B221" s="522" t="s">
        <v>975</v>
      </c>
      <c r="C221" s="423" t="s">
        <v>330</v>
      </c>
      <c r="D221" s="521" t="s">
        <v>976</v>
      </c>
      <c r="E221" s="522">
        <v>201612</v>
      </c>
      <c r="F221" s="523">
        <v>-2.4900000000000002</v>
      </c>
      <c r="G221" s="386" t="s">
        <v>449</v>
      </c>
      <c r="H221" s="386" t="s">
        <v>450</v>
      </c>
    </row>
    <row r="222" spans="1:8">
      <c r="A222" s="521" t="s">
        <v>318</v>
      </c>
      <c r="B222" s="522" t="s">
        <v>852</v>
      </c>
      <c r="C222" s="423" t="s">
        <v>330</v>
      </c>
      <c r="D222" s="521" t="s">
        <v>853</v>
      </c>
      <c r="E222" s="522">
        <v>201612</v>
      </c>
      <c r="F222" s="523">
        <v>56.08</v>
      </c>
      <c r="G222" s="386" t="s">
        <v>449</v>
      </c>
      <c r="H222" s="386" t="s">
        <v>450</v>
      </c>
    </row>
    <row r="223" spans="1:8">
      <c r="A223" s="521" t="s">
        <v>318</v>
      </c>
      <c r="B223" s="522" t="s">
        <v>852</v>
      </c>
      <c r="C223" s="423" t="s">
        <v>330</v>
      </c>
      <c r="D223" s="521" t="s">
        <v>853</v>
      </c>
      <c r="E223" s="522">
        <v>201612</v>
      </c>
      <c r="F223" s="523">
        <v>655.22</v>
      </c>
      <c r="G223" s="386" t="s">
        <v>449</v>
      </c>
      <c r="H223" s="386" t="s">
        <v>450</v>
      </c>
    </row>
    <row r="224" spans="1:8">
      <c r="A224" s="521" t="s">
        <v>318</v>
      </c>
      <c r="B224" s="522" t="s">
        <v>870</v>
      </c>
      <c r="C224" s="423" t="s">
        <v>330</v>
      </c>
      <c r="D224" s="521" t="s">
        <v>871</v>
      </c>
      <c r="E224" s="522">
        <v>201612</v>
      </c>
      <c r="F224" s="523">
        <v>-518.27</v>
      </c>
      <c r="G224" s="386" t="s">
        <v>449</v>
      </c>
      <c r="H224" s="386" t="s">
        <v>450</v>
      </c>
    </row>
    <row r="225" spans="1:8">
      <c r="A225" s="521" t="s">
        <v>318</v>
      </c>
      <c r="B225" s="522" t="s">
        <v>870</v>
      </c>
      <c r="C225" s="423" t="s">
        <v>330</v>
      </c>
      <c r="D225" s="521" t="s">
        <v>871</v>
      </c>
      <c r="E225" s="522">
        <v>201612</v>
      </c>
      <c r="F225" s="523">
        <v>-461.5</v>
      </c>
      <c r="G225" s="386" t="s">
        <v>449</v>
      </c>
      <c r="H225" s="386" t="s">
        <v>450</v>
      </c>
    </row>
    <row r="226" spans="1:8">
      <c r="A226" s="521" t="s">
        <v>318</v>
      </c>
      <c r="B226" s="522" t="s">
        <v>1039</v>
      </c>
      <c r="C226" s="423" t="s">
        <v>330</v>
      </c>
      <c r="D226" s="521" t="s">
        <v>1040</v>
      </c>
      <c r="E226" s="522">
        <v>201612</v>
      </c>
      <c r="F226" s="523">
        <v>72.84</v>
      </c>
      <c r="G226" s="386" t="s">
        <v>449</v>
      </c>
      <c r="H226" s="386" t="s">
        <v>450</v>
      </c>
    </row>
    <row r="227" spans="1:8">
      <c r="A227" s="521" t="s">
        <v>318</v>
      </c>
      <c r="B227" s="522" t="s">
        <v>1039</v>
      </c>
      <c r="C227" s="423" t="s">
        <v>330</v>
      </c>
      <c r="D227" s="521" t="s">
        <v>1040</v>
      </c>
      <c r="E227" s="522">
        <v>201612</v>
      </c>
      <c r="F227" s="523">
        <v>1478.2</v>
      </c>
      <c r="G227" s="386" t="s">
        <v>449</v>
      </c>
      <c r="H227" s="386" t="s">
        <v>450</v>
      </c>
    </row>
    <row r="228" spans="1:8">
      <c r="A228" s="521" t="s">
        <v>318</v>
      </c>
      <c r="B228" s="522" t="s">
        <v>872</v>
      </c>
      <c r="C228" s="423" t="s">
        <v>330</v>
      </c>
      <c r="D228" s="521" t="s">
        <v>873</v>
      </c>
      <c r="E228" s="522">
        <v>201612</v>
      </c>
      <c r="F228" s="523">
        <v>-86.06</v>
      </c>
      <c r="G228" s="386" t="s">
        <v>449</v>
      </c>
      <c r="H228" s="386" t="s">
        <v>450</v>
      </c>
    </row>
    <row r="229" spans="1:8">
      <c r="A229" s="521" t="s">
        <v>318</v>
      </c>
      <c r="B229" s="522" t="s">
        <v>872</v>
      </c>
      <c r="C229" s="423" t="s">
        <v>330</v>
      </c>
      <c r="D229" s="521" t="s">
        <v>873</v>
      </c>
      <c r="E229" s="522">
        <v>201612</v>
      </c>
      <c r="F229" s="523">
        <v>-54.65</v>
      </c>
      <c r="G229" s="386" t="s">
        <v>449</v>
      </c>
      <c r="H229" s="386" t="s">
        <v>450</v>
      </c>
    </row>
    <row r="230" spans="1:8" ht="15">
      <c r="A230" s="521" t="s">
        <v>318</v>
      </c>
      <c r="B230" s="522" t="s">
        <v>977</v>
      </c>
      <c r="C230" s="424" t="s">
        <v>330</v>
      </c>
      <c r="D230" s="521" t="s">
        <v>978</v>
      </c>
      <c r="E230" s="522">
        <v>201612</v>
      </c>
      <c r="F230" s="523">
        <v>2.34</v>
      </c>
      <c r="G230" s="386" t="s">
        <v>449</v>
      </c>
      <c r="H230" s="386" t="s">
        <v>450</v>
      </c>
    </row>
    <row r="231" spans="1:8" ht="15">
      <c r="A231" s="521" t="s">
        <v>318</v>
      </c>
      <c r="B231" s="522" t="s">
        <v>977</v>
      </c>
      <c r="C231" s="424" t="s">
        <v>330</v>
      </c>
      <c r="D231" s="521" t="s">
        <v>978</v>
      </c>
      <c r="E231" s="522">
        <v>201612</v>
      </c>
      <c r="F231" s="523">
        <v>36.9</v>
      </c>
      <c r="G231" s="386" t="s">
        <v>449</v>
      </c>
      <c r="H231" s="386" t="s">
        <v>450</v>
      </c>
    </row>
    <row r="232" spans="1:8">
      <c r="A232" s="521" t="s">
        <v>318</v>
      </c>
      <c r="B232" s="522" t="s">
        <v>1041</v>
      </c>
      <c r="C232" s="423" t="s">
        <v>330</v>
      </c>
      <c r="D232" s="521" t="s">
        <v>1042</v>
      </c>
      <c r="E232" s="522">
        <v>201612</v>
      </c>
      <c r="F232" s="523">
        <v>-79.11</v>
      </c>
      <c r="G232" s="386" t="s">
        <v>449</v>
      </c>
      <c r="H232" s="386" t="s">
        <v>450</v>
      </c>
    </row>
    <row r="233" spans="1:8">
      <c r="A233" s="521" t="s">
        <v>318</v>
      </c>
      <c r="B233" s="522" t="s">
        <v>1041</v>
      </c>
      <c r="C233" s="423" t="s">
        <v>330</v>
      </c>
      <c r="D233" s="521" t="s">
        <v>1042</v>
      </c>
      <c r="E233" s="522">
        <v>201612</v>
      </c>
      <c r="F233" s="523">
        <v>-5.9</v>
      </c>
      <c r="G233" s="386" t="s">
        <v>449</v>
      </c>
      <c r="H233" s="386" t="s">
        <v>450</v>
      </c>
    </row>
    <row r="234" spans="1:8">
      <c r="A234" s="521" t="s">
        <v>318</v>
      </c>
      <c r="B234" s="522" t="s">
        <v>979</v>
      </c>
      <c r="C234" s="423" t="s">
        <v>330</v>
      </c>
      <c r="D234" s="521" t="s">
        <v>980</v>
      </c>
      <c r="E234" s="522">
        <v>201612</v>
      </c>
      <c r="F234" s="523">
        <v>143.44999999999999</v>
      </c>
      <c r="G234" s="386" t="s">
        <v>449</v>
      </c>
      <c r="H234" s="386" t="s">
        <v>450</v>
      </c>
    </row>
    <row r="235" spans="1:8">
      <c r="A235" s="521" t="s">
        <v>318</v>
      </c>
      <c r="B235" s="522" t="s">
        <v>979</v>
      </c>
      <c r="C235" s="423" t="s">
        <v>330</v>
      </c>
      <c r="D235" s="521" t="s">
        <v>980</v>
      </c>
      <c r="E235" s="522">
        <v>201612</v>
      </c>
      <c r="F235" s="523">
        <v>2919.8</v>
      </c>
      <c r="G235" s="386" t="s">
        <v>449</v>
      </c>
      <c r="H235" s="386" t="s">
        <v>450</v>
      </c>
    </row>
    <row r="236" spans="1:8">
      <c r="A236" s="521" t="s">
        <v>318</v>
      </c>
      <c r="B236" s="522" t="s">
        <v>981</v>
      </c>
      <c r="C236" s="423" t="s">
        <v>330</v>
      </c>
      <c r="D236" s="521" t="s">
        <v>1014</v>
      </c>
      <c r="E236" s="522">
        <v>201612</v>
      </c>
      <c r="F236" s="523">
        <v>10.25</v>
      </c>
      <c r="G236" s="386" t="s">
        <v>449</v>
      </c>
      <c r="H236" s="386" t="s">
        <v>450</v>
      </c>
    </row>
    <row r="237" spans="1:8">
      <c r="A237" s="521" t="s">
        <v>318</v>
      </c>
      <c r="B237" s="522" t="s">
        <v>981</v>
      </c>
      <c r="C237" s="423" t="s">
        <v>330</v>
      </c>
      <c r="D237" s="521" t="s">
        <v>1014</v>
      </c>
      <c r="E237" s="522">
        <v>201612</v>
      </c>
      <c r="F237" s="523">
        <v>56.23</v>
      </c>
      <c r="G237" s="386" t="s">
        <v>449</v>
      </c>
      <c r="H237" s="386" t="s">
        <v>450</v>
      </c>
    </row>
    <row r="238" spans="1:8">
      <c r="A238" s="521" t="s">
        <v>318</v>
      </c>
      <c r="B238" s="522" t="s">
        <v>981</v>
      </c>
      <c r="C238" s="423" t="s">
        <v>330</v>
      </c>
      <c r="D238" s="521" t="s">
        <v>1014</v>
      </c>
      <c r="E238" s="522">
        <v>201612</v>
      </c>
      <c r="F238" s="523">
        <v>1110.28</v>
      </c>
      <c r="G238" s="386" t="s">
        <v>449</v>
      </c>
      <c r="H238" s="386" t="s">
        <v>450</v>
      </c>
    </row>
    <row r="239" spans="1:8">
      <c r="A239" s="521" t="s">
        <v>318</v>
      </c>
      <c r="B239" s="522" t="s">
        <v>874</v>
      </c>
      <c r="C239" s="423" t="s">
        <v>330</v>
      </c>
      <c r="D239" s="521" t="s">
        <v>875</v>
      </c>
      <c r="E239" s="522">
        <v>201612</v>
      </c>
      <c r="F239" s="523">
        <v>0.5</v>
      </c>
      <c r="G239" s="386" t="s">
        <v>449</v>
      </c>
      <c r="H239" s="386" t="s">
        <v>450</v>
      </c>
    </row>
    <row r="240" spans="1:8">
      <c r="A240" s="521" t="s">
        <v>318</v>
      </c>
      <c r="B240" s="522" t="s">
        <v>874</v>
      </c>
      <c r="C240" s="423" t="s">
        <v>330</v>
      </c>
      <c r="D240" s="521" t="s">
        <v>875</v>
      </c>
      <c r="E240" s="522">
        <v>201612</v>
      </c>
      <c r="F240" s="523">
        <v>69.569999999999993</v>
      </c>
      <c r="G240" s="386" t="s">
        <v>449</v>
      </c>
      <c r="H240" s="386" t="s">
        <v>450</v>
      </c>
    </row>
    <row r="241" spans="1:8">
      <c r="A241" s="521" t="s">
        <v>318</v>
      </c>
      <c r="B241" s="522" t="s">
        <v>983</v>
      </c>
      <c r="C241" s="423" t="s">
        <v>330</v>
      </c>
      <c r="D241" s="521" t="s">
        <v>984</v>
      </c>
      <c r="E241" s="522">
        <v>201612</v>
      </c>
      <c r="F241" s="523">
        <v>3.39</v>
      </c>
      <c r="G241" s="386" t="s">
        <v>449</v>
      </c>
      <c r="H241" s="386" t="s">
        <v>450</v>
      </c>
    </row>
    <row r="242" spans="1:8">
      <c r="A242" s="521" t="s">
        <v>318</v>
      </c>
      <c r="B242" s="522" t="s">
        <v>983</v>
      </c>
      <c r="C242" s="423" t="s">
        <v>330</v>
      </c>
      <c r="D242" s="521" t="s">
        <v>984</v>
      </c>
      <c r="E242" s="522">
        <v>201612</v>
      </c>
      <c r="F242" s="523">
        <v>94.56</v>
      </c>
      <c r="G242" s="386" t="s">
        <v>449</v>
      </c>
      <c r="H242" s="386" t="s">
        <v>545</v>
      </c>
    </row>
    <row r="243" spans="1:8">
      <c r="A243" s="521" t="s">
        <v>318</v>
      </c>
      <c r="B243" s="522" t="s">
        <v>1043</v>
      </c>
      <c r="C243" s="423" t="s">
        <v>330</v>
      </c>
      <c r="D243" s="521" t="s">
        <v>1044</v>
      </c>
      <c r="E243" s="522">
        <v>201612</v>
      </c>
      <c r="F243" s="523">
        <v>-7.4</v>
      </c>
      <c r="G243" s="386" t="s">
        <v>449</v>
      </c>
      <c r="H243" s="386" t="s">
        <v>545</v>
      </c>
    </row>
    <row r="244" spans="1:8">
      <c r="A244" s="521" t="s">
        <v>318</v>
      </c>
      <c r="B244" s="522" t="s">
        <v>1043</v>
      </c>
      <c r="C244" s="423" t="s">
        <v>330</v>
      </c>
      <c r="D244" s="521" t="s">
        <v>1044</v>
      </c>
      <c r="E244" s="522">
        <v>201612</v>
      </c>
      <c r="F244" s="523">
        <v>-0.41</v>
      </c>
      <c r="G244" s="386" t="s">
        <v>449</v>
      </c>
      <c r="H244" s="386" t="s">
        <v>450</v>
      </c>
    </row>
    <row r="245" spans="1:8">
      <c r="A245" s="521" t="s">
        <v>318</v>
      </c>
      <c r="B245" s="522" t="s">
        <v>876</v>
      </c>
      <c r="C245" s="423" t="s">
        <v>330</v>
      </c>
      <c r="D245" s="521" t="s">
        <v>877</v>
      </c>
      <c r="E245" s="522">
        <v>201612</v>
      </c>
      <c r="F245" s="523">
        <v>-23.65</v>
      </c>
      <c r="G245" s="386" t="s">
        <v>449</v>
      </c>
      <c r="H245" s="386" t="s">
        <v>450</v>
      </c>
    </row>
    <row r="246" spans="1:8">
      <c r="A246" s="521" t="s">
        <v>318</v>
      </c>
      <c r="B246" s="522" t="s">
        <v>876</v>
      </c>
      <c r="C246" s="423" t="s">
        <v>330</v>
      </c>
      <c r="D246" s="521" t="s">
        <v>877</v>
      </c>
      <c r="E246" s="522">
        <v>201612</v>
      </c>
      <c r="F246" s="523">
        <v>-1.33</v>
      </c>
      <c r="G246" s="386" t="s">
        <v>449</v>
      </c>
      <c r="H246" s="386" t="s">
        <v>450</v>
      </c>
    </row>
    <row r="247" spans="1:8">
      <c r="A247" s="521" t="s">
        <v>318</v>
      </c>
      <c r="B247" s="522" t="s">
        <v>1045</v>
      </c>
      <c r="C247" s="423" t="s">
        <v>330</v>
      </c>
      <c r="D247" s="521" t="s">
        <v>1046</v>
      </c>
      <c r="E247" s="522">
        <v>201612</v>
      </c>
      <c r="F247" s="523">
        <v>-89.32</v>
      </c>
      <c r="G247" s="386" t="s">
        <v>449</v>
      </c>
      <c r="H247" s="386" t="s">
        <v>450</v>
      </c>
    </row>
    <row r="248" spans="1:8">
      <c r="A248" s="521" t="s">
        <v>318</v>
      </c>
      <c r="B248" s="522" t="s">
        <v>1045</v>
      </c>
      <c r="C248" s="423" t="s">
        <v>330</v>
      </c>
      <c r="D248" s="521" t="s">
        <v>1046</v>
      </c>
      <c r="E248" s="522">
        <v>201612</v>
      </c>
      <c r="F248" s="523">
        <v>-5</v>
      </c>
      <c r="G248" s="386" t="s">
        <v>449</v>
      </c>
      <c r="H248" s="386" t="s">
        <v>450</v>
      </c>
    </row>
    <row r="249" spans="1:8">
      <c r="A249" s="521" t="s">
        <v>318</v>
      </c>
      <c r="B249" s="522" t="s">
        <v>985</v>
      </c>
      <c r="C249" s="423" t="s">
        <v>330</v>
      </c>
      <c r="D249" s="521" t="s">
        <v>986</v>
      </c>
      <c r="E249" s="522">
        <v>201612</v>
      </c>
      <c r="F249" s="523">
        <v>33.700000000000003</v>
      </c>
      <c r="G249" s="386" t="s">
        <v>449</v>
      </c>
      <c r="H249" s="386" t="s">
        <v>450</v>
      </c>
    </row>
    <row r="250" spans="1:8" ht="15">
      <c r="A250" s="521" t="s">
        <v>318</v>
      </c>
      <c r="B250" s="522" t="s">
        <v>985</v>
      </c>
      <c r="C250" s="424" t="s">
        <v>330</v>
      </c>
      <c r="D250" s="521" t="s">
        <v>986</v>
      </c>
      <c r="E250" s="522">
        <v>201612</v>
      </c>
      <c r="F250" s="523">
        <v>1053.18</v>
      </c>
      <c r="G250" s="386" t="s">
        <v>449</v>
      </c>
      <c r="H250" s="386" t="s">
        <v>450</v>
      </c>
    </row>
    <row r="251" spans="1:8" ht="15">
      <c r="A251" s="521" t="s">
        <v>318</v>
      </c>
      <c r="B251" s="522" t="s">
        <v>878</v>
      </c>
      <c r="C251" s="424" t="s">
        <v>330</v>
      </c>
      <c r="D251" s="521" t="s">
        <v>879</v>
      </c>
      <c r="E251" s="522">
        <v>201612</v>
      </c>
      <c r="F251" s="523">
        <v>-807.02</v>
      </c>
      <c r="G251" s="386" t="s">
        <v>449</v>
      </c>
      <c r="H251" s="386" t="s">
        <v>450</v>
      </c>
    </row>
    <row r="252" spans="1:8" ht="15">
      <c r="A252" s="521" t="s">
        <v>318</v>
      </c>
      <c r="B252" s="522" t="s">
        <v>878</v>
      </c>
      <c r="C252" s="424" t="s">
        <v>330</v>
      </c>
      <c r="D252" s="521" t="s">
        <v>879</v>
      </c>
      <c r="E252" s="522">
        <v>201612</v>
      </c>
      <c r="F252" s="523">
        <v>-39.880000000000003</v>
      </c>
      <c r="G252" s="386" t="s">
        <v>449</v>
      </c>
      <c r="H252" s="386" t="s">
        <v>450</v>
      </c>
    </row>
    <row r="253" spans="1:8" ht="15">
      <c r="A253" s="521" t="s">
        <v>318</v>
      </c>
      <c r="B253" s="522" t="s">
        <v>987</v>
      </c>
      <c r="C253" s="424" t="s">
        <v>330</v>
      </c>
      <c r="D253" s="521" t="s">
        <v>988</v>
      </c>
      <c r="E253" s="522">
        <v>201612</v>
      </c>
      <c r="F253" s="523">
        <v>-1.38</v>
      </c>
      <c r="G253" s="386" t="s">
        <v>449</v>
      </c>
      <c r="H253" s="386" t="s">
        <v>450</v>
      </c>
    </row>
    <row r="254" spans="1:8">
      <c r="A254" s="521" t="s">
        <v>318</v>
      </c>
      <c r="B254" s="522" t="s">
        <v>987</v>
      </c>
      <c r="C254" s="423" t="s">
        <v>330</v>
      </c>
      <c r="D254" s="521" t="s">
        <v>988</v>
      </c>
      <c r="E254" s="522">
        <v>201612</v>
      </c>
      <c r="F254" s="523">
        <v>-0.06</v>
      </c>
      <c r="G254" s="386" t="s">
        <v>449</v>
      </c>
      <c r="H254" s="386" t="s">
        <v>450</v>
      </c>
    </row>
    <row r="255" spans="1:8">
      <c r="A255" s="521" t="s">
        <v>318</v>
      </c>
      <c r="B255" s="522" t="s">
        <v>989</v>
      </c>
      <c r="C255" s="423" t="s">
        <v>330</v>
      </c>
      <c r="D255" s="521" t="s">
        <v>990</v>
      </c>
      <c r="E255" s="522">
        <v>201612</v>
      </c>
      <c r="F255" s="523">
        <v>-30.34</v>
      </c>
      <c r="G255" s="386" t="s">
        <v>449</v>
      </c>
      <c r="H255" s="386" t="s">
        <v>450</v>
      </c>
    </row>
    <row r="256" spans="1:8">
      <c r="A256" s="521" t="s">
        <v>318</v>
      </c>
      <c r="B256" s="522" t="s">
        <v>989</v>
      </c>
      <c r="C256" s="423" t="s">
        <v>330</v>
      </c>
      <c r="D256" s="521" t="s">
        <v>990</v>
      </c>
      <c r="E256" s="522">
        <v>201612</v>
      </c>
      <c r="F256" s="523">
        <v>-1.26</v>
      </c>
      <c r="G256" s="386" t="s">
        <v>449</v>
      </c>
      <c r="H256" s="386" t="s">
        <v>450</v>
      </c>
    </row>
    <row r="257" spans="1:8" ht="15">
      <c r="A257" s="521" t="s">
        <v>318</v>
      </c>
      <c r="B257" s="522" t="s">
        <v>991</v>
      </c>
      <c r="C257" s="424" t="s">
        <v>330</v>
      </c>
      <c r="D257" s="521" t="s">
        <v>992</v>
      </c>
      <c r="E257" s="522">
        <v>201612</v>
      </c>
      <c r="F257" s="523">
        <v>27.76</v>
      </c>
      <c r="G257" s="386" t="s">
        <v>449</v>
      </c>
      <c r="H257" s="386" t="s">
        <v>450</v>
      </c>
    </row>
    <row r="258" spans="1:8" ht="15">
      <c r="A258" s="521" t="s">
        <v>318</v>
      </c>
      <c r="B258" s="522" t="s">
        <v>991</v>
      </c>
      <c r="C258" s="424" t="s">
        <v>330</v>
      </c>
      <c r="D258" s="521" t="s">
        <v>992</v>
      </c>
      <c r="E258" s="522">
        <v>201612</v>
      </c>
      <c r="F258" s="523">
        <v>100.01</v>
      </c>
      <c r="G258" s="386" t="s">
        <v>449</v>
      </c>
      <c r="H258" s="386" t="s">
        <v>450</v>
      </c>
    </row>
    <row r="259" spans="1:8" ht="15">
      <c r="A259" s="521" t="s">
        <v>318</v>
      </c>
      <c r="B259" s="522" t="s">
        <v>880</v>
      </c>
      <c r="C259" s="424" t="s">
        <v>330</v>
      </c>
      <c r="D259" s="521" t="s">
        <v>881</v>
      </c>
      <c r="E259" s="522">
        <v>201612</v>
      </c>
      <c r="F259" s="523">
        <v>68.09</v>
      </c>
      <c r="G259" s="386" t="s">
        <v>449</v>
      </c>
      <c r="H259" s="386" t="s">
        <v>450</v>
      </c>
    </row>
    <row r="260" spans="1:8">
      <c r="A260" s="521" t="s">
        <v>318</v>
      </c>
      <c r="B260" s="522" t="s">
        <v>880</v>
      </c>
      <c r="C260" s="423" t="s">
        <v>330</v>
      </c>
      <c r="D260" s="521" t="s">
        <v>881</v>
      </c>
      <c r="E260" s="522">
        <v>201612</v>
      </c>
      <c r="F260" s="523">
        <v>382.06</v>
      </c>
      <c r="G260" s="386" t="s">
        <v>449</v>
      </c>
      <c r="H260" s="386" t="s">
        <v>450</v>
      </c>
    </row>
    <row r="261" spans="1:8">
      <c r="A261" s="521" t="s">
        <v>318</v>
      </c>
      <c r="B261" s="522" t="s">
        <v>993</v>
      </c>
      <c r="C261" s="423" t="s">
        <v>330</v>
      </c>
      <c r="D261" s="521" t="s">
        <v>994</v>
      </c>
      <c r="E261" s="522">
        <v>201612</v>
      </c>
      <c r="F261" s="523">
        <v>3.35</v>
      </c>
      <c r="G261" s="386" t="s">
        <v>449</v>
      </c>
      <c r="H261" s="386" t="s">
        <v>450</v>
      </c>
    </row>
    <row r="262" spans="1:8">
      <c r="A262" s="521" t="s">
        <v>318</v>
      </c>
      <c r="B262" s="522" t="s">
        <v>993</v>
      </c>
      <c r="C262" s="423" t="s">
        <v>330</v>
      </c>
      <c r="D262" s="521" t="s">
        <v>994</v>
      </c>
      <c r="E262" s="522">
        <v>201612</v>
      </c>
      <c r="F262" s="523">
        <v>66.52</v>
      </c>
      <c r="G262" s="386" t="s">
        <v>449</v>
      </c>
      <c r="H262" s="386" t="s">
        <v>450</v>
      </c>
    </row>
    <row r="263" spans="1:8">
      <c r="A263" s="521" t="s">
        <v>318</v>
      </c>
      <c r="B263" s="522" t="s">
        <v>882</v>
      </c>
      <c r="C263" s="423" t="s">
        <v>330</v>
      </c>
      <c r="D263" s="521" t="s">
        <v>995</v>
      </c>
      <c r="E263" s="522">
        <v>201612</v>
      </c>
      <c r="F263" s="523">
        <v>-93976.95</v>
      </c>
      <c r="G263" s="386" t="s">
        <v>449</v>
      </c>
      <c r="H263" s="386" t="s">
        <v>450</v>
      </c>
    </row>
    <row r="264" spans="1:8">
      <c r="A264" s="521" t="s">
        <v>318</v>
      </c>
      <c r="B264" s="522" t="s">
        <v>882</v>
      </c>
      <c r="C264" s="423" t="s">
        <v>330</v>
      </c>
      <c r="D264" s="521" t="s">
        <v>995</v>
      </c>
      <c r="E264" s="522">
        <v>201612</v>
      </c>
      <c r="F264" s="523">
        <v>251.37</v>
      </c>
      <c r="G264" s="386" t="s">
        <v>449</v>
      </c>
      <c r="H264" s="386" t="s">
        <v>450</v>
      </c>
    </row>
    <row r="265" spans="1:8">
      <c r="A265" s="521" t="s">
        <v>318</v>
      </c>
      <c r="B265" s="522" t="s">
        <v>882</v>
      </c>
      <c r="C265" s="423" t="s">
        <v>330</v>
      </c>
      <c r="D265" s="521" t="s">
        <v>995</v>
      </c>
      <c r="E265" s="522">
        <v>201612</v>
      </c>
      <c r="F265" s="523">
        <v>93118.65</v>
      </c>
      <c r="G265" s="386" t="s">
        <v>449</v>
      </c>
      <c r="H265" s="386" t="s">
        <v>450</v>
      </c>
    </row>
    <row r="266" spans="1:8">
      <c r="A266" s="521" t="s">
        <v>318</v>
      </c>
      <c r="B266" s="522" t="s">
        <v>996</v>
      </c>
      <c r="C266" s="423" t="s">
        <v>330</v>
      </c>
      <c r="D266" s="521" t="s">
        <v>997</v>
      </c>
      <c r="E266" s="522">
        <v>201612</v>
      </c>
      <c r="F266" s="523">
        <v>84.84</v>
      </c>
      <c r="G266" s="386" t="s">
        <v>449</v>
      </c>
      <c r="H266" s="386" t="s">
        <v>450</v>
      </c>
    </row>
    <row r="267" spans="1:8">
      <c r="A267" s="521" t="s">
        <v>318</v>
      </c>
      <c r="B267" s="522" t="s">
        <v>996</v>
      </c>
      <c r="C267" s="423" t="s">
        <v>330</v>
      </c>
      <c r="D267" s="521" t="s">
        <v>997</v>
      </c>
      <c r="E267" s="522">
        <v>201612</v>
      </c>
      <c r="F267" s="523">
        <v>2350.87</v>
      </c>
      <c r="G267" s="386" t="s">
        <v>449</v>
      </c>
      <c r="H267" s="386" t="s">
        <v>450</v>
      </c>
    </row>
    <row r="268" spans="1:8">
      <c r="A268" s="521" t="s">
        <v>318</v>
      </c>
      <c r="B268" s="522" t="s">
        <v>854</v>
      </c>
      <c r="C268" s="423" t="s">
        <v>330</v>
      </c>
      <c r="D268" s="521" t="s">
        <v>855</v>
      </c>
      <c r="E268" s="522">
        <v>201612</v>
      </c>
      <c r="F268" s="523">
        <v>-312706.87</v>
      </c>
      <c r="G268" s="386" t="s">
        <v>449</v>
      </c>
      <c r="H268" s="386" t="s">
        <v>450</v>
      </c>
    </row>
    <row r="269" spans="1:8">
      <c r="A269" s="521" t="s">
        <v>318</v>
      </c>
      <c r="B269" s="522" t="s">
        <v>854</v>
      </c>
      <c r="C269" s="423" t="s">
        <v>330</v>
      </c>
      <c r="D269" s="521" t="s">
        <v>855</v>
      </c>
      <c r="E269" s="522">
        <v>201612</v>
      </c>
      <c r="F269" s="523">
        <v>-10722.62</v>
      </c>
      <c r="G269" s="386" t="s">
        <v>449</v>
      </c>
      <c r="H269" s="386" t="s">
        <v>450</v>
      </c>
    </row>
    <row r="270" spans="1:8">
      <c r="A270" s="521" t="s">
        <v>318</v>
      </c>
      <c r="B270" s="522" t="s">
        <v>854</v>
      </c>
      <c r="C270" s="423" t="s">
        <v>330</v>
      </c>
      <c r="D270" s="521" t="s">
        <v>855</v>
      </c>
      <c r="E270" s="522">
        <v>201612</v>
      </c>
      <c r="F270" s="523">
        <v>31369.9</v>
      </c>
      <c r="G270" s="386" t="s">
        <v>449</v>
      </c>
      <c r="H270" s="386" t="s">
        <v>450</v>
      </c>
    </row>
    <row r="271" spans="1:8">
      <c r="A271" s="521" t="s">
        <v>318</v>
      </c>
      <c r="B271" s="522" t="s">
        <v>854</v>
      </c>
      <c r="C271" s="423" t="s">
        <v>330</v>
      </c>
      <c r="D271" s="521" t="s">
        <v>855</v>
      </c>
      <c r="E271" s="522">
        <v>201612</v>
      </c>
      <c r="F271" s="523">
        <v>364946.65</v>
      </c>
      <c r="G271" s="386" t="s">
        <v>449</v>
      </c>
      <c r="H271" s="386" t="s">
        <v>450</v>
      </c>
    </row>
    <row r="272" spans="1:8">
      <c r="A272" s="521" t="s">
        <v>318</v>
      </c>
      <c r="B272" s="522" t="s">
        <v>1110</v>
      </c>
      <c r="C272" s="423" t="s">
        <v>330</v>
      </c>
      <c r="D272" s="521" t="s">
        <v>1111</v>
      </c>
      <c r="E272" s="522">
        <v>201612</v>
      </c>
      <c r="F272" s="523">
        <v>10846.25</v>
      </c>
      <c r="G272" s="386" t="s">
        <v>449</v>
      </c>
      <c r="H272" s="386" t="s">
        <v>450</v>
      </c>
    </row>
    <row r="273" spans="1:8">
      <c r="A273" s="521" t="s">
        <v>318</v>
      </c>
      <c r="B273" s="522" t="s">
        <v>1110</v>
      </c>
      <c r="C273" s="423" t="s">
        <v>330</v>
      </c>
      <c r="D273" s="521" t="s">
        <v>1111</v>
      </c>
      <c r="E273" s="522">
        <v>201612</v>
      </c>
      <c r="F273" s="523">
        <v>173981.31</v>
      </c>
      <c r="G273" s="386" t="s">
        <v>449</v>
      </c>
      <c r="H273" s="386" t="s">
        <v>450</v>
      </c>
    </row>
    <row r="274" spans="1:8">
      <c r="A274" s="521" t="s">
        <v>318</v>
      </c>
      <c r="B274" s="522" t="s">
        <v>1047</v>
      </c>
      <c r="C274" s="423" t="s">
        <v>329</v>
      </c>
      <c r="D274" s="521" t="s">
        <v>1048</v>
      </c>
      <c r="E274" s="522">
        <v>201612</v>
      </c>
      <c r="F274" s="523">
        <v>295.55</v>
      </c>
      <c r="G274" s="386" t="s">
        <v>449</v>
      </c>
      <c r="H274" s="386" t="s">
        <v>450</v>
      </c>
    </row>
    <row r="275" spans="1:8">
      <c r="A275" s="521" t="s">
        <v>318</v>
      </c>
      <c r="B275" s="522" t="s">
        <v>1047</v>
      </c>
      <c r="C275" s="423" t="s">
        <v>329</v>
      </c>
      <c r="D275" s="521" t="s">
        <v>1048</v>
      </c>
      <c r="E275" s="522">
        <v>201612</v>
      </c>
      <c r="F275" s="523">
        <v>935.58</v>
      </c>
      <c r="G275" s="386" t="s">
        <v>449</v>
      </c>
      <c r="H275" s="386" t="s">
        <v>450</v>
      </c>
    </row>
    <row r="276" spans="1:8">
      <c r="A276" s="521" t="s">
        <v>322</v>
      </c>
      <c r="B276" s="522" t="s">
        <v>998</v>
      </c>
      <c r="C276" s="423" t="s">
        <v>329</v>
      </c>
      <c r="D276" s="521" t="s">
        <v>999</v>
      </c>
      <c r="E276" s="522">
        <v>201612</v>
      </c>
      <c r="F276" s="523">
        <v>1085.73</v>
      </c>
      <c r="G276" s="386" t="s">
        <v>449</v>
      </c>
      <c r="H276" s="386" t="s">
        <v>450</v>
      </c>
    </row>
    <row r="277" spans="1:8" ht="15">
      <c r="A277" s="521" t="s">
        <v>318</v>
      </c>
      <c r="B277" s="522" t="s">
        <v>998</v>
      </c>
      <c r="C277" s="424" t="s">
        <v>329</v>
      </c>
      <c r="D277" s="521" t="s">
        <v>999</v>
      </c>
      <c r="E277" s="522">
        <v>201612</v>
      </c>
      <c r="F277" s="523">
        <v>-19621.009999999998</v>
      </c>
      <c r="G277" s="386" t="s">
        <v>449</v>
      </c>
      <c r="H277" s="386" t="s">
        <v>450</v>
      </c>
    </row>
    <row r="278" spans="1:8" ht="15">
      <c r="A278" s="521" t="s">
        <v>318</v>
      </c>
      <c r="B278" s="522" t="s">
        <v>998</v>
      </c>
      <c r="C278" s="424" t="s">
        <v>329</v>
      </c>
      <c r="D278" s="521" t="s">
        <v>999</v>
      </c>
      <c r="E278" s="522">
        <v>201612</v>
      </c>
      <c r="F278" s="523">
        <v>18535.28</v>
      </c>
      <c r="G278" s="386" t="s">
        <v>449</v>
      </c>
      <c r="H278" s="386" t="s">
        <v>450</v>
      </c>
    </row>
    <row r="279" spans="1:8" ht="15">
      <c r="A279" s="521" t="s">
        <v>318</v>
      </c>
      <c r="B279" s="522" t="s">
        <v>1112</v>
      </c>
      <c r="C279" s="424" t="s">
        <v>330</v>
      </c>
      <c r="D279" s="521" t="s">
        <v>1113</v>
      </c>
      <c r="E279" s="522">
        <v>201612</v>
      </c>
      <c r="F279" s="523">
        <v>9670.19</v>
      </c>
      <c r="G279" s="386" t="s">
        <v>449</v>
      </c>
      <c r="H279" s="386" t="s">
        <v>450</v>
      </c>
    </row>
    <row r="280" spans="1:8" ht="15">
      <c r="A280" s="521" t="s">
        <v>318</v>
      </c>
      <c r="B280" s="522" t="s">
        <v>1112</v>
      </c>
      <c r="C280" s="424" t="s">
        <v>330</v>
      </c>
      <c r="D280" s="521" t="s">
        <v>1113</v>
      </c>
      <c r="E280" s="522">
        <v>201612</v>
      </c>
      <c r="F280" s="523">
        <v>133136.48000000001</v>
      </c>
      <c r="G280" s="386" t="s">
        <v>449</v>
      </c>
      <c r="H280" s="386" t="s">
        <v>450</v>
      </c>
    </row>
    <row r="281" spans="1:8" ht="15">
      <c r="A281" s="521" t="s">
        <v>318</v>
      </c>
      <c r="B281" s="522" t="s">
        <v>1114</v>
      </c>
      <c r="C281" s="424" t="s">
        <v>330</v>
      </c>
      <c r="D281" s="521" t="s">
        <v>1115</v>
      </c>
      <c r="E281" s="522">
        <v>201612</v>
      </c>
      <c r="F281" s="523">
        <v>14460.74</v>
      </c>
      <c r="G281" s="386" t="s">
        <v>449</v>
      </c>
      <c r="H281" s="386" t="s">
        <v>450</v>
      </c>
    </row>
    <row r="282" spans="1:8" ht="15">
      <c r="A282" s="521" t="s">
        <v>318</v>
      </c>
      <c r="B282" s="522" t="s">
        <v>1114</v>
      </c>
      <c r="C282" s="424" t="s">
        <v>330</v>
      </c>
      <c r="D282" s="521" t="s">
        <v>1115</v>
      </c>
      <c r="E282" s="522">
        <v>201612</v>
      </c>
      <c r="F282" s="523">
        <v>214536.28</v>
      </c>
      <c r="G282" s="386" t="s">
        <v>449</v>
      </c>
      <c r="H282" s="386" t="s">
        <v>450</v>
      </c>
    </row>
    <row r="283" spans="1:8" ht="15">
      <c r="A283" s="521" t="s">
        <v>318</v>
      </c>
      <c r="B283" s="522" t="s">
        <v>1004</v>
      </c>
      <c r="C283" s="424" t="s">
        <v>330</v>
      </c>
      <c r="D283" s="521" t="s">
        <v>1005</v>
      </c>
      <c r="E283" s="522">
        <v>201612</v>
      </c>
      <c r="F283" s="523">
        <v>-103.94</v>
      </c>
      <c r="G283" s="386" t="s">
        <v>449</v>
      </c>
      <c r="H283" s="386" t="s">
        <v>450</v>
      </c>
    </row>
    <row r="284" spans="1:8" ht="15">
      <c r="A284" s="521" t="s">
        <v>318</v>
      </c>
      <c r="B284" s="522" t="s">
        <v>1004</v>
      </c>
      <c r="C284" s="424" t="s">
        <v>330</v>
      </c>
      <c r="D284" s="521" t="s">
        <v>1005</v>
      </c>
      <c r="E284" s="522">
        <v>201612</v>
      </c>
      <c r="F284" s="523">
        <v>79.92</v>
      </c>
      <c r="G284" s="386" t="s">
        <v>449</v>
      </c>
      <c r="H284" s="386" t="s">
        <v>450</v>
      </c>
    </row>
    <row r="285" spans="1:8" ht="15">
      <c r="A285" s="521" t="s">
        <v>318</v>
      </c>
      <c r="B285" s="522" t="s">
        <v>1116</v>
      </c>
      <c r="C285" s="424" t="s">
        <v>330</v>
      </c>
      <c r="D285" s="521" t="s">
        <v>1117</v>
      </c>
      <c r="E285" s="522">
        <v>201612</v>
      </c>
      <c r="F285" s="523">
        <v>10492.48</v>
      </c>
      <c r="G285" s="386" t="s">
        <v>449</v>
      </c>
      <c r="H285" s="386" t="s">
        <v>450</v>
      </c>
    </row>
    <row r="286" spans="1:8" ht="15">
      <c r="A286" s="521" t="s">
        <v>318</v>
      </c>
      <c r="B286" s="522" t="s">
        <v>1116</v>
      </c>
      <c r="C286" s="424" t="s">
        <v>330</v>
      </c>
      <c r="D286" s="521" t="s">
        <v>1117</v>
      </c>
      <c r="E286" s="522">
        <v>201612</v>
      </c>
      <c r="F286" s="523">
        <v>135648.13</v>
      </c>
      <c r="G286" s="386" t="s">
        <v>449</v>
      </c>
      <c r="H286" s="386" t="s">
        <v>450</v>
      </c>
    </row>
    <row r="287" spans="1:8" ht="15">
      <c r="A287" s="521" t="s">
        <v>318</v>
      </c>
      <c r="B287" s="522" t="s">
        <v>1071</v>
      </c>
      <c r="C287" s="424" t="s">
        <v>330</v>
      </c>
      <c r="D287" s="521" t="s">
        <v>1072</v>
      </c>
      <c r="E287" s="522">
        <v>201612</v>
      </c>
      <c r="F287" s="523">
        <v>335.27</v>
      </c>
      <c r="G287" s="386" t="s">
        <v>449</v>
      </c>
      <c r="H287" s="386" t="s">
        <v>450</v>
      </c>
    </row>
    <row r="288" spans="1:8" ht="15">
      <c r="A288" s="521" t="s">
        <v>318</v>
      </c>
      <c r="B288" s="522" t="s">
        <v>889</v>
      </c>
      <c r="C288" s="424" t="s">
        <v>414</v>
      </c>
      <c r="D288" s="521" t="s">
        <v>890</v>
      </c>
      <c r="E288" s="522">
        <v>201612</v>
      </c>
      <c r="F288" s="523">
        <v>-13.55</v>
      </c>
      <c r="G288" s="386" t="s">
        <v>449</v>
      </c>
      <c r="H288" s="386" t="s">
        <v>450</v>
      </c>
    </row>
    <row r="289" spans="1:8" ht="15">
      <c r="A289" s="521" t="s">
        <v>318</v>
      </c>
      <c r="B289" s="522" t="s">
        <v>889</v>
      </c>
      <c r="C289" s="424" t="s">
        <v>414</v>
      </c>
      <c r="D289" s="521" t="s">
        <v>890</v>
      </c>
      <c r="E289" s="522">
        <v>201612</v>
      </c>
      <c r="F289" s="523">
        <v>-0.51</v>
      </c>
      <c r="G289" s="386" t="s">
        <v>449</v>
      </c>
      <c r="H289" s="386" t="s">
        <v>450</v>
      </c>
    </row>
    <row r="290" spans="1:8" ht="15">
      <c r="A290" s="521" t="s">
        <v>318</v>
      </c>
      <c r="B290" s="522" t="s">
        <v>1006</v>
      </c>
      <c r="C290" s="424" t="s">
        <v>414</v>
      </c>
      <c r="D290" s="521" t="s">
        <v>1007</v>
      </c>
      <c r="E290" s="522">
        <v>201612</v>
      </c>
      <c r="F290" s="523">
        <v>0.22</v>
      </c>
      <c r="G290" s="386" t="s">
        <v>449</v>
      </c>
      <c r="H290" s="386" t="s">
        <v>450</v>
      </c>
    </row>
    <row r="291" spans="1:8">
      <c r="A291" s="521" t="s">
        <v>318</v>
      </c>
      <c r="B291" s="522" t="s">
        <v>1006</v>
      </c>
      <c r="C291" s="423" t="s">
        <v>414</v>
      </c>
      <c r="D291" s="521" t="s">
        <v>1007</v>
      </c>
      <c r="E291" s="522">
        <v>201612</v>
      </c>
      <c r="F291" s="523">
        <v>15.96</v>
      </c>
      <c r="G291" s="386" t="s">
        <v>449</v>
      </c>
      <c r="H291" s="386" t="s">
        <v>450</v>
      </c>
    </row>
    <row r="292" spans="1:8">
      <c r="A292" s="521" t="s">
        <v>318</v>
      </c>
      <c r="B292" s="522" t="s">
        <v>1012</v>
      </c>
      <c r="C292" s="423" t="s">
        <v>331</v>
      </c>
      <c r="D292" s="521" t="s">
        <v>1013</v>
      </c>
      <c r="E292" s="522">
        <v>201612</v>
      </c>
      <c r="F292" s="523">
        <v>-3.32</v>
      </c>
      <c r="G292" s="386" t="s">
        <v>449</v>
      </c>
      <c r="H292" s="386" t="s">
        <v>545</v>
      </c>
    </row>
    <row r="293" spans="1:8" ht="15">
      <c r="A293" s="521" t="s">
        <v>318</v>
      </c>
      <c r="B293" s="522" t="s">
        <v>1012</v>
      </c>
      <c r="C293" s="424" t="s">
        <v>331</v>
      </c>
      <c r="D293" s="521" t="s">
        <v>1013</v>
      </c>
      <c r="E293" s="522">
        <v>201612</v>
      </c>
      <c r="F293" s="523">
        <v>-0.25</v>
      </c>
      <c r="G293" s="386" t="s">
        <v>449</v>
      </c>
      <c r="H293" s="386" t="s">
        <v>545</v>
      </c>
    </row>
    <row r="294" spans="1:8" ht="15">
      <c r="A294" s="521" t="s">
        <v>318</v>
      </c>
      <c r="B294" s="522" t="s">
        <v>1073</v>
      </c>
      <c r="C294" s="424" t="s">
        <v>331</v>
      </c>
      <c r="D294" s="521" t="s">
        <v>1074</v>
      </c>
      <c r="E294" s="522">
        <v>201612</v>
      </c>
      <c r="F294" s="523">
        <v>62.58</v>
      </c>
      <c r="G294" s="386" t="s">
        <v>449</v>
      </c>
      <c r="H294" s="386" t="s">
        <v>545</v>
      </c>
    </row>
    <row r="295" spans="1:8" ht="15">
      <c r="A295" s="521" t="s">
        <v>318</v>
      </c>
      <c r="B295" s="522" t="s">
        <v>1073</v>
      </c>
      <c r="C295" s="424" t="s">
        <v>331</v>
      </c>
      <c r="D295" s="521" t="s">
        <v>1074</v>
      </c>
      <c r="E295" s="522">
        <v>201612</v>
      </c>
      <c r="F295" s="523">
        <v>652.44000000000005</v>
      </c>
      <c r="G295" s="386" t="s">
        <v>449</v>
      </c>
      <c r="H295" s="386" t="s">
        <v>545</v>
      </c>
    </row>
    <row r="296" spans="1:8" ht="15">
      <c r="A296" s="521" t="s">
        <v>318</v>
      </c>
      <c r="B296" s="522" t="s">
        <v>1049</v>
      </c>
      <c r="C296" s="424" t="s">
        <v>330</v>
      </c>
      <c r="D296" s="521" t="s">
        <v>1050</v>
      </c>
      <c r="E296" s="522">
        <v>201612</v>
      </c>
      <c r="F296" s="523">
        <v>37.799999999999997</v>
      </c>
      <c r="G296" s="386" t="s">
        <v>449</v>
      </c>
      <c r="H296" s="386" t="s">
        <v>450</v>
      </c>
    </row>
    <row r="297" spans="1:8" ht="15">
      <c r="A297" s="521" t="s">
        <v>318</v>
      </c>
      <c r="B297" s="522" t="s">
        <v>1049</v>
      </c>
      <c r="C297" s="424" t="s">
        <v>330</v>
      </c>
      <c r="D297" s="521" t="s">
        <v>1050</v>
      </c>
      <c r="E297" s="522">
        <v>201612</v>
      </c>
      <c r="F297" s="523">
        <v>1001.61</v>
      </c>
      <c r="G297" s="386" t="s">
        <v>449</v>
      </c>
      <c r="H297" s="386" t="s">
        <v>450</v>
      </c>
    </row>
    <row r="298" spans="1:8" ht="15">
      <c r="A298" s="521" t="s">
        <v>318</v>
      </c>
      <c r="B298" s="522" t="s">
        <v>1077</v>
      </c>
      <c r="C298" s="424" t="s">
        <v>330</v>
      </c>
      <c r="D298" s="521" t="s">
        <v>1078</v>
      </c>
      <c r="E298" s="522">
        <v>201612</v>
      </c>
      <c r="F298" s="523">
        <v>152.69</v>
      </c>
      <c r="G298" s="386" t="s">
        <v>449</v>
      </c>
      <c r="H298" s="386" t="s">
        <v>450</v>
      </c>
    </row>
    <row r="299" spans="1:8">
      <c r="A299" s="521" t="s">
        <v>318</v>
      </c>
      <c r="B299" s="522" t="s">
        <v>1077</v>
      </c>
      <c r="C299" s="423" t="s">
        <v>330</v>
      </c>
      <c r="D299" s="521" t="s">
        <v>1078</v>
      </c>
      <c r="E299" s="522">
        <v>201612</v>
      </c>
      <c r="F299" s="523">
        <v>1721.22</v>
      </c>
      <c r="G299" s="386" t="s">
        <v>449</v>
      </c>
      <c r="H299" s="386" t="s">
        <v>450</v>
      </c>
    </row>
    <row r="300" spans="1:8">
      <c r="A300" s="521" t="s">
        <v>318</v>
      </c>
      <c r="B300" s="522" t="s">
        <v>1079</v>
      </c>
      <c r="C300" s="423" t="s">
        <v>330</v>
      </c>
      <c r="D300" s="521" t="s">
        <v>1080</v>
      </c>
      <c r="E300" s="522">
        <v>201612</v>
      </c>
      <c r="F300" s="523">
        <v>127.1</v>
      </c>
      <c r="G300" s="386" t="s">
        <v>449</v>
      </c>
      <c r="H300" s="386" t="s">
        <v>450</v>
      </c>
    </row>
    <row r="301" spans="1:8">
      <c r="A301" s="521" t="s">
        <v>318</v>
      </c>
      <c r="B301" s="522" t="s">
        <v>1079</v>
      </c>
      <c r="C301" s="423" t="s">
        <v>330</v>
      </c>
      <c r="D301" s="521" t="s">
        <v>1080</v>
      </c>
      <c r="E301" s="522">
        <v>201612</v>
      </c>
      <c r="F301" s="523">
        <v>1896.27</v>
      </c>
      <c r="G301" s="386" t="s">
        <v>449</v>
      </c>
      <c r="H301" s="386" t="s">
        <v>450</v>
      </c>
    </row>
    <row r="302" spans="1:8">
      <c r="A302" s="521" t="s">
        <v>318</v>
      </c>
      <c r="B302" s="522" t="s">
        <v>1118</v>
      </c>
      <c r="C302" s="423" t="s">
        <v>330</v>
      </c>
      <c r="D302" s="521" t="s">
        <v>1119</v>
      </c>
      <c r="E302" s="522">
        <v>201612</v>
      </c>
      <c r="F302" s="523">
        <v>1314.1</v>
      </c>
      <c r="G302" s="386" t="s">
        <v>449</v>
      </c>
      <c r="H302" s="386" t="s">
        <v>450</v>
      </c>
    </row>
    <row r="303" spans="1:8" ht="15">
      <c r="A303" s="521" t="s">
        <v>318</v>
      </c>
      <c r="B303" s="522" t="s">
        <v>1118</v>
      </c>
      <c r="C303" s="424" t="s">
        <v>330</v>
      </c>
      <c r="D303" s="521" t="s">
        <v>1119</v>
      </c>
      <c r="E303" s="522">
        <v>201612</v>
      </c>
      <c r="F303" s="523">
        <v>32365.71</v>
      </c>
      <c r="G303" s="386" t="s">
        <v>449</v>
      </c>
      <c r="H303" s="386" t="s">
        <v>450</v>
      </c>
    </row>
    <row r="304" spans="1:8" ht="15">
      <c r="A304" s="521" t="s">
        <v>318</v>
      </c>
      <c r="B304" s="522" t="s">
        <v>1120</v>
      </c>
      <c r="C304" s="424" t="s">
        <v>330</v>
      </c>
      <c r="D304" s="521" t="s">
        <v>1121</v>
      </c>
      <c r="E304" s="522">
        <v>201612</v>
      </c>
      <c r="F304" s="523">
        <v>10790.88</v>
      </c>
      <c r="G304" s="386" t="s">
        <v>449</v>
      </c>
      <c r="H304" s="386" t="s">
        <v>450</v>
      </c>
    </row>
    <row r="305" spans="1:8" ht="15">
      <c r="A305" s="521" t="s">
        <v>318</v>
      </c>
      <c r="B305" s="522" t="s">
        <v>1120</v>
      </c>
      <c r="C305" s="424" t="s">
        <v>330</v>
      </c>
      <c r="D305" s="521" t="s">
        <v>1121</v>
      </c>
      <c r="E305" s="522">
        <v>201612</v>
      </c>
      <c r="F305" s="523">
        <v>44537.57</v>
      </c>
      <c r="G305" s="386" t="s">
        <v>449</v>
      </c>
      <c r="H305" s="386" t="s">
        <v>450</v>
      </c>
    </row>
    <row r="306" spans="1:8" ht="15">
      <c r="A306" s="863" t="s">
        <v>318</v>
      </c>
      <c r="B306" s="864" t="s">
        <v>320</v>
      </c>
      <c r="C306" s="424" t="s">
        <v>319</v>
      </c>
      <c r="D306" s="863" t="s">
        <v>321</v>
      </c>
      <c r="E306" s="864">
        <v>201701</v>
      </c>
      <c r="F306" s="865">
        <v>4137.13</v>
      </c>
      <c r="G306" s="386" t="s">
        <v>449</v>
      </c>
      <c r="H306" s="386" t="s">
        <v>544</v>
      </c>
    </row>
    <row r="307" spans="1:8" ht="15">
      <c r="A307" s="863" t="s">
        <v>318</v>
      </c>
      <c r="B307" s="864" t="s">
        <v>323</v>
      </c>
      <c r="C307" s="424" t="s">
        <v>319</v>
      </c>
      <c r="D307" s="863" t="s">
        <v>324</v>
      </c>
      <c r="E307" s="864">
        <v>201701</v>
      </c>
      <c r="F307" s="865">
        <v>315.85000000000002</v>
      </c>
      <c r="G307" s="386" t="s">
        <v>449</v>
      </c>
      <c r="H307" s="386" t="s">
        <v>544</v>
      </c>
    </row>
    <row r="308" spans="1:8" ht="15">
      <c r="A308" s="863" t="s">
        <v>322</v>
      </c>
      <c r="B308" s="864" t="s">
        <v>325</v>
      </c>
      <c r="C308" s="424" t="s">
        <v>319</v>
      </c>
      <c r="D308" s="863" t="s">
        <v>326</v>
      </c>
      <c r="E308" s="864">
        <v>201701</v>
      </c>
      <c r="F308" s="865">
        <v>1053.44</v>
      </c>
      <c r="G308" s="386" t="s">
        <v>449</v>
      </c>
      <c r="H308" s="386" t="s">
        <v>544</v>
      </c>
    </row>
    <row r="309" spans="1:8" ht="15">
      <c r="A309" s="863" t="s">
        <v>318</v>
      </c>
      <c r="B309" s="864" t="s">
        <v>327</v>
      </c>
      <c r="C309" s="424" t="s">
        <v>319</v>
      </c>
      <c r="D309" s="863" t="s">
        <v>328</v>
      </c>
      <c r="E309" s="864">
        <v>201701</v>
      </c>
      <c r="F309" s="865">
        <v>30867.37</v>
      </c>
      <c r="G309" s="386" t="s">
        <v>449</v>
      </c>
      <c r="H309" s="386" t="s">
        <v>544</v>
      </c>
    </row>
    <row r="310" spans="1:8" ht="15">
      <c r="A310" s="863" t="s">
        <v>318</v>
      </c>
      <c r="B310" s="864" t="s">
        <v>941</v>
      </c>
      <c r="C310" s="424" t="s">
        <v>330</v>
      </c>
      <c r="D310" s="863" t="s">
        <v>942</v>
      </c>
      <c r="E310" s="864">
        <v>201701</v>
      </c>
      <c r="F310" s="865">
        <v>-9.17</v>
      </c>
      <c r="G310" s="386" t="s">
        <v>449</v>
      </c>
      <c r="H310" s="386" t="s">
        <v>450</v>
      </c>
    </row>
    <row r="311" spans="1:8" ht="15">
      <c r="A311" s="863" t="s">
        <v>318</v>
      </c>
      <c r="B311" s="864" t="s">
        <v>941</v>
      </c>
      <c r="C311" s="424" t="s">
        <v>330</v>
      </c>
      <c r="D311" s="863" t="s">
        <v>942</v>
      </c>
      <c r="E311" s="864">
        <v>201701</v>
      </c>
      <c r="F311" s="865">
        <v>-0.63</v>
      </c>
      <c r="G311" s="386" t="s">
        <v>449</v>
      </c>
      <c r="H311" s="386" t="s">
        <v>450</v>
      </c>
    </row>
    <row r="312" spans="1:8" ht="15">
      <c r="A312" s="863" t="s">
        <v>318</v>
      </c>
      <c r="B312" s="864" t="s">
        <v>856</v>
      </c>
      <c r="C312" s="424" t="s">
        <v>330</v>
      </c>
      <c r="D312" s="863" t="s">
        <v>857</v>
      </c>
      <c r="E312" s="864">
        <v>201701</v>
      </c>
      <c r="F312" s="865">
        <v>-4257.01</v>
      </c>
      <c r="G312" s="386" t="s">
        <v>449</v>
      </c>
      <c r="H312" s="386" t="s">
        <v>450</v>
      </c>
    </row>
    <row r="313" spans="1:8" ht="15">
      <c r="A313" s="863" t="s">
        <v>318</v>
      </c>
      <c r="B313" s="864" t="s">
        <v>856</v>
      </c>
      <c r="C313" s="424" t="s">
        <v>330</v>
      </c>
      <c r="D313" s="863" t="s">
        <v>857</v>
      </c>
      <c r="E313" s="864">
        <v>201701</v>
      </c>
      <c r="F313" s="865">
        <v>-236.97</v>
      </c>
      <c r="G313" s="386" t="s">
        <v>449</v>
      </c>
      <c r="H313" s="386" t="s">
        <v>450</v>
      </c>
    </row>
    <row r="314" spans="1:8" ht="15">
      <c r="A314" s="863" t="s">
        <v>318</v>
      </c>
      <c r="B314" s="864" t="s">
        <v>800</v>
      </c>
      <c r="C314" s="424" t="s">
        <v>330</v>
      </c>
      <c r="D314" s="863" t="s">
        <v>830</v>
      </c>
      <c r="E314" s="864">
        <v>201701</v>
      </c>
      <c r="F314" s="865">
        <v>-212.3</v>
      </c>
      <c r="G314" s="386" t="s">
        <v>449</v>
      </c>
      <c r="H314" s="386" t="s">
        <v>450</v>
      </c>
    </row>
    <row r="315" spans="1:8" ht="15">
      <c r="A315" s="863" t="s">
        <v>318</v>
      </c>
      <c r="B315" s="864" t="s">
        <v>800</v>
      </c>
      <c r="C315" s="424" t="s">
        <v>330</v>
      </c>
      <c r="D315" s="863" t="s">
        <v>830</v>
      </c>
      <c r="E315" s="864">
        <v>201701</v>
      </c>
      <c r="F315" s="865">
        <v>-15.59</v>
      </c>
      <c r="G315" s="386" t="s">
        <v>449</v>
      </c>
      <c r="H315" s="386" t="s">
        <v>450</v>
      </c>
    </row>
    <row r="316" spans="1:8" ht="15">
      <c r="A316" s="863" t="s">
        <v>318</v>
      </c>
      <c r="B316" s="864" t="s">
        <v>629</v>
      </c>
      <c r="C316" s="424" t="s">
        <v>330</v>
      </c>
      <c r="D316" s="863" t="s">
        <v>630</v>
      </c>
      <c r="E316" s="864">
        <v>201701</v>
      </c>
      <c r="F316" s="865">
        <v>0.38</v>
      </c>
      <c r="G316" s="386" t="s">
        <v>449</v>
      </c>
      <c r="H316" s="386" t="s">
        <v>450</v>
      </c>
    </row>
    <row r="317" spans="1:8" ht="15">
      <c r="A317" s="863" t="s">
        <v>318</v>
      </c>
      <c r="B317" s="864" t="s">
        <v>629</v>
      </c>
      <c r="C317" s="424" t="s">
        <v>330</v>
      </c>
      <c r="D317" s="863" t="s">
        <v>630</v>
      </c>
      <c r="E317" s="864">
        <v>201701</v>
      </c>
      <c r="F317" s="865">
        <v>23.01</v>
      </c>
      <c r="G317" s="386" t="s">
        <v>449</v>
      </c>
      <c r="H317" s="386" t="s">
        <v>450</v>
      </c>
    </row>
    <row r="318" spans="1:8" ht="15">
      <c r="A318" s="863" t="s">
        <v>318</v>
      </c>
      <c r="B318" s="864" t="s">
        <v>838</v>
      </c>
      <c r="C318" s="424" t="s">
        <v>330</v>
      </c>
      <c r="D318" s="863" t="s">
        <v>1015</v>
      </c>
      <c r="E318" s="864">
        <v>201701</v>
      </c>
      <c r="F318" s="865">
        <v>0.05</v>
      </c>
      <c r="G318" s="386" t="s">
        <v>449</v>
      </c>
      <c r="H318" s="386" t="s">
        <v>450</v>
      </c>
    </row>
    <row r="319" spans="1:8" ht="15">
      <c r="A319" s="863" t="s">
        <v>318</v>
      </c>
      <c r="B319" s="864" t="s">
        <v>838</v>
      </c>
      <c r="C319" s="424" t="s">
        <v>330</v>
      </c>
      <c r="D319" s="863" t="s">
        <v>1015</v>
      </c>
      <c r="E319" s="864">
        <v>201701</v>
      </c>
      <c r="F319" s="865">
        <v>0.12</v>
      </c>
      <c r="G319" s="386" t="s">
        <v>449</v>
      </c>
      <c r="H319" s="386" t="s">
        <v>450</v>
      </c>
    </row>
    <row r="320" spans="1:8" ht="15">
      <c r="A320" s="863" t="s">
        <v>318</v>
      </c>
      <c r="B320" s="864" t="s">
        <v>661</v>
      </c>
      <c r="C320" s="424" t="s">
        <v>330</v>
      </c>
      <c r="D320" s="863" t="s">
        <v>662</v>
      </c>
      <c r="E320" s="864">
        <v>201701</v>
      </c>
      <c r="F320" s="865">
        <v>0.05</v>
      </c>
      <c r="G320" s="386" t="s">
        <v>449</v>
      </c>
      <c r="H320" s="386" t="s">
        <v>450</v>
      </c>
    </row>
    <row r="321" spans="1:8" ht="15">
      <c r="A321" s="863" t="s">
        <v>318</v>
      </c>
      <c r="B321" s="864" t="s">
        <v>661</v>
      </c>
      <c r="C321" s="424" t="s">
        <v>330</v>
      </c>
      <c r="D321" s="863" t="s">
        <v>662</v>
      </c>
      <c r="E321" s="864">
        <v>201701</v>
      </c>
      <c r="F321" s="865">
        <v>0.96</v>
      </c>
      <c r="G321" s="386" t="s">
        <v>449</v>
      </c>
      <c r="H321" s="386" t="s">
        <v>450</v>
      </c>
    </row>
    <row r="322" spans="1:8" ht="15">
      <c r="A322" s="863" t="s">
        <v>318</v>
      </c>
      <c r="B322" s="864" t="s">
        <v>801</v>
      </c>
      <c r="C322" s="424" t="s">
        <v>330</v>
      </c>
      <c r="D322" s="863" t="s">
        <v>802</v>
      </c>
      <c r="E322" s="864">
        <v>201701</v>
      </c>
      <c r="F322" s="865">
        <v>0.03</v>
      </c>
      <c r="G322" s="386" t="s">
        <v>449</v>
      </c>
      <c r="H322" s="386" t="s">
        <v>450</v>
      </c>
    </row>
    <row r="323" spans="1:8" ht="15">
      <c r="A323" s="863" t="s">
        <v>318</v>
      </c>
      <c r="B323" s="864" t="s">
        <v>801</v>
      </c>
      <c r="C323" s="424" t="s">
        <v>330</v>
      </c>
      <c r="D323" s="863" t="s">
        <v>802</v>
      </c>
      <c r="E323" s="864">
        <v>201701</v>
      </c>
      <c r="F323" s="865">
        <v>0.65</v>
      </c>
      <c r="G323" s="386" t="s">
        <v>449</v>
      </c>
      <c r="H323" s="386" t="s">
        <v>450</v>
      </c>
    </row>
    <row r="324" spans="1:8" ht="15">
      <c r="A324" s="863" t="s">
        <v>318</v>
      </c>
      <c r="B324" s="864" t="s">
        <v>803</v>
      </c>
      <c r="C324" s="424" t="s">
        <v>330</v>
      </c>
      <c r="D324" s="863" t="s">
        <v>804</v>
      </c>
      <c r="E324" s="864">
        <v>201701</v>
      </c>
      <c r="F324" s="865">
        <v>0.23</v>
      </c>
      <c r="G324" s="386" t="s">
        <v>449</v>
      </c>
      <c r="H324" s="386" t="s">
        <v>450</v>
      </c>
    </row>
    <row r="325" spans="1:8" ht="15">
      <c r="A325" s="863" t="s">
        <v>318</v>
      </c>
      <c r="B325" s="864" t="s">
        <v>803</v>
      </c>
      <c r="C325" s="424" t="s">
        <v>330</v>
      </c>
      <c r="D325" s="863" t="s">
        <v>804</v>
      </c>
      <c r="E325" s="864">
        <v>201701</v>
      </c>
      <c r="F325" s="865">
        <v>2.81</v>
      </c>
      <c r="G325" s="386" t="s">
        <v>449</v>
      </c>
      <c r="H325" s="386" t="s">
        <v>450</v>
      </c>
    </row>
    <row r="326" spans="1:8" ht="15">
      <c r="A326" s="863" t="s">
        <v>318</v>
      </c>
      <c r="B326" s="864" t="s">
        <v>805</v>
      </c>
      <c r="C326" s="424" t="s">
        <v>330</v>
      </c>
      <c r="D326" s="863" t="s">
        <v>806</v>
      </c>
      <c r="E326" s="864">
        <v>201701</v>
      </c>
      <c r="F326" s="865">
        <v>-0.08</v>
      </c>
      <c r="G326" s="386" t="s">
        <v>449</v>
      </c>
      <c r="H326" s="386" t="s">
        <v>450</v>
      </c>
    </row>
    <row r="327" spans="1:8" ht="15">
      <c r="A327" s="863" t="s">
        <v>318</v>
      </c>
      <c r="B327" s="864" t="s">
        <v>805</v>
      </c>
      <c r="C327" s="424" t="s">
        <v>330</v>
      </c>
      <c r="D327" s="863" t="s">
        <v>806</v>
      </c>
      <c r="E327" s="864">
        <v>201701</v>
      </c>
      <c r="F327" s="865">
        <v>-0.01</v>
      </c>
      <c r="G327" s="386" t="s">
        <v>449</v>
      </c>
      <c r="H327" s="386" t="s">
        <v>450</v>
      </c>
    </row>
    <row r="328" spans="1:8" ht="15">
      <c r="A328" s="863" t="s">
        <v>318</v>
      </c>
      <c r="B328" s="864" t="s">
        <v>1067</v>
      </c>
      <c r="C328" s="424" t="s">
        <v>330</v>
      </c>
      <c r="D328" s="863" t="s">
        <v>1068</v>
      </c>
      <c r="E328" s="864">
        <v>201701</v>
      </c>
      <c r="F328" s="865">
        <v>11.07</v>
      </c>
      <c r="G328" s="386" t="s">
        <v>449</v>
      </c>
      <c r="H328" s="386" t="s">
        <v>450</v>
      </c>
    </row>
    <row r="329" spans="1:8" ht="15">
      <c r="A329" s="863" t="s">
        <v>318</v>
      </c>
      <c r="B329" s="864" t="s">
        <v>1067</v>
      </c>
      <c r="C329" s="424" t="s">
        <v>330</v>
      </c>
      <c r="D329" s="863" t="s">
        <v>1068</v>
      </c>
      <c r="E329" s="864">
        <v>201701</v>
      </c>
      <c r="F329" s="865">
        <v>512.19000000000005</v>
      </c>
      <c r="G329" s="386" t="s">
        <v>449</v>
      </c>
      <c r="H329" s="386" t="s">
        <v>450</v>
      </c>
    </row>
    <row r="330" spans="1:8" ht="15">
      <c r="A330" s="863" t="s">
        <v>318</v>
      </c>
      <c r="B330" s="864" t="s">
        <v>858</v>
      </c>
      <c r="C330" s="424" t="s">
        <v>329</v>
      </c>
      <c r="D330" s="863" t="s">
        <v>859</v>
      </c>
      <c r="E330" s="864">
        <v>201701</v>
      </c>
      <c r="F330" s="865">
        <v>0.12</v>
      </c>
      <c r="G330" s="386" t="s">
        <v>449</v>
      </c>
      <c r="H330" s="386" t="s">
        <v>450</v>
      </c>
    </row>
    <row r="331" spans="1:8" ht="15">
      <c r="A331" s="863" t="s">
        <v>318</v>
      </c>
      <c r="B331" s="864" t="s">
        <v>858</v>
      </c>
      <c r="C331" s="424" t="s">
        <v>329</v>
      </c>
      <c r="D331" s="863" t="s">
        <v>859</v>
      </c>
      <c r="E331" s="864">
        <v>201701</v>
      </c>
      <c r="F331" s="865">
        <v>0.31</v>
      </c>
      <c r="G331" s="386" t="s">
        <v>449</v>
      </c>
      <c r="H331" s="386" t="s">
        <v>450</v>
      </c>
    </row>
    <row r="332" spans="1:8" ht="15">
      <c r="A332" s="863" t="s">
        <v>318</v>
      </c>
      <c r="B332" s="864" t="s">
        <v>808</v>
      </c>
      <c r="C332" s="424" t="s">
        <v>329</v>
      </c>
      <c r="D332" s="863" t="s">
        <v>809</v>
      </c>
      <c r="E332" s="864">
        <v>201701</v>
      </c>
      <c r="F332" s="865">
        <v>7.0000000000000007E-2</v>
      </c>
      <c r="G332" s="386" t="s">
        <v>449</v>
      </c>
      <c r="H332" s="386" t="s">
        <v>450</v>
      </c>
    </row>
    <row r="333" spans="1:8" ht="15">
      <c r="A333" s="863" t="s">
        <v>318</v>
      </c>
      <c r="B333" s="864" t="s">
        <v>808</v>
      </c>
      <c r="C333" s="424" t="s">
        <v>329</v>
      </c>
      <c r="D333" s="863" t="s">
        <v>809</v>
      </c>
      <c r="E333" s="864">
        <v>201701</v>
      </c>
      <c r="F333" s="865">
        <v>0.18</v>
      </c>
      <c r="G333" s="386" t="s">
        <v>449</v>
      </c>
      <c r="H333" s="386" t="s">
        <v>450</v>
      </c>
    </row>
    <row r="334" spans="1:8" ht="15">
      <c r="A334" s="863" t="s">
        <v>322</v>
      </c>
      <c r="B334" s="864" t="s">
        <v>667</v>
      </c>
      <c r="C334" s="424" t="s">
        <v>329</v>
      </c>
      <c r="D334" s="863" t="s">
        <v>668</v>
      </c>
      <c r="E334" s="864">
        <v>201701</v>
      </c>
      <c r="F334" s="865">
        <v>0.02</v>
      </c>
      <c r="G334" s="386" t="s">
        <v>449</v>
      </c>
      <c r="H334" s="386" t="s">
        <v>450</v>
      </c>
    </row>
    <row r="335" spans="1:8" ht="15">
      <c r="A335" s="863" t="s">
        <v>318</v>
      </c>
      <c r="B335" s="864" t="s">
        <v>667</v>
      </c>
      <c r="C335" s="424" t="s">
        <v>329</v>
      </c>
      <c r="D335" s="863" t="s">
        <v>668</v>
      </c>
      <c r="E335" s="864">
        <v>201701</v>
      </c>
      <c r="F335" s="865">
        <v>0.05</v>
      </c>
      <c r="G335" s="386" t="s">
        <v>449</v>
      </c>
      <c r="H335" s="386" t="s">
        <v>450</v>
      </c>
    </row>
    <row r="336" spans="1:8" ht="15">
      <c r="A336" s="863" t="s">
        <v>318</v>
      </c>
      <c r="B336" s="864" t="s">
        <v>667</v>
      </c>
      <c r="C336" s="424" t="s">
        <v>329</v>
      </c>
      <c r="D336" s="863" t="s">
        <v>668</v>
      </c>
      <c r="E336" s="864">
        <v>201701</v>
      </c>
      <c r="F336" s="865">
        <v>0.18</v>
      </c>
      <c r="G336" s="386" t="s">
        <v>449</v>
      </c>
      <c r="H336" s="386" t="s">
        <v>450</v>
      </c>
    </row>
    <row r="337" spans="1:8" ht="15">
      <c r="A337" s="863" t="s">
        <v>318</v>
      </c>
      <c r="B337" s="864" t="s">
        <v>1033</v>
      </c>
      <c r="C337" s="424" t="s">
        <v>330</v>
      </c>
      <c r="D337" s="863" t="s">
        <v>1034</v>
      </c>
      <c r="E337" s="864">
        <v>201701</v>
      </c>
      <c r="F337" s="865">
        <v>30.06</v>
      </c>
      <c r="G337" s="386" t="s">
        <v>449</v>
      </c>
      <c r="H337" s="386" t="s">
        <v>450</v>
      </c>
    </row>
    <row r="338" spans="1:8" ht="15">
      <c r="A338" s="863" t="s">
        <v>318</v>
      </c>
      <c r="B338" s="864" t="s">
        <v>1033</v>
      </c>
      <c r="C338" s="424" t="s">
        <v>330</v>
      </c>
      <c r="D338" s="863" t="s">
        <v>1034</v>
      </c>
      <c r="E338" s="864">
        <v>201701</v>
      </c>
      <c r="F338" s="865">
        <v>548.07000000000005</v>
      </c>
      <c r="G338" s="386" t="s">
        <v>449</v>
      </c>
      <c r="H338" s="386" t="s">
        <v>450</v>
      </c>
    </row>
    <row r="339" spans="1:8" ht="15">
      <c r="A339" s="863" t="s">
        <v>318</v>
      </c>
      <c r="B339" s="864" t="s">
        <v>1132</v>
      </c>
      <c r="C339" s="424" t="s">
        <v>330</v>
      </c>
      <c r="D339" s="863" t="s">
        <v>1133</v>
      </c>
      <c r="E339" s="864">
        <v>201701</v>
      </c>
      <c r="F339" s="865">
        <v>-968.24</v>
      </c>
      <c r="G339" s="386" t="s">
        <v>449</v>
      </c>
      <c r="H339" s="386" t="s">
        <v>450</v>
      </c>
    </row>
    <row r="340" spans="1:8" ht="15">
      <c r="A340" s="863" t="s">
        <v>318</v>
      </c>
      <c r="B340" s="864" t="s">
        <v>1132</v>
      </c>
      <c r="C340" s="424" t="s">
        <v>330</v>
      </c>
      <c r="D340" s="863" t="s">
        <v>1133</v>
      </c>
      <c r="E340" s="864">
        <v>201701</v>
      </c>
      <c r="F340" s="865">
        <v>844.32</v>
      </c>
      <c r="G340" s="386" t="s">
        <v>449</v>
      </c>
      <c r="H340" s="386" t="s">
        <v>450</v>
      </c>
    </row>
    <row r="341" spans="1:8" ht="15">
      <c r="A341" s="863" t="s">
        <v>318</v>
      </c>
      <c r="B341" s="864" t="s">
        <v>832</v>
      </c>
      <c r="C341" s="424" t="s">
        <v>330</v>
      </c>
      <c r="D341" s="863" t="s">
        <v>833</v>
      </c>
      <c r="E341" s="864">
        <v>201701</v>
      </c>
      <c r="F341" s="865">
        <v>2288.98</v>
      </c>
      <c r="G341" s="386" t="s">
        <v>449</v>
      </c>
      <c r="H341" s="386" t="s">
        <v>450</v>
      </c>
    </row>
    <row r="342" spans="1:8" ht="15">
      <c r="A342" s="863" t="s">
        <v>318</v>
      </c>
      <c r="B342" s="864" t="s">
        <v>832</v>
      </c>
      <c r="C342" s="424" t="s">
        <v>330</v>
      </c>
      <c r="D342" s="863" t="s">
        <v>833</v>
      </c>
      <c r="E342" s="864">
        <v>201701</v>
      </c>
      <c r="F342" s="865">
        <v>9284.2000000000007</v>
      </c>
      <c r="G342" s="386" t="s">
        <v>449</v>
      </c>
      <c r="H342" s="386" t="s">
        <v>450</v>
      </c>
    </row>
    <row r="343" spans="1:8" ht="15">
      <c r="A343" s="863" t="s">
        <v>318</v>
      </c>
      <c r="B343" s="864" t="s">
        <v>947</v>
      </c>
      <c r="C343" s="424" t="s">
        <v>330</v>
      </c>
      <c r="D343" s="863" t="s">
        <v>948</v>
      </c>
      <c r="E343" s="864">
        <v>201701</v>
      </c>
      <c r="F343" s="865">
        <v>-62417.3</v>
      </c>
      <c r="G343" s="386" t="s">
        <v>449</v>
      </c>
      <c r="H343" s="386" t="s">
        <v>450</v>
      </c>
    </row>
    <row r="344" spans="1:8" ht="15">
      <c r="A344" s="863" t="s">
        <v>318</v>
      </c>
      <c r="B344" s="864" t="s">
        <v>947</v>
      </c>
      <c r="C344" s="424" t="s">
        <v>330</v>
      </c>
      <c r="D344" s="863" t="s">
        <v>948</v>
      </c>
      <c r="E344" s="864">
        <v>201701</v>
      </c>
      <c r="F344" s="865">
        <v>-9963.02</v>
      </c>
      <c r="G344" s="386" t="s">
        <v>449</v>
      </c>
      <c r="H344" s="386" t="s">
        <v>450</v>
      </c>
    </row>
    <row r="345" spans="1:8" ht="15">
      <c r="A345" s="863" t="s">
        <v>318</v>
      </c>
      <c r="B345" s="864" t="s">
        <v>949</v>
      </c>
      <c r="C345" s="424" t="s">
        <v>330</v>
      </c>
      <c r="D345" s="863" t="s">
        <v>950</v>
      </c>
      <c r="E345" s="864">
        <v>201701</v>
      </c>
      <c r="F345" s="865">
        <v>423.72</v>
      </c>
      <c r="G345" s="386" t="s">
        <v>449</v>
      </c>
      <c r="H345" s="386" t="s">
        <v>450</v>
      </c>
    </row>
    <row r="346" spans="1:8" ht="15">
      <c r="A346" s="863" t="s">
        <v>318</v>
      </c>
      <c r="B346" s="864" t="s">
        <v>949</v>
      </c>
      <c r="C346" s="424" t="s">
        <v>330</v>
      </c>
      <c r="D346" s="863" t="s">
        <v>950</v>
      </c>
      <c r="E346" s="864">
        <v>201701</v>
      </c>
      <c r="F346" s="865">
        <v>8699.2999999999993</v>
      </c>
      <c r="G346" s="386" t="s">
        <v>449</v>
      </c>
      <c r="H346" s="386" t="s">
        <v>450</v>
      </c>
    </row>
    <row r="347" spans="1:8" ht="15">
      <c r="A347" s="863" t="s">
        <v>318</v>
      </c>
      <c r="B347" s="864" t="s">
        <v>951</v>
      </c>
      <c r="C347" s="424" t="s">
        <v>330</v>
      </c>
      <c r="D347" s="863" t="s">
        <v>952</v>
      </c>
      <c r="E347" s="864">
        <v>201701</v>
      </c>
      <c r="F347" s="865">
        <v>-55764.47</v>
      </c>
      <c r="G347" s="386" t="s">
        <v>449</v>
      </c>
      <c r="H347" s="386" t="s">
        <v>450</v>
      </c>
    </row>
    <row r="348" spans="1:8" ht="15">
      <c r="A348" s="863" t="s">
        <v>318</v>
      </c>
      <c r="B348" s="864" t="s">
        <v>951</v>
      </c>
      <c r="C348" s="424" t="s">
        <v>330</v>
      </c>
      <c r="D348" s="863" t="s">
        <v>952</v>
      </c>
      <c r="E348" s="864">
        <v>201701</v>
      </c>
      <c r="F348" s="865">
        <v>-2929.44</v>
      </c>
      <c r="G348" s="386" t="s">
        <v>449</v>
      </c>
      <c r="H348" s="386" t="s">
        <v>450</v>
      </c>
    </row>
    <row r="349" spans="1:8" ht="15">
      <c r="A349" s="863" t="s">
        <v>318</v>
      </c>
      <c r="B349" s="864" t="s">
        <v>955</v>
      </c>
      <c r="C349" s="424" t="s">
        <v>330</v>
      </c>
      <c r="D349" s="863" t="s">
        <v>956</v>
      </c>
      <c r="E349" s="864">
        <v>201701</v>
      </c>
      <c r="F349" s="865">
        <v>-568.54</v>
      </c>
      <c r="G349" s="386" t="s">
        <v>449</v>
      </c>
      <c r="H349" s="386" t="s">
        <v>450</v>
      </c>
    </row>
    <row r="350" spans="1:8" ht="15">
      <c r="A350" s="863" t="s">
        <v>318</v>
      </c>
      <c r="B350" s="864" t="s">
        <v>955</v>
      </c>
      <c r="C350" s="424" t="s">
        <v>330</v>
      </c>
      <c r="D350" s="863" t="s">
        <v>956</v>
      </c>
      <c r="E350" s="864">
        <v>201701</v>
      </c>
      <c r="F350" s="865">
        <v>7955.74</v>
      </c>
      <c r="G350" s="386" t="s">
        <v>449</v>
      </c>
      <c r="H350" s="386" t="s">
        <v>450</v>
      </c>
    </row>
    <row r="351" spans="1:8" ht="15">
      <c r="A351" s="863" t="s">
        <v>318</v>
      </c>
      <c r="B351" s="864" t="s">
        <v>672</v>
      </c>
      <c r="C351" s="424" t="s">
        <v>330</v>
      </c>
      <c r="D351" s="863" t="s">
        <v>673</v>
      </c>
      <c r="E351" s="864">
        <v>201701</v>
      </c>
      <c r="F351" s="865">
        <v>0.35</v>
      </c>
      <c r="G351" s="386" t="s">
        <v>449</v>
      </c>
      <c r="H351" s="386" t="s">
        <v>450</v>
      </c>
    </row>
    <row r="352" spans="1:8" ht="15">
      <c r="A352" s="863" t="s">
        <v>318</v>
      </c>
      <c r="B352" s="864" t="s">
        <v>840</v>
      </c>
      <c r="C352" s="424" t="s">
        <v>330</v>
      </c>
      <c r="D352" s="863" t="s">
        <v>841</v>
      </c>
      <c r="E352" s="864">
        <v>201701</v>
      </c>
      <c r="F352" s="865">
        <v>996.01</v>
      </c>
      <c r="G352" s="386" t="s">
        <v>449</v>
      </c>
      <c r="H352" s="386" t="s">
        <v>450</v>
      </c>
    </row>
    <row r="353" spans="1:8" ht="15">
      <c r="A353" s="863" t="s">
        <v>318</v>
      </c>
      <c r="B353" s="864" t="s">
        <v>840</v>
      </c>
      <c r="C353" s="424" t="s">
        <v>330</v>
      </c>
      <c r="D353" s="863" t="s">
        <v>841</v>
      </c>
      <c r="E353" s="864">
        <v>201701</v>
      </c>
      <c r="F353" s="865">
        <v>10574.86</v>
      </c>
      <c r="G353" s="386" t="s">
        <v>449</v>
      </c>
      <c r="H353" s="386" t="s">
        <v>450</v>
      </c>
    </row>
    <row r="354" spans="1:8" ht="15">
      <c r="A354" s="863" t="s">
        <v>318</v>
      </c>
      <c r="B354" s="864" t="s">
        <v>961</v>
      </c>
      <c r="C354" s="424" t="s">
        <v>330</v>
      </c>
      <c r="D354" s="863" t="s">
        <v>962</v>
      </c>
      <c r="E354" s="864">
        <v>201701</v>
      </c>
      <c r="F354" s="865">
        <v>3733.01</v>
      </c>
      <c r="G354" s="386" t="s">
        <v>449</v>
      </c>
      <c r="H354" s="386" t="s">
        <v>450</v>
      </c>
    </row>
    <row r="355" spans="1:8" ht="15">
      <c r="A355" s="863" t="s">
        <v>318</v>
      </c>
      <c r="B355" s="864" t="s">
        <v>961</v>
      </c>
      <c r="C355" s="424" t="s">
        <v>330</v>
      </c>
      <c r="D355" s="863" t="s">
        <v>962</v>
      </c>
      <c r="E355" s="864">
        <v>201701</v>
      </c>
      <c r="F355" s="865">
        <v>60038.35</v>
      </c>
      <c r="G355" s="386" t="s">
        <v>449</v>
      </c>
      <c r="H355" s="386" t="s">
        <v>450</v>
      </c>
    </row>
    <row r="356" spans="1:8" ht="15">
      <c r="A356" s="863" t="s">
        <v>318</v>
      </c>
      <c r="B356" s="864" t="s">
        <v>963</v>
      </c>
      <c r="C356" s="424" t="s">
        <v>330</v>
      </c>
      <c r="D356" s="863" t="s">
        <v>964</v>
      </c>
      <c r="E356" s="864">
        <v>201701</v>
      </c>
      <c r="F356" s="865">
        <v>7.08</v>
      </c>
      <c r="G356" s="386" t="s">
        <v>449</v>
      </c>
      <c r="H356" s="386" t="s">
        <v>450</v>
      </c>
    </row>
    <row r="357" spans="1:8" ht="15">
      <c r="A357" s="863" t="s">
        <v>318</v>
      </c>
      <c r="B357" s="864" t="s">
        <v>963</v>
      </c>
      <c r="C357" s="424" t="s">
        <v>330</v>
      </c>
      <c r="D357" s="863" t="s">
        <v>964</v>
      </c>
      <c r="E357" s="864">
        <v>201701</v>
      </c>
      <c r="F357" s="865">
        <v>90.82</v>
      </c>
      <c r="G357" s="386" t="s">
        <v>449</v>
      </c>
      <c r="H357" s="386" t="s">
        <v>450</v>
      </c>
    </row>
    <row r="358" spans="1:8" ht="15">
      <c r="A358" s="863" t="s">
        <v>318</v>
      </c>
      <c r="B358" s="864" t="s">
        <v>842</v>
      </c>
      <c r="C358" s="424" t="s">
        <v>330</v>
      </c>
      <c r="D358" s="863" t="s">
        <v>843</v>
      </c>
      <c r="E358" s="864">
        <v>201701</v>
      </c>
      <c r="F358" s="865">
        <v>78.53</v>
      </c>
      <c r="G358" s="386" t="s">
        <v>449</v>
      </c>
      <c r="H358" s="386" t="s">
        <v>450</v>
      </c>
    </row>
    <row r="359" spans="1:8" ht="15">
      <c r="A359" s="863" t="s">
        <v>318</v>
      </c>
      <c r="B359" s="864" t="s">
        <v>842</v>
      </c>
      <c r="C359" s="424" t="s">
        <v>330</v>
      </c>
      <c r="D359" s="863" t="s">
        <v>843</v>
      </c>
      <c r="E359" s="864">
        <v>201701</v>
      </c>
      <c r="F359" s="865">
        <v>82.61</v>
      </c>
      <c r="G359" s="386" t="s">
        <v>449</v>
      </c>
      <c r="H359" s="386" t="s">
        <v>450</v>
      </c>
    </row>
    <row r="360" spans="1:8" ht="15">
      <c r="A360" s="863" t="s">
        <v>318</v>
      </c>
      <c r="B360" s="864" t="s">
        <v>844</v>
      </c>
      <c r="C360" s="424" t="s">
        <v>329</v>
      </c>
      <c r="D360" s="863" t="s">
        <v>845</v>
      </c>
      <c r="E360" s="864">
        <v>201701</v>
      </c>
      <c r="F360" s="865">
        <v>0.5</v>
      </c>
      <c r="G360" s="386" t="s">
        <v>449</v>
      </c>
      <c r="H360" s="386" t="s">
        <v>450</v>
      </c>
    </row>
    <row r="361" spans="1:8" ht="15">
      <c r="A361" s="863" t="s">
        <v>318</v>
      </c>
      <c r="B361" s="864" t="s">
        <v>1035</v>
      </c>
      <c r="C361" s="424" t="s">
        <v>329</v>
      </c>
      <c r="D361" s="863" t="s">
        <v>1036</v>
      </c>
      <c r="E361" s="864">
        <v>201701</v>
      </c>
      <c r="F361" s="865">
        <v>0.01</v>
      </c>
      <c r="G361" s="386" t="s">
        <v>449</v>
      </c>
      <c r="H361" s="386" t="s">
        <v>450</v>
      </c>
    </row>
    <row r="362" spans="1:8" ht="15">
      <c r="A362" s="863" t="s">
        <v>318</v>
      </c>
      <c r="B362" s="864" t="s">
        <v>1035</v>
      </c>
      <c r="C362" s="424" t="s">
        <v>329</v>
      </c>
      <c r="D362" s="863" t="s">
        <v>1036</v>
      </c>
      <c r="E362" s="864">
        <v>201701</v>
      </c>
      <c r="F362" s="865">
        <v>0.24</v>
      </c>
      <c r="G362" s="386" t="s">
        <v>449</v>
      </c>
      <c r="H362" s="386" t="s">
        <v>450</v>
      </c>
    </row>
    <row r="363" spans="1:8" ht="15">
      <c r="A363" s="863" t="s">
        <v>318</v>
      </c>
      <c r="B363" s="864" t="s">
        <v>862</v>
      </c>
      <c r="C363" s="424" t="s">
        <v>330</v>
      </c>
      <c r="D363" s="863" t="s">
        <v>863</v>
      </c>
      <c r="E363" s="864">
        <v>201701</v>
      </c>
      <c r="F363" s="865">
        <v>-7.0000000000000007E-2</v>
      </c>
      <c r="G363" s="386" t="s">
        <v>449</v>
      </c>
      <c r="H363" s="386" t="s">
        <v>450</v>
      </c>
    </row>
    <row r="364" spans="1:8" ht="15">
      <c r="A364" s="863" t="s">
        <v>318</v>
      </c>
      <c r="B364" s="864" t="s">
        <v>862</v>
      </c>
      <c r="C364" s="424" t="s">
        <v>330</v>
      </c>
      <c r="D364" s="863" t="s">
        <v>863</v>
      </c>
      <c r="E364" s="864">
        <v>201701</v>
      </c>
      <c r="F364" s="865">
        <v>7.0000000000000007E-2</v>
      </c>
      <c r="G364" s="386" t="s">
        <v>449</v>
      </c>
      <c r="H364" s="386" t="s">
        <v>450</v>
      </c>
    </row>
    <row r="365" spans="1:8" ht="15">
      <c r="A365" s="863" t="s">
        <v>318</v>
      </c>
      <c r="B365" s="864" t="s">
        <v>967</v>
      </c>
      <c r="C365" s="424" t="s">
        <v>330</v>
      </c>
      <c r="D365" s="863" t="s">
        <v>968</v>
      </c>
      <c r="E365" s="864">
        <v>201701</v>
      </c>
      <c r="F365" s="865">
        <v>-8.84</v>
      </c>
      <c r="G365" s="386" t="s">
        <v>449</v>
      </c>
      <c r="H365" s="386" t="s">
        <v>450</v>
      </c>
    </row>
    <row r="366" spans="1:8" ht="15">
      <c r="A366" s="863" t="s">
        <v>318</v>
      </c>
      <c r="B366" s="864" t="s">
        <v>967</v>
      </c>
      <c r="C366" s="424" t="s">
        <v>330</v>
      </c>
      <c r="D366" s="863" t="s">
        <v>968</v>
      </c>
      <c r="E366" s="864">
        <v>201701</v>
      </c>
      <c r="F366" s="865">
        <v>-0.35</v>
      </c>
      <c r="G366" s="386" t="s">
        <v>449</v>
      </c>
      <c r="H366" s="386" t="s">
        <v>450</v>
      </c>
    </row>
    <row r="367" spans="1:8" ht="15">
      <c r="A367" s="863" t="s">
        <v>318</v>
      </c>
      <c r="B367" s="864" t="s">
        <v>682</v>
      </c>
      <c r="C367" s="424" t="s">
        <v>330</v>
      </c>
      <c r="D367" s="863" t="s">
        <v>683</v>
      </c>
      <c r="E367" s="864">
        <v>201701</v>
      </c>
      <c r="F367" s="865">
        <v>248.24</v>
      </c>
      <c r="G367" s="386" t="s">
        <v>449</v>
      </c>
      <c r="H367" s="386" t="s">
        <v>450</v>
      </c>
    </row>
    <row r="368" spans="1:8" ht="15">
      <c r="A368" s="863" t="s">
        <v>318</v>
      </c>
      <c r="B368" s="864" t="s">
        <v>682</v>
      </c>
      <c r="C368" s="424" t="s">
        <v>330</v>
      </c>
      <c r="D368" s="863" t="s">
        <v>683</v>
      </c>
      <c r="E368" s="864">
        <v>201701</v>
      </c>
      <c r="F368" s="865">
        <v>5951.16</v>
      </c>
      <c r="G368" s="386" t="s">
        <v>449</v>
      </c>
      <c r="H368" s="386" t="s">
        <v>450</v>
      </c>
    </row>
    <row r="369" spans="1:8" ht="15">
      <c r="A369" s="863" t="s">
        <v>322</v>
      </c>
      <c r="B369" s="864" t="s">
        <v>1106</v>
      </c>
      <c r="C369" s="424" t="s">
        <v>330</v>
      </c>
      <c r="D369" s="863" t="s">
        <v>1107</v>
      </c>
      <c r="E369" s="864">
        <v>201701</v>
      </c>
      <c r="F369" s="865">
        <v>21.84</v>
      </c>
      <c r="G369" s="386" t="s">
        <v>449</v>
      </c>
      <c r="H369" s="386" t="s">
        <v>450</v>
      </c>
    </row>
    <row r="370" spans="1:8" ht="15">
      <c r="A370" s="863" t="s">
        <v>318</v>
      </c>
      <c r="B370" s="864" t="s">
        <v>1106</v>
      </c>
      <c r="C370" s="424" t="s">
        <v>330</v>
      </c>
      <c r="D370" s="863" t="s">
        <v>1107</v>
      </c>
      <c r="E370" s="864">
        <v>201701</v>
      </c>
      <c r="F370" s="865">
        <v>550.77</v>
      </c>
      <c r="G370" s="386" t="s">
        <v>449</v>
      </c>
      <c r="H370" s="386" t="s">
        <v>450</v>
      </c>
    </row>
    <row r="371" spans="1:8" ht="15">
      <c r="A371" s="863" t="s">
        <v>318</v>
      </c>
      <c r="B371" s="864" t="s">
        <v>1106</v>
      </c>
      <c r="C371" s="424" t="s">
        <v>330</v>
      </c>
      <c r="D371" s="863" t="s">
        <v>1107</v>
      </c>
      <c r="E371" s="864">
        <v>201701</v>
      </c>
      <c r="F371" s="865">
        <v>6842.8</v>
      </c>
      <c r="G371" s="386" t="s">
        <v>449</v>
      </c>
      <c r="H371" s="386" t="s">
        <v>450</v>
      </c>
    </row>
    <row r="372" spans="1:8" ht="15">
      <c r="A372" s="863" t="s">
        <v>318</v>
      </c>
      <c r="B372" s="864" t="s">
        <v>848</v>
      </c>
      <c r="C372" s="424" t="s">
        <v>329</v>
      </c>
      <c r="D372" s="863" t="s">
        <v>849</v>
      </c>
      <c r="E372" s="864">
        <v>201701</v>
      </c>
      <c r="F372" s="865">
        <v>-14.85</v>
      </c>
      <c r="G372" s="386" t="s">
        <v>449</v>
      </c>
      <c r="H372" s="386" t="s">
        <v>450</v>
      </c>
    </row>
    <row r="373" spans="1:8" ht="15">
      <c r="A373" s="863" t="s">
        <v>318</v>
      </c>
      <c r="B373" s="864" t="s">
        <v>848</v>
      </c>
      <c r="C373" s="424" t="s">
        <v>329</v>
      </c>
      <c r="D373" s="863" t="s">
        <v>849</v>
      </c>
      <c r="E373" s="864">
        <v>201701</v>
      </c>
      <c r="F373" s="865">
        <v>-4.62</v>
      </c>
      <c r="G373" s="386" t="s">
        <v>449</v>
      </c>
      <c r="H373" s="386" t="s">
        <v>450</v>
      </c>
    </row>
    <row r="374" spans="1:8" ht="15">
      <c r="A374" s="863" t="s">
        <v>318</v>
      </c>
      <c r="B374" s="864" t="s">
        <v>971</v>
      </c>
      <c r="C374" s="424" t="s">
        <v>329</v>
      </c>
      <c r="D374" s="863" t="s">
        <v>972</v>
      </c>
      <c r="E374" s="864">
        <v>201701</v>
      </c>
      <c r="F374" s="865">
        <v>29.03</v>
      </c>
      <c r="G374" s="386" t="s">
        <v>449</v>
      </c>
      <c r="H374" s="386" t="s">
        <v>450</v>
      </c>
    </row>
    <row r="375" spans="1:8" ht="15">
      <c r="A375" s="863" t="s">
        <v>318</v>
      </c>
      <c r="B375" s="864" t="s">
        <v>971</v>
      </c>
      <c r="C375" s="424" t="s">
        <v>329</v>
      </c>
      <c r="D375" s="863" t="s">
        <v>972</v>
      </c>
      <c r="E375" s="864">
        <v>201701</v>
      </c>
      <c r="F375" s="865">
        <v>318.05</v>
      </c>
      <c r="G375" s="386" t="s">
        <v>449</v>
      </c>
      <c r="H375" s="386" t="s">
        <v>450</v>
      </c>
    </row>
    <row r="376" spans="1:8" ht="15">
      <c r="A376" s="863" t="s">
        <v>322</v>
      </c>
      <c r="B376" s="864" t="s">
        <v>822</v>
      </c>
      <c r="C376" s="424" t="s">
        <v>330</v>
      </c>
      <c r="D376" s="863" t="s">
        <v>823</v>
      </c>
      <c r="E376" s="864">
        <v>201701</v>
      </c>
      <c r="F376" s="865">
        <v>0.02</v>
      </c>
      <c r="G376" s="386" t="s">
        <v>449</v>
      </c>
      <c r="H376" s="386" t="s">
        <v>450</v>
      </c>
    </row>
    <row r="377" spans="1:8" ht="15">
      <c r="A377" s="863" t="s">
        <v>318</v>
      </c>
      <c r="B377" s="864" t="s">
        <v>822</v>
      </c>
      <c r="C377" s="424" t="s">
        <v>330</v>
      </c>
      <c r="D377" s="863" t="s">
        <v>823</v>
      </c>
      <c r="E377" s="864">
        <v>201701</v>
      </c>
      <c r="F377" s="865">
        <v>0.12</v>
      </c>
      <c r="G377" s="386" t="s">
        <v>449</v>
      </c>
      <c r="H377" s="386" t="s">
        <v>450</v>
      </c>
    </row>
    <row r="378" spans="1:8" ht="15">
      <c r="A378" s="863" t="s">
        <v>318</v>
      </c>
      <c r="B378" s="864" t="s">
        <v>822</v>
      </c>
      <c r="C378" s="424" t="s">
        <v>330</v>
      </c>
      <c r="D378" s="863" t="s">
        <v>823</v>
      </c>
      <c r="E378" s="864">
        <v>201701</v>
      </c>
      <c r="F378" s="865">
        <v>1.1100000000000001</v>
      </c>
      <c r="G378" s="386" t="s">
        <v>449</v>
      </c>
      <c r="H378" s="386" t="s">
        <v>450</v>
      </c>
    </row>
    <row r="379" spans="1:8" ht="15">
      <c r="A379" s="863" t="s">
        <v>318</v>
      </c>
      <c r="B379" s="864" t="s">
        <v>973</v>
      </c>
      <c r="C379" s="424" t="s">
        <v>330</v>
      </c>
      <c r="D379" s="863" t="s">
        <v>974</v>
      </c>
      <c r="E379" s="864">
        <v>201701</v>
      </c>
      <c r="F379" s="865">
        <v>7.55</v>
      </c>
      <c r="G379" s="386" t="s">
        <v>449</v>
      </c>
      <c r="H379" s="386" t="s">
        <v>450</v>
      </c>
    </row>
    <row r="380" spans="1:8" ht="15">
      <c r="A380" s="863" t="s">
        <v>318</v>
      </c>
      <c r="B380" s="864" t="s">
        <v>973</v>
      </c>
      <c r="C380" s="424" t="s">
        <v>330</v>
      </c>
      <c r="D380" s="863" t="s">
        <v>974</v>
      </c>
      <c r="E380" s="864">
        <v>201701</v>
      </c>
      <c r="F380" s="865">
        <v>193.78</v>
      </c>
      <c r="G380" s="386" t="s">
        <v>449</v>
      </c>
      <c r="H380" s="386" t="s">
        <v>450</v>
      </c>
    </row>
    <row r="381" spans="1:8" ht="15">
      <c r="A381" s="863" t="s">
        <v>318</v>
      </c>
      <c r="B381" s="864" t="s">
        <v>868</v>
      </c>
      <c r="C381" s="424" t="s">
        <v>330</v>
      </c>
      <c r="D381" s="863" t="s">
        <v>869</v>
      </c>
      <c r="E381" s="864">
        <v>201701</v>
      </c>
      <c r="F381" s="865">
        <v>-0.16</v>
      </c>
      <c r="G381" s="386" t="s">
        <v>449</v>
      </c>
      <c r="H381" s="386" t="s">
        <v>450</v>
      </c>
    </row>
    <row r="382" spans="1:8" ht="15">
      <c r="A382" s="863" t="s">
        <v>318</v>
      </c>
      <c r="B382" s="864" t="s">
        <v>868</v>
      </c>
      <c r="C382" s="424" t="s">
        <v>330</v>
      </c>
      <c r="D382" s="863" t="s">
        <v>869</v>
      </c>
      <c r="E382" s="864">
        <v>201701</v>
      </c>
      <c r="F382" s="865">
        <v>-0.04</v>
      </c>
      <c r="G382" s="386" t="s">
        <v>449</v>
      </c>
      <c r="H382" s="386" t="s">
        <v>450</v>
      </c>
    </row>
    <row r="383" spans="1:8" ht="15">
      <c r="A383" s="863" t="s">
        <v>318</v>
      </c>
      <c r="B383" s="864" t="s">
        <v>1108</v>
      </c>
      <c r="C383" s="424" t="s">
        <v>330</v>
      </c>
      <c r="D383" s="863" t="s">
        <v>1109</v>
      </c>
      <c r="E383" s="864">
        <v>201701</v>
      </c>
      <c r="F383" s="865">
        <v>226.28</v>
      </c>
      <c r="G383" s="386" t="s">
        <v>449</v>
      </c>
      <c r="H383" s="386" t="s">
        <v>450</v>
      </c>
    </row>
    <row r="384" spans="1:8" ht="15">
      <c r="A384" s="863" t="s">
        <v>318</v>
      </c>
      <c r="B384" s="864" t="s">
        <v>1108</v>
      </c>
      <c r="C384" s="424" t="s">
        <v>330</v>
      </c>
      <c r="D384" s="863" t="s">
        <v>1109</v>
      </c>
      <c r="E384" s="864">
        <v>201701</v>
      </c>
      <c r="F384" s="865">
        <v>7684.01</v>
      </c>
      <c r="G384" s="386" t="s">
        <v>449</v>
      </c>
      <c r="H384" s="386" t="s">
        <v>450</v>
      </c>
    </row>
    <row r="385" spans="1:8" ht="15">
      <c r="A385" s="863" t="s">
        <v>318</v>
      </c>
      <c r="B385" s="864" t="s">
        <v>1134</v>
      </c>
      <c r="C385" s="424" t="s">
        <v>329</v>
      </c>
      <c r="D385" s="863" t="s">
        <v>1135</v>
      </c>
      <c r="E385" s="864">
        <v>201701</v>
      </c>
      <c r="F385" s="865">
        <v>44120.42</v>
      </c>
      <c r="G385" s="386" t="s">
        <v>449</v>
      </c>
      <c r="H385" s="386" t="s">
        <v>450</v>
      </c>
    </row>
    <row r="386" spans="1:8" ht="15">
      <c r="A386" s="863" t="s">
        <v>318</v>
      </c>
      <c r="B386" s="864" t="s">
        <v>1134</v>
      </c>
      <c r="C386" s="424" t="s">
        <v>329</v>
      </c>
      <c r="D386" s="863" t="s">
        <v>1135</v>
      </c>
      <c r="E386" s="864">
        <v>201701</v>
      </c>
      <c r="F386" s="865">
        <v>529293.52</v>
      </c>
      <c r="G386" s="386" t="s">
        <v>449</v>
      </c>
      <c r="H386" s="386" t="s">
        <v>450</v>
      </c>
    </row>
    <row r="387" spans="1:8" ht="15">
      <c r="A387" s="863" t="s">
        <v>318</v>
      </c>
      <c r="B387" s="864" t="s">
        <v>1136</v>
      </c>
      <c r="C387" s="424" t="s">
        <v>329</v>
      </c>
      <c r="D387" s="863" t="s">
        <v>1137</v>
      </c>
      <c r="E387" s="864">
        <v>201701</v>
      </c>
      <c r="F387" s="865">
        <v>23305.72</v>
      </c>
      <c r="G387" s="386" t="s">
        <v>449</v>
      </c>
      <c r="H387" s="386" t="s">
        <v>450</v>
      </c>
    </row>
    <row r="388" spans="1:8" ht="15">
      <c r="A388" s="863" t="s">
        <v>318</v>
      </c>
      <c r="B388" s="864" t="s">
        <v>1136</v>
      </c>
      <c r="C388" s="424" t="s">
        <v>329</v>
      </c>
      <c r="D388" s="863" t="s">
        <v>1137</v>
      </c>
      <c r="E388" s="864">
        <v>201701</v>
      </c>
      <c r="F388" s="865">
        <v>635896.37</v>
      </c>
      <c r="G388" s="386" t="s">
        <v>449</v>
      </c>
      <c r="H388" s="386" t="s">
        <v>450</v>
      </c>
    </row>
    <row r="389" spans="1:8" ht="15">
      <c r="A389" s="863" t="s">
        <v>318</v>
      </c>
      <c r="B389" s="864" t="s">
        <v>1037</v>
      </c>
      <c r="C389" s="424" t="s">
        <v>329</v>
      </c>
      <c r="D389" s="863" t="s">
        <v>1038</v>
      </c>
      <c r="E389" s="864">
        <v>201701</v>
      </c>
      <c r="F389" s="865">
        <v>4.17</v>
      </c>
      <c r="G389" s="386" t="s">
        <v>449</v>
      </c>
      <c r="H389" s="386" t="s">
        <v>450</v>
      </c>
    </row>
    <row r="390" spans="1:8" ht="15">
      <c r="A390" s="863" t="s">
        <v>318</v>
      </c>
      <c r="B390" s="864" t="s">
        <v>1037</v>
      </c>
      <c r="C390" s="424" t="s">
        <v>329</v>
      </c>
      <c r="D390" s="863" t="s">
        <v>1038</v>
      </c>
      <c r="E390" s="864">
        <v>201701</v>
      </c>
      <c r="F390" s="865">
        <v>55.3</v>
      </c>
      <c r="G390" s="386" t="s">
        <v>449</v>
      </c>
      <c r="H390" s="386" t="s">
        <v>450</v>
      </c>
    </row>
    <row r="391" spans="1:8" ht="15">
      <c r="A391" s="863" t="s">
        <v>318</v>
      </c>
      <c r="B391" s="864" t="s">
        <v>850</v>
      </c>
      <c r="C391" s="424" t="s">
        <v>329</v>
      </c>
      <c r="D391" s="863" t="s">
        <v>851</v>
      </c>
      <c r="E391" s="864">
        <v>201701</v>
      </c>
      <c r="F391" s="865">
        <v>42.65</v>
      </c>
      <c r="G391" s="386" t="s">
        <v>449</v>
      </c>
      <c r="H391" s="386" t="s">
        <v>450</v>
      </c>
    </row>
    <row r="392" spans="1:8" ht="15">
      <c r="A392" s="863" t="s">
        <v>318</v>
      </c>
      <c r="B392" s="864" t="s">
        <v>850</v>
      </c>
      <c r="C392" s="424" t="s">
        <v>329</v>
      </c>
      <c r="D392" s="863" t="s">
        <v>851</v>
      </c>
      <c r="E392" s="864">
        <v>201701</v>
      </c>
      <c r="F392" s="865">
        <v>518.36</v>
      </c>
      <c r="G392" s="386" t="s">
        <v>449</v>
      </c>
      <c r="H392" s="386" t="s">
        <v>450</v>
      </c>
    </row>
    <row r="393" spans="1:8" ht="15">
      <c r="A393" s="863" t="s">
        <v>318</v>
      </c>
      <c r="B393" s="864" t="s">
        <v>1069</v>
      </c>
      <c r="C393" s="424" t="s">
        <v>330</v>
      </c>
      <c r="D393" s="863" t="s">
        <v>1105</v>
      </c>
      <c r="E393" s="864">
        <v>201701</v>
      </c>
      <c r="F393" s="865">
        <v>421.95</v>
      </c>
      <c r="G393" s="386" t="s">
        <v>449</v>
      </c>
      <c r="H393" s="386" t="s">
        <v>450</v>
      </c>
    </row>
    <row r="394" spans="1:8" ht="15">
      <c r="A394" s="863" t="s">
        <v>318</v>
      </c>
      <c r="B394" s="864" t="s">
        <v>1069</v>
      </c>
      <c r="C394" s="424" t="s">
        <v>330</v>
      </c>
      <c r="D394" s="863" t="s">
        <v>1105</v>
      </c>
      <c r="E394" s="864">
        <v>201701</v>
      </c>
      <c r="F394" s="865">
        <v>9321.64</v>
      </c>
      <c r="G394" s="386" t="s">
        <v>449</v>
      </c>
      <c r="H394" s="386" t="s">
        <v>450</v>
      </c>
    </row>
    <row r="395" spans="1:8" ht="15">
      <c r="A395" s="863" t="s">
        <v>318</v>
      </c>
      <c r="B395" s="864" t="s">
        <v>975</v>
      </c>
      <c r="C395" s="424" t="s">
        <v>330</v>
      </c>
      <c r="D395" s="863" t="s">
        <v>976</v>
      </c>
      <c r="E395" s="864">
        <v>201701</v>
      </c>
      <c r="F395" s="865">
        <v>0.75</v>
      </c>
      <c r="G395" s="386" t="s">
        <v>449</v>
      </c>
      <c r="H395" s="386" t="s">
        <v>450</v>
      </c>
    </row>
    <row r="396" spans="1:8" ht="15">
      <c r="A396" s="863" t="s">
        <v>318</v>
      </c>
      <c r="B396" s="864" t="s">
        <v>975</v>
      </c>
      <c r="C396" s="424" t="s">
        <v>330</v>
      </c>
      <c r="D396" s="863" t="s">
        <v>976</v>
      </c>
      <c r="E396" s="864">
        <v>201701</v>
      </c>
      <c r="F396" s="865">
        <v>50.89</v>
      </c>
      <c r="G396" s="386" t="s">
        <v>449</v>
      </c>
      <c r="H396" s="386" t="s">
        <v>450</v>
      </c>
    </row>
    <row r="397" spans="1:8" ht="15">
      <c r="A397" s="863" t="s">
        <v>318</v>
      </c>
      <c r="B397" s="864" t="s">
        <v>870</v>
      </c>
      <c r="C397" s="424" t="s">
        <v>330</v>
      </c>
      <c r="D397" s="863" t="s">
        <v>871</v>
      </c>
      <c r="E397" s="864">
        <v>201701</v>
      </c>
      <c r="F397" s="865">
        <v>-465.3</v>
      </c>
      <c r="G397" s="386" t="s">
        <v>449</v>
      </c>
      <c r="H397" s="386" t="s">
        <v>450</v>
      </c>
    </row>
    <row r="398" spans="1:8" ht="15">
      <c r="A398" s="863" t="s">
        <v>318</v>
      </c>
      <c r="B398" s="864" t="s">
        <v>870</v>
      </c>
      <c r="C398" s="424" t="s">
        <v>330</v>
      </c>
      <c r="D398" s="863" t="s">
        <v>871</v>
      </c>
      <c r="E398" s="864">
        <v>201701</v>
      </c>
      <c r="F398" s="865">
        <v>-441.59</v>
      </c>
      <c r="G398" s="386" t="s">
        <v>449</v>
      </c>
      <c r="H398" s="386" t="s">
        <v>450</v>
      </c>
    </row>
    <row r="399" spans="1:8" ht="15">
      <c r="A399" s="863" t="s">
        <v>318</v>
      </c>
      <c r="B399" s="864" t="s">
        <v>1039</v>
      </c>
      <c r="C399" s="424" t="s">
        <v>330</v>
      </c>
      <c r="D399" s="863" t="s">
        <v>1040</v>
      </c>
      <c r="E399" s="864">
        <v>201701</v>
      </c>
      <c r="F399" s="865">
        <v>186.78</v>
      </c>
      <c r="G399" s="386" t="s">
        <v>449</v>
      </c>
      <c r="H399" s="386" t="s">
        <v>450</v>
      </c>
    </row>
    <row r="400" spans="1:8" ht="15">
      <c r="A400" s="863" t="s">
        <v>318</v>
      </c>
      <c r="B400" s="864" t="s">
        <v>1039</v>
      </c>
      <c r="C400" s="424" t="s">
        <v>330</v>
      </c>
      <c r="D400" s="863" t="s">
        <v>1040</v>
      </c>
      <c r="E400" s="864">
        <v>201701</v>
      </c>
      <c r="F400" s="865">
        <v>3790.83</v>
      </c>
      <c r="G400" s="386" t="s">
        <v>449</v>
      </c>
      <c r="H400" s="386" t="s">
        <v>450</v>
      </c>
    </row>
    <row r="401" spans="1:8" ht="15">
      <c r="A401" s="863" t="s">
        <v>318</v>
      </c>
      <c r="B401" s="864" t="s">
        <v>872</v>
      </c>
      <c r="C401" s="424" t="s">
        <v>330</v>
      </c>
      <c r="D401" s="863" t="s">
        <v>873</v>
      </c>
      <c r="E401" s="864">
        <v>201701</v>
      </c>
      <c r="F401" s="865">
        <v>0.59</v>
      </c>
      <c r="G401" s="386" t="s">
        <v>449</v>
      </c>
      <c r="H401" s="386" t="s">
        <v>450</v>
      </c>
    </row>
    <row r="402" spans="1:8" ht="15">
      <c r="A402" s="863" t="s">
        <v>318</v>
      </c>
      <c r="B402" s="864" t="s">
        <v>872</v>
      </c>
      <c r="C402" s="424" t="s">
        <v>330</v>
      </c>
      <c r="D402" s="863" t="s">
        <v>873</v>
      </c>
      <c r="E402" s="864">
        <v>201701</v>
      </c>
      <c r="F402" s="865">
        <v>9.23</v>
      </c>
      <c r="G402" s="386" t="s">
        <v>449</v>
      </c>
      <c r="H402" s="386" t="s">
        <v>450</v>
      </c>
    </row>
    <row r="403" spans="1:8" ht="15">
      <c r="A403" s="863" t="s">
        <v>318</v>
      </c>
      <c r="B403" s="864" t="s">
        <v>977</v>
      </c>
      <c r="C403" s="424" t="s">
        <v>330</v>
      </c>
      <c r="D403" s="863" t="s">
        <v>978</v>
      </c>
      <c r="E403" s="864">
        <v>201701</v>
      </c>
      <c r="F403" s="865">
        <v>44.79</v>
      </c>
      <c r="G403" s="386" t="s">
        <v>449</v>
      </c>
      <c r="H403" s="386" t="s">
        <v>450</v>
      </c>
    </row>
    <row r="404" spans="1:8" ht="15">
      <c r="A404" s="863" t="s">
        <v>318</v>
      </c>
      <c r="B404" s="864" t="s">
        <v>977</v>
      </c>
      <c r="C404" s="424" t="s">
        <v>330</v>
      </c>
      <c r="D404" s="863" t="s">
        <v>978</v>
      </c>
      <c r="E404" s="864">
        <v>201701</v>
      </c>
      <c r="F404" s="865">
        <v>705.9</v>
      </c>
      <c r="G404" s="386" t="s">
        <v>449</v>
      </c>
      <c r="H404" s="386" t="s">
        <v>450</v>
      </c>
    </row>
    <row r="405" spans="1:8" ht="15">
      <c r="A405" s="863" t="s">
        <v>318</v>
      </c>
      <c r="B405" s="864" t="s">
        <v>1041</v>
      </c>
      <c r="C405" s="424" t="s">
        <v>330</v>
      </c>
      <c r="D405" s="863" t="s">
        <v>1042</v>
      </c>
      <c r="E405" s="864">
        <v>201701</v>
      </c>
      <c r="F405" s="865">
        <v>-12.15</v>
      </c>
      <c r="G405" s="386" t="s">
        <v>449</v>
      </c>
      <c r="H405" s="386" t="s">
        <v>450</v>
      </c>
    </row>
    <row r="406" spans="1:8" ht="15">
      <c r="A406" s="863" t="s">
        <v>318</v>
      </c>
      <c r="B406" s="864" t="s">
        <v>1041</v>
      </c>
      <c r="C406" s="424" t="s">
        <v>330</v>
      </c>
      <c r="D406" s="863" t="s">
        <v>1042</v>
      </c>
      <c r="E406" s="864">
        <v>201701</v>
      </c>
      <c r="F406" s="865">
        <v>-0.91</v>
      </c>
      <c r="G406" s="386" t="s">
        <v>449</v>
      </c>
      <c r="H406" s="386" t="s">
        <v>450</v>
      </c>
    </row>
    <row r="407" spans="1:8" ht="15">
      <c r="A407" s="863" t="s">
        <v>318</v>
      </c>
      <c r="B407" s="864" t="s">
        <v>979</v>
      </c>
      <c r="C407" s="424" t="s">
        <v>330</v>
      </c>
      <c r="D407" s="863" t="s">
        <v>980</v>
      </c>
      <c r="E407" s="864">
        <v>201701</v>
      </c>
      <c r="F407" s="865">
        <v>3</v>
      </c>
      <c r="G407" s="386" t="s">
        <v>449</v>
      </c>
      <c r="H407" s="386" t="s">
        <v>450</v>
      </c>
    </row>
    <row r="408" spans="1:8" ht="15">
      <c r="A408" s="863" t="s">
        <v>318</v>
      </c>
      <c r="B408" s="864" t="s">
        <v>979</v>
      </c>
      <c r="C408" s="424" t="s">
        <v>330</v>
      </c>
      <c r="D408" s="863" t="s">
        <v>980</v>
      </c>
      <c r="E408" s="864">
        <v>201701</v>
      </c>
      <c r="F408" s="865">
        <v>61.03</v>
      </c>
      <c r="G408" s="386" t="s">
        <v>449</v>
      </c>
      <c r="H408" s="386" t="s">
        <v>450</v>
      </c>
    </row>
    <row r="409" spans="1:8" ht="15">
      <c r="A409" s="863" t="s">
        <v>318</v>
      </c>
      <c r="B409" s="864" t="s">
        <v>981</v>
      </c>
      <c r="C409" s="424" t="s">
        <v>330</v>
      </c>
      <c r="D409" s="863" t="s">
        <v>1014</v>
      </c>
      <c r="E409" s="864">
        <v>201701</v>
      </c>
      <c r="F409" s="865">
        <v>19.63</v>
      </c>
      <c r="G409" s="386" t="s">
        <v>449</v>
      </c>
      <c r="H409" s="386" t="s">
        <v>450</v>
      </c>
    </row>
    <row r="410" spans="1:8" ht="15">
      <c r="A410" s="863" t="s">
        <v>318</v>
      </c>
      <c r="B410" s="864" t="s">
        <v>981</v>
      </c>
      <c r="C410" s="424" t="s">
        <v>330</v>
      </c>
      <c r="D410" s="863" t="s">
        <v>1014</v>
      </c>
      <c r="E410" s="864">
        <v>201701</v>
      </c>
      <c r="F410" s="865">
        <v>107.72</v>
      </c>
      <c r="G410" s="386" t="s">
        <v>449</v>
      </c>
      <c r="H410" s="386" t="s">
        <v>450</v>
      </c>
    </row>
    <row r="411" spans="1:8" ht="15">
      <c r="A411" s="863" t="s">
        <v>318</v>
      </c>
      <c r="B411" s="864" t="s">
        <v>981</v>
      </c>
      <c r="C411" s="424" t="s">
        <v>330</v>
      </c>
      <c r="D411" s="863" t="s">
        <v>1014</v>
      </c>
      <c r="E411" s="864">
        <v>201701</v>
      </c>
      <c r="F411" s="865">
        <v>2126.84</v>
      </c>
      <c r="G411" s="386" t="s">
        <v>449</v>
      </c>
      <c r="H411" s="386" t="s">
        <v>450</v>
      </c>
    </row>
    <row r="412" spans="1:8" ht="15">
      <c r="A412" s="863" t="s">
        <v>318</v>
      </c>
      <c r="B412" s="864" t="s">
        <v>983</v>
      </c>
      <c r="C412" s="424" t="s">
        <v>330</v>
      </c>
      <c r="D412" s="863" t="s">
        <v>984</v>
      </c>
      <c r="E412" s="864">
        <v>201701</v>
      </c>
      <c r="F412" s="865">
        <v>1.57</v>
      </c>
      <c r="G412" s="386" t="s">
        <v>449</v>
      </c>
      <c r="H412" s="386" t="s">
        <v>450</v>
      </c>
    </row>
    <row r="413" spans="1:8" ht="15">
      <c r="A413" s="863" t="s">
        <v>318</v>
      </c>
      <c r="B413" s="864" t="s">
        <v>983</v>
      </c>
      <c r="C413" s="424" t="s">
        <v>330</v>
      </c>
      <c r="D413" s="863" t="s">
        <v>984</v>
      </c>
      <c r="E413" s="864">
        <v>201701</v>
      </c>
      <c r="F413" s="865">
        <v>44.21</v>
      </c>
      <c r="G413" s="386" t="s">
        <v>449</v>
      </c>
      <c r="H413" s="386" t="s">
        <v>450</v>
      </c>
    </row>
    <row r="414" spans="1:8" ht="15">
      <c r="A414" s="863" t="s">
        <v>318</v>
      </c>
      <c r="B414" s="864" t="s">
        <v>1043</v>
      </c>
      <c r="C414" s="424" t="s">
        <v>330</v>
      </c>
      <c r="D414" s="863" t="s">
        <v>1044</v>
      </c>
      <c r="E414" s="864">
        <v>201701</v>
      </c>
      <c r="F414" s="865">
        <v>-8.61</v>
      </c>
      <c r="G414" s="386" t="s">
        <v>449</v>
      </c>
      <c r="H414" s="386" t="s">
        <v>450</v>
      </c>
    </row>
    <row r="415" spans="1:8" ht="15">
      <c r="A415" s="863" t="s">
        <v>318</v>
      </c>
      <c r="B415" s="864" t="s">
        <v>1043</v>
      </c>
      <c r="C415" s="424" t="s">
        <v>330</v>
      </c>
      <c r="D415" s="863" t="s">
        <v>1044</v>
      </c>
      <c r="E415" s="864">
        <v>201701</v>
      </c>
      <c r="F415" s="865">
        <v>-0.48</v>
      </c>
      <c r="G415" s="386" t="s">
        <v>449</v>
      </c>
      <c r="H415" s="386" t="s">
        <v>450</v>
      </c>
    </row>
    <row r="416" spans="1:8" ht="15">
      <c r="A416" s="863" t="s">
        <v>318</v>
      </c>
      <c r="B416" s="864" t="s">
        <v>876</v>
      </c>
      <c r="C416" s="424" t="s">
        <v>330</v>
      </c>
      <c r="D416" s="863" t="s">
        <v>877</v>
      </c>
      <c r="E416" s="864">
        <v>201701</v>
      </c>
      <c r="F416" s="865">
        <v>-1.48</v>
      </c>
      <c r="G416" s="386" t="s">
        <v>449</v>
      </c>
      <c r="H416" s="386" t="s">
        <v>450</v>
      </c>
    </row>
    <row r="417" spans="1:8" ht="15">
      <c r="A417" s="863" t="s">
        <v>318</v>
      </c>
      <c r="B417" s="864" t="s">
        <v>876</v>
      </c>
      <c r="C417" s="424" t="s">
        <v>330</v>
      </c>
      <c r="D417" s="863" t="s">
        <v>877</v>
      </c>
      <c r="E417" s="864">
        <v>201701</v>
      </c>
      <c r="F417" s="865">
        <v>-0.08</v>
      </c>
      <c r="G417" s="386" t="s">
        <v>449</v>
      </c>
      <c r="H417" s="386" t="s">
        <v>450</v>
      </c>
    </row>
    <row r="418" spans="1:8" ht="15">
      <c r="A418" s="863" t="s">
        <v>318</v>
      </c>
      <c r="B418" s="864" t="s">
        <v>1045</v>
      </c>
      <c r="C418" s="424" t="s">
        <v>330</v>
      </c>
      <c r="D418" s="863" t="s">
        <v>1046</v>
      </c>
      <c r="E418" s="864">
        <v>201701</v>
      </c>
      <c r="F418" s="865">
        <v>-3.45</v>
      </c>
      <c r="G418" s="386" t="s">
        <v>449</v>
      </c>
      <c r="H418" s="386" t="s">
        <v>450</v>
      </c>
    </row>
    <row r="419" spans="1:8" ht="15">
      <c r="A419" s="863" t="s">
        <v>318</v>
      </c>
      <c r="B419" s="864" t="s">
        <v>1045</v>
      </c>
      <c r="C419" s="424" t="s">
        <v>330</v>
      </c>
      <c r="D419" s="863" t="s">
        <v>1046</v>
      </c>
      <c r="E419" s="864">
        <v>201701</v>
      </c>
      <c r="F419" s="865">
        <v>-0.2</v>
      </c>
      <c r="G419" s="386" t="s">
        <v>449</v>
      </c>
      <c r="H419" s="386" t="s">
        <v>450</v>
      </c>
    </row>
    <row r="420" spans="1:8" ht="15">
      <c r="A420" s="863" t="s">
        <v>318</v>
      </c>
      <c r="B420" s="864" t="s">
        <v>878</v>
      </c>
      <c r="C420" s="424" t="s">
        <v>330</v>
      </c>
      <c r="D420" s="863" t="s">
        <v>879</v>
      </c>
      <c r="E420" s="864">
        <v>201701</v>
      </c>
      <c r="F420" s="865">
        <v>3448.93</v>
      </c>
      <c r="G420" s="386" t="s">
        <v>449</v>
      </c>
      <c r="H420" s="386" t="s">
        <v>450</v>
      </c>
    </row>
    <row r="421" spans="1:8" ht="15">
      <c r="A421" s="863" t="s">
        <v>318</v>
      </c>
      <c r="B421" s="864" t="s">
        <v>878</v>
      </c>
      <c r="C421" s="424" t="s">
        <v>330</v>
      </c>
      <c r="D421" s="863" t="s">
        <v>879</v>
      </c>
      <c r="E421" s="864">
        <v>201701</v>
      </c>
      <c r="F421" s="865">
        <v>24277.27</v>
      </c>
      <c r="G421" s="386" t="s">
        <v>449</v>
      </c>
      <c r="H421" s="386" t="s">
        <v>450</v>
      </c>
    </row>
    <row r="422" spans="1:8" ht="15">
      <c r="A422" s="863" t="s">
        <v>318</v>
      </c>
      <c r="B422" s="864" t="s">
        <v>987</v>
      </c>
      <c r="C422" s="424" t="s">
        <v>330</v>
      </c>
      <c r="D422" s="863" t="s">
        <v>988</v>
      </c>
      <c r="E422" s="864">
        <v>201701</v>
      </c>
      <c r="F422" s="865">
        <v>2398.86</v>
      </c>
      <c r="G422" s="386" t="s">
        <v>449</v>
      </c>
      <c r="H422" s="386" t="s">
        <v>450</v>
      </c>
    </row>
    <row r="423" spans="1:8" ht="15">
      <c r="A423" s="863" t="s">
        <v>318</v>
      </c>
      <c r="B423" s="864" t="s">
        <v>987</v>
      </c>
      <c r="C423" s="424" t="s">
        <v>330</v>
      </c>
      <c r="D423" s="863" t="s">
        <v>988</v>
      </c>
      <c r="E423" s="864">
        <v>201701</v>
      </c>
      <c r="F423" s="865">
        <v>2611.61</v>
      </c>
      <c r="G423" s="386" t="s">
        <v>449</v>
      </c>
      <c r="H423" s="386" t="s">
        <v>450</v>
      </c>
    </row>
    <row r="424" spans="1:8" ht="15">
      <c r="A424" s="863" t="s">
        <v>318</v>
      </c>
      <c r="B424" s="864" t="s">
        <v>989</v>
      </c>
      <c r="C424" s="424" t="s">
        <v>330</v>
      </c>
      <c r="D424" s="863" t="s">
        <v>990</v>
      </c>
      <c r="E424" s="864">
        <v>201701</v>
      </c>
      <c r="F424" s="865">
        <v>0.05</v>
      </c>
      <c r="G424" s="386" t="s">
        <v>449</v>
      </c>
      <c r="H424" s="386" t="s">
        <v>450</v>
      </c>
    </row>
    <row r="425" spans="1:8" ht="15">
      <c r="A425" s="863" t="s">
        <v>318</v>
      </c>
      <c r="B425" s="864" t="s">
        <v>989</v>
      </c>
      <c r="C425" s="424" t="s">
        <v>330</v>
      </c>
      <c r="D425" s="863" t="s">
        <v>990</v>
      </c>
      <c r="E425" s="864">
        <v>201701</v>
      </c>
      <c r="F425" s="865">
        <v>1.37</v>
      </c>
      <c r="G425" s="386" t="s">
        <v>449</v>
      </c>
      <c r="H425" s="386" t="s">
        <v>450</v>
      </c>
    </row>
    <row r="426" spans="1:8" ht="15">
      <c r="A426" s="863" t="s">
        <v>318</v>
      </c>
      <c r="B426" s="864" t="s">
        <v>880</v>
      </c>
      <c r="C426" s="424" t="s">
        <v>330</v>
      </c>
      <c r="D426" s="863" t="s">
        <v>881</v>
      </c>
      <c r="E426" s="864">
        <v>201701</v>
      </c>
      <c r="F426" s="865">
        <v>-10.9</v>
      </c>
      <c r="G426" s="386" t="s">
        <v>449</v>
      </c>
      <c r="H426" s="386" t="s">
        <v>450</v>
      </c>
    </row>
    <row r="427" spans="1:8" ht="15">
      <c r="A427" s="863" t="s">
        <v>318</v>
      </c>
      <c r="B427" s="864" t="s">
        <v>880</v>
      </c>
      <c r="C427" s="424" t="s">
        <v>330</v>
      </c>
      <c r="D427" s="863" t="s">
        <v>881</v>
      </c>
      <c r="E427" s="864">
        <v>201701</v>
      </c>
      <c r="F427" s="865">
        <v>-0.39</v>
      </c>
      <c r="G427" s="386" t="s">
        <v>449</v>
      </c>
      <c r="H427" s="386" t="s">
        <v>450</v>
      </c>
    </row>
    <row r="428" spans="1:8" ht="15">
      <c r="A428" s="863" t="s">
        <v>318</v>
      </c>
      <c r="B428" s="864" t="s">
        <v>993</v>
      </c>
      <c r="C428" s="424" t="s">
        <v>330</v>
      </c>
      <c r="D428" s="863" t="s">
        <v>994</v>
      </c>
      <c r="E428" s="864">
        <v>201701</v>
      </c>
      <c r="F428" s="865">
        <v>0.94</v>
      </c>
      <c r="G428" s="386" t="s">
        <v>449</v>
      </c>
      <c r="H428" s="386" t="s">
        <v>450</v>
      </c>
    </row>
    <row r="429" spans="1:8" ht="15">
      <c r="A429" s="863" t="s">
        <v>318</v>
      </c>
      <c r="B429" s="864" t="s">
        <v>993</v>
      </c>
      <c r="C429" s="424" t="s">
        <v>330</v>
      </c>
      <c r="D429" s="863" t="s">
        <v>994</v>
      </c>
      <c r="E429" s="864">
        <v>201701</v>
      </c>
      <c r="F429" s="865">
        <v>18.45</v>
      </c>
      <c r="G429" s="386" t="s">
        <v>449</v>
      </c>
      <c r="H429" s="386" t="s">
        <v>450</v>
      </c>
    </row>
    <row r="430" spans="1:8" ht="15">
      <c r="A430" s="863" t="s">
        <v>318</v>
      </c>
      <c r="B430" s="864" t="s">
        <v>996</v>
      </c>
      <c r="C430" s="424" t="s">
        <v>330</v>
      </c>
      <c r="D430" s="863" t="s">
        <v>997</v>
      </c>
      <c r="E430" s="864">
        <v>201701</v>
      </c>
      <c r="F430" s="865">
        <v>12.95</v>
      </c>
      <c r="G430" s="386" t="s">
        <v>449</v>
      </c>
      <c r="H430" s="386" t="s">
        <v>450</v>
      </c>
    </row>
    <row r="431" spans="1:8" ht="15">
      <c r="A431" s="863" t="s">
        <v>318</v>
      </c>
      <c r="B431" s="864" t="s">
        <v>996</v>
      </c>
      <c r="C431" s="424" t="s">
        <v>330</v>
      </c>
      <c r="D431" s="863" t="s">
        <v>997</v>
      </c>
      <c r="E431" s="864">
        <v>201701</v>
      </c>
      <c r="F431" s="865">
        <v>359.05</v>
      </c>
      <c r="G431" s="386" t="s">
        <v>449</v>
      </c>
      <c r="H431" s="386" t="s">
        <v>450</v>
      </c>
    </row>
    <row r="432" spans="1:8" ht="15">
      <c r="A432" s="863" t="s">
        <v>318</v>
      </c>
      <c r="B432" s="864" t="s">
        <v>1110</v>
      </c>
      <c r="C432" s="424" t="s">
        <v>330</v>
      </c>
      <c r="D432" s="863" t="s">
        <v>1111</v>
      </c>
      <c r="E432" s="864">
        <v>201701</v>
      </c>
      <c r="F432" s="865">
        <v>107.97</v>
      </c>
      <c r="G432" s="386" t="s">
        <v>449</v>
      </c>
      <c r="H432" s="386" t="s">
        <v>450</v>
      </c>
    </row>
    <row r="433" spans="1:8" ht="15">
      <c r="A433" s="863" t="s">
        <v>318</v>
      </c>
      <c r="B433" s="864" t="s">
        <v>1110</v>
      </c>
      <c r="C433" s="424" t="s">
        <v>330</v>
      </c>
      <c r="D433" s="863" t="s">
        <v>1111</v>
      </c>
      <c r="E433" s="864">
        <v>201701</v>
      </c>
      <c r="F433" s="865">
        <v>1731.58</v>
      </c>
      <c r="G433" s="386" t="s">
        <v>449</v>
      </c>
      <c r="H433" s="386" t="s">
        <v>450</v>
      </c>
    </row>
    <row r="434" spans="1:8" ht="15">
      <c r="A434" s="863" t="s">
        <v>318</v>
      </c>
      <c r="B434" s="864" t="s">
        <v>1047</v>
      </c>
      <c r="C434" s="424" t="s">
        <v>329</v>
      </c>
      <c r="D434" s="863" t="s">
        <v>1048</v>
      </c>
      <c r="E434" s="864">
        <v>201701</v>
      </c>
      <c r="F434" s="865">
        <v>238.4</v>
      </c>
      <c r="G434" s="386" t="s">
        <v>449</v>
      </c>
      <c r="H434" s="386" t="s">
        <v>450</v>
      </c>
    </row>
    <row r="435" spans="1:8" ht="15">
      <c r="A435" s="863" t="s">
        <v>318</v>
      </c>
      <c r="B435" s="864" t="s">
        <v>1047</v>
      </c>
      <c r="C435" s="424" t="s">
        <v>329</v>
      </c>
      <c r="D435" s="863" t="s">
        <v>1048</v>
      </c>
      <c r="E435" s="864">
        <v>201701</v>
      </c>
      <c r="F435" s="865">
        <v>754.66</v>
      </c>
      <c r="G435" s="386" t="s">
        <v>449</v>
      </c>
      <c r="H435" s="386" t="s">
        <v>450</v>
      </c>
    </row>
    <row r="436" spans="1:8" ht="15">
      <c r="A436" s="863" t="s">
        <v>318</v>
      </c>
      <c r="B436" s="864" t="s">
        <v>1112</v>
      </c>
      <c r="C436" s="424" t="s">
        <v>330</v>
      </c>
      <c r="D436" s="863" t="s">
        <v>1113</v>
      </c>
      <c r="E436" s="864">
        <v>201701</v>
      </c>
      <c r="F436" s="865">
        <v>26.46</v>
      </c>
      <c r="G436" s="386" t="s">
        <v>449</v>
      </c>
      <c r="H436" s="386" t="s">
        <v>450</v>
      </c>
    </row>
    <row r="437" spans="1:8" ht="15">
      <c r="A437" s="863" t="s">
        <v>318</v>
      </c>
      <c r="B437" s="864" t="s">
        <v>1112</v>
      </c>
      <c r="C437" s="424" t="s">
        <v>330</v>
      </c>
      <c r="D437" s="863" t="s">
        <v>1113</v>
      </c>
      <c r="E437" s="864">
        <v>201701</v>
      </c>
      <c r="F437" s="865">
        <v>364.26</v>
      </c>
      <c r="G437" s="386" t="s">
        <v>449</v>
      </c>
      <c r="H437" s="386" t="s">
        <v>450</v>
      </c>
    </row>
    <row r="438" spans="1:8" ht="15">
      <c r="A438" s="863" t="s">
        <v>318</v>
      </c>
      <c r="B438" s="864" t="s">
        <v>1114</v>
      </c>
      <c r="C438" s="424" t="s">
        <v>330</v>
      </c>
      <c r="D438" s="863" t="s">
        <v>1115</v>
      </c>
      <c r="E438" s="864">
        <v>201701</v>
      </c>
      <c r="F438" s="865">
        <v>8.08</v>
      </c>
      <c r="G438" s="386" t="s">
        <v>449</v>
      </c>
      <c r="H438" s="386" t="s">
        <v>450</v>
      </c>
    </row>
    <row r="439" spans="1:8" ht="15">
      <c r="A439" s="863" t="s">
        <v>318</v>
      </c>
      <c r="B439" s="864" t="s">
        <v>1114</v>
      </c>
      <c r="C439" s="424" t="s">
        <v>330</v>
      </c>
      <c r="D439" s="863" t="s">
        <v>1115</v>
      </c>
      <c r="E439" s="864">
        <v>201701</v>
      </c>
      <c r="F439" s="865">
        <v>119.69</v>
      </c>
      <c r="G439" s="386" t="s">
        <v>449</v>
      </c>
      <c r="H439" s="386" t="s">
        <v>450</v>
      </c>
    </row>
    <row r="440" spans="1:8" ht="15">
      <c r="A440" s="863" t="s">
        <v>318</v>
      </c>
      <c r="B440" s="864" t="s">
        <v>1116</v>
      </c>
      <c r="C440" s="424" t="s">
        <v>330</v>
      </c>
      <c r="D440" s="863" t="s">
        <v>1117</v>
      </c>
      <c r="E440" s="864">
        <v>201701</v>
      </c>
      <c r="F440" s="865">
        <v>569.61</v>
      </c>
      <c r="G440" s="386" t="s">
        <v>449</v>
      </c>
      <c r="H440" s="386" t="s">
        <v>450</v>
      </c>
    </row>
    <row r="441" spans="1:8" ht="15">
      <c r="A441" s="863" t="s">
        <v>318</v>
      </c>
      <c r="B441" s="864" t="s">
        <v>1116</v>
      </c>
      <c r="C441" s="424" t="s">
        <v>330</v>
      </c>
      <c r="D441" s="863" t="s">
        <v>1117</v>
      </c>
      <c r="E441" s="864">
        <v>201701</v>
      </c>
      <c r="F441" s="865">
        <v>7364.02</v>
      </c>
      <c r="G441" s="386" t="s">
        <v>449</v>
      </c>
      <c r="H441" s="386" t="s">
        <v>450</v>
      </c>
    </row>
    <row r="442" spans="1:8" ht="15">
      <c r="A442" s="863" t="s">
        <v>318</v>
      </c>
      <c r="B442" s="864" t="s">
        <v>1071</v>
      </c>
      <c r="C442" s="424" t="s">
        <v>330</v>
      </c>
      <c r="D442" s="863" t="s">
        <v>1072</v>
      </c>
      <c r="E442" s="864">
        <v>201701</v>
      </c>
      <c r="F442" s="865">
        <v>228.22</v>
      </c>
      <c r="G442" s="386" t="s">
        <v>449</v>
      </c>
      <c r="H442" s="386" t="s">
        <v>450</v>
      </c>
    </row>
    <row r="443" spans="1:8" ht="15">
      <c r="A443" s="863" t="s">
        <v>318</v>
      </c>
      <c r="B443" s="864" t="s">
        <v>1138</v>
      </c>
      <c r="C443" s="424" t="s">
        <v>414</v>
      </c>
      <c r="D443" s="863" t="s">
        <v>1139</v>
      </c>
      <c r="E443" s="864">
        <v>201701</v>
      </c>
      <c r="F443" s="865">
        <v>80277.259999999995</v>
      </c>
      <c r="G443" s="386" t="s">
        <v>449</v>
      </c>
      <c r="H443" s="386" t="s">
        <v>450</v>
      </c>
    </row>
    <row r="444" spans="1:8" ht="15">
      <c r="A444" s="863" t="s">
        <v>318</v>
      </c>
      <c r="B444" s="864" t="s">
        <v>889</v>
      </c>
      <c r="C444" s="424" t="s">
        <v>414</v>
      </c>
      <c r="D444" s="863" t="s">
        <v>890</v>
      </c>
      <c r="E444" s="864">
        <v>201701</v>
      </c>
      <c r="F444" s="865">
        <v>0.01</v>
      </c>
      <c r="G444" s="386" t="s">
        <v>449</v>
      </c>
      <c r="H444" s="386" t="s">
        <v>450</v>
      </c>
    </row>
    <row r="445" spans="1:8" ht="15">
      <c r="A445" s="863" t="s">
        <v>318</v>
      </c>
      <c r="B445" s="864" t="s">
        <v>889</v>
      </c>
      <c r="C445" s="424" t="s">
        <v>414</v>
      </c>
      <c r="D445" s="863" t="s">
        <v>890</v>
      </c>
      <c r="E445" s="864">
        <v>201701</v>
      </c>
      <c r="F445" s="865">
        <v>0.52</v>
      </c>
      <c r="G445" s="386" t="s">
        <v>449</v>
      </c>
      <c r="H445" s="386" t="s">
        <v>450</v>
      </c>
    </row>
    <row r="446" spans="1:8" ht="15">
      <c r="A446" s="863" t="s">
        <v>318</v>
      </c>
      <c r="B446" s="864" t="s">
        <v>1006</v>
      </c>
      <c r="C446" s="424" t="s">
        <v>414</v>
      </c>
      <c r="D446" s="863" t="s">
        <v>1007</v>
      </c>
      <c r="E446" s="864">
        <v>201701</v>
      </c>
      <c r="F446" s="865">
        <v>-1.39</v>
      </c>
      <c r="G446" s="386" t="s">
        <v>449</v>
      </c>
      <c r="H446" s="386" t="s">
        <v>450</v>
      </c>
    </row>
    <row r="447" spans="1:8" ht="15">
      <c r="A447" s="863" t="s">
        <v>318</v>
      </c>
      <c r="B447" s="864" t="s">
        <v>1006</v>
      </c>
      <c r="C447" s="424" t="s">
        <v>414</v>
      </c>
      <c r="D447" s="863" t="s">
        <v>1007</v>
      </c>
      <c r="E447" s="864">
        <v>201701</v>
      </c>
      <c r="F447" s="865">
        <v>-0.01</v>
      </c>
      <c r="G447" s="386" t="s">
        <v>449</v>
      </c>
      <c r="H447" s="386" t="s">
        <v>450</v>
      </c>
    </row>
    <row r="448" spans="1:8" ht="15">
      <c r="A448" s="863" t="s">
        <v>318</v>
      </c>
      <c r="B448" s="864" t="s">
        <v>1049</v>
      </c>
      <c r="C448" s="424" t="s">
        <v>330</v>
      </c>
      <c r="D448" s="863" t="s">
        <v>1050</v>
      </c>
      <c r="E448" s="864">
        <v>201701</v>
      </c>
      <c r="F448" s="865">
        <v>21.32</v>
      </c>
      <c r="G448" s="386" t="s">
        <v>449</v>
      </c>
      <c r="H448" s="386" t="s">
        <v>450</v>
      </c>
    </row>
    <row r="449" spans="1:9" ht="15">
      <c r="A449" s="863" t="s">
        <v>318</v>
      </c>
      <c r="B449" s="864" t="s">
        <v>1049</v>
      </c>
      <c r="C449" s="424" t="s">
        <v>330</v>
      </c>
      <c r="D449" s="863" t="s">
        <v>1050</v>
      </c>
      <c r="E449" s="864">
        <v>201701</v>
      </c>
      <c r="F449" s="865">
        <v>565.02</v>
      </c>
      <c r="G449" s="386" t="s">
        <v>449</v>
      </c>
      <c r="H449" s="386" t="s">
        <v>450</v>
      </c>
    </row>
    <row r="450" spans="1:9" ht="15">
      <c r="A450" s="863" t="s">
        <v>318</v>
      </c>
      <c r="B450" s="864" t="s">
        <v>1077</v>
      </c>
      <c r="C450" s="424" t="s">
        <v>330</v>
      </c>
      <c r="D450" s="863" t="s">
        <v>1078</v>
      </c>
      <c r="E450" s="864">
        <v>201701</v>
      </c>
      <c r="F450" s="865">
        <v>184.89</v>
      </c>
      <c r="G450" s="386" t="s">
        <v>449</v>
      </c>
      <c r="H450" s="386" t="s">
        <v>450</v>
      </c>
    </row>
    <row r="451" spans="1:9" ht="15">
      <c r="A451" s="863" t="s">
        <v>318</v>
      </c>
      <c r="B451" s="864" t="s">
        <v>1077</v>
      </c>
      <c r="C451" s="424" t="s">
        <v>330</v>
      </c>
      <c r="D451" s="863" t="s">
        <v>1078</v>
      </c>
      <c r="E451" s="864">
        <v>201701</v>
      </c>
      <c r="F451" s="865">
        <v>2084.2800000000002</v>
      </c>
      <c r="G451" s="386" t="s">
        <v>449</v>
      </c>
      <c r="H451" s="386" t="s">
        <v>450</v>
      </c>
    </row>
    <row r="452" spans="1:9" ht="15">
      <c r="A452" s="863" t="s">
        <v>318</v>
      </c>
      <c r="B452" s="864" t="s">
        <v>1079</v>
      </c>
      <c r="C452" s="424" t="s">
        <v>330</v>
      </c>
      <c r="D452" s="863" t="s">
        <v>1080</v>
      </c>
      <c r="E452" s="864">
        <v>201701</v>
      </c>
      <c r="F452" s="865">
        <v>143.78</v>
      </c>
      <c r="G452" s="386" t="s">
        <v>449</v>
      </c>
      <c r="H452" s="386" t="s">
        <v>450</v>
      </c>
    </row>
    <row r="453" spans="1:9" ht="15">
      <c r="A453" s="863" t="s">
        <v>318</v>
      </c>
      <c r="B453" s="864" t="s">
        <v>1079</v>
      </c>
      <c r="C453" s="424" t="s">
        <v>330</v>
      </c>
      <c r="D453" s="863" t="s">
        <v>1080</v>
      </c>
      <c r="E453" s="864">
        <v>201701</v>
      </c>
      <c r="F453" s="865">
        <v>2145.02</v>
      </c>
      <c r="G453" s="386" t="s">
        <v>449</v>
      </c>
      <c r="H453" s="386" t="s">
        <v>450</v>
      </c>
    </row>
    <row r="454" spans="1:9" ht="15">
      <c r="A454" s="863" t="s">
        <v>318</v>
      </c>
      <c r="B454" s="864" t="s">
        <v>1118</v>
      </c>
      <c r="C454" s="424" t="s">
        <v>330</v>
      </c>
      <c r="D454" s="863" t="s">
        <v>1119</v>
      </c>
      <c r="E454" s="864">
        <v>201701</v>
      </c>
      <c r="F454" s="865">
        <v>207.5</v>
      </c>
      <c r="G454" s="386" t="s">
        <v>449</v>
      </c>
      <c r="H454" s="386" t="s">
        <v>450</v>
      </c>
    </row>
    <row r="455" spans="1:9" ht="15">
      <c r="A455" s="863" t="s">
        <v>318</v>
      </c>
      <c r="B455" s="864" t="s">
        <v>1118</v>
      </c>
      <c r="C455" s="424" t="s">
        <v>330</v>
      </c>
      <c r="D455" s="863" t="s">
        <v>1119</v>
      </c>
      <c r="E455" s="864">
        <v>201701</v>
      </c>
      <c r="F455" s="865">
        <v>5111.09</v>
      </c>
      <c r="G455" s="386" t="s">
        <v>449</v>
      </c>
      <c r="H455" s="386" t="s">
        <v>450</v>
      </c>
    </row>
    <row r="456" spans="1:9" ht="15">
      <c r="A456" s="863" t="s">
        <v>318</v>
      </c>
      <c r="B456" s="864" t="s">
        <v>1140</v>
      </c>
      <c r="C456" s="424" t="s">
        <v>330</v>
      </c>
      <c r="D456" s="863" t="s">
        <v>1141</v>
      </c>
      <c r="E456" s="864">
        <v>201701</v>
      </c>
      <c r="F456" s="865">
        <v>16808.349999999999</v>
      </c>
      <c r="G456" s="386" t="s">
        <v>449</v>
      </c>
      <c r="H456" s="386" t="s">
        <v>450</v>
      </c>
    </row>
    <row r="457" spans="1:9" ht="15">
      <c r="A457" s="863" t="s">
        <v>318</v>
      </c>
      <c r="B457" s="864" t="s">
        <v>1140</v>
      </c>
      <c r="C457" s="424" t="s">
        <v>330</v>
      </c>
      <c r="D457" s="863" t="s">
        <v>1141</v>
      </c>
      <c r="E457" s="864">
        <v>201701</v>
      </c>
      <c r="F457" s="865">
        <v>159506.89000000001</v>
      </c>
      <c r="G457" s="386" t="s">
        <v>449</v>
      </c>
      <c r="H457" s="386" t="s">
        <v>450</v>
      </c>
    </row>
    <row r="458" spans="1:9" ht="15">
      <c r="A458" s="863" t="s">
        <v>318</v>
      </c>
      <c r="B458" s="864" t="s">
        <v>1120</v>
      </c>
      <c r="C458" s="424" t="s">
        <v>330</v>
      </c>
      <c r="D458" s="863" t="s">
        <v>1121</v>
      </c>
      <c r="E458" s="864">
        <v>201701</v>
      </c>
      <c r="F458" s="865">
        <v>-10207.42</v>
      </c>
      <c r="G458" s="386" t="s">
        <v>449</v>
      </c>
      <c r="H458" s="386" t="s">
        <v>450</v>
      </c>
    </row>
    <row r="459" spans="1:9" ht="15">
      <c r="A459" s="863" t="s">
        <v>318</v>
      </c>
      <c r="B459" s="864" t="s">
        <v>1120</v>
      </c>
      <c r="C459" s="424" t="s">
        <v>330</v>
      </c>
      <c r="D459" s="863" t="s">
        <v>1121</v>
      </c>
      <c r="E459" s="864">
        <v>201701</v>
      </c>
      <c r="F459" s="865">
        <v>-2473.12</v>
      </c>
      <c r="G459" s="386" t="s">
        <v>449</v>
      </c>
      <c r="H459" s="386" t="s">
        <v>450</v>
      </c>
    </row>
    <row r="460" spans="1:9" ht="15">
      <c r="A460" s="863"/>
      <c r="B460" s="864"/>
      <c r="C460" s="424"/>
      <c r="D460" s="863"/>
      <c r="E460" s="864"/>
      <c r="F460" s="865"/>
      <c r="G460" s="386"/>
      <c r="H460" s="386"/>
    </row>
    <row r="461" spans="1:9" ht="15">
      <c r="A461" s="521"/>
      <c r="B461" s="522"/>
      <c r="C461" s="424"/>
      <c r="D461" s="521"/>
      <c r="E461" s="522"/>
      <c r="F461" s="523"/>
      <c r="G461" s="386" t="s">
        <v>449</v>
      </c>
      <c r="H461" s="386" t="s">
        <v>450</v>
      </c>
    </row>
    <row r="462" spans="1:9">
      <c r="A462" s="492"/>
      <c r="B462" s="460"/>
      <c r="C462" s="495"/>
      <c r="D462" s="492" t="s">
        <v>85</v>
      </c>
      <c r="E462" s="460">
        <v>201701</v>
      </c>
      <c r="F462" s="493">
        <v>0</v>
      </c>
      <c r="G462" s="386" t="s">
        <v>449</v>
      </c>
      <c r="H462" s="386" t="s">
        <v>545</v>
      </c>
    </row>
    <row r="463" spans="1:9">
      <c r="A463" s="492"/>
      <c r="B463" s="460"/>
      <c r="C463" s="495"/>
      <c r="D463" s="492" t="s">
        <v>85</v>
      </c>
      <c r="E463" s="460">
        <v>201702</v>
      </c>
      <c r="F463" s="493">
        <v>2000000</v>
      </c>
      <c r="G463" s="386" t="s">
        <v>449</v>
      </c>
      <c r="H463" s="386" t="s">
        <v>545</v>
      </c>
    </row>
    <row r="464" spans="1:9">
      <c r="A464" s="103"/>
      <c r="B464" s="754"/>
      <c r="C464" s="754"/>
      <c r="D464" s="440"/>
      <c r="E464" s="164"/>
      <c r="F464" s="165"/>
      <c r="G464" s="757"/>
      <c r="H464" s="757"/>
      <c r="I464" s="758"/>
    </row>
    <row r="465" spans="1:9">
      <c r="A465" s="103"/>
      <c r="B465" s="754"/>
      <c r="C465" s="754"/>
      <c r="D465" s="754"/>
      <c r="E465" s="164"/>
      <c r="F465" s="115"/>
      <c r="G465" s="757"/>
      <c r="H465" s="757"/>
      <c r="I465" s="758"/>
    </row>
    <row r="466" spans="1:9">
      <c r="A466" s="67" t="s">
        <v>103</v>
      </c>
      <c r="B466" s="559"/>
      <c r="C466" s="559"/>
      <c r="D466" s="102"/>
      <c r="E466" s="152"/>
      <c r="F466" s="559"/>
      <c r="G466" s="757"/>
      <c r="H466" s="757"/>
      <c r="I466" s="758"/>
    </row>
    <row r="467" spans="1:9">
      <c r="A467" s="559"/>
      <c r="B467" s="559"/>
      <c r="C467" s="559"/>
      <c r="D467" s="102"/>
      <c r="E467" s="152"/>
      <c r="F467" s="559"/>
      <c r="G467" s="757"/>
      <c r="H467" s="757"/>
      <c r="I467" s="758"/>
    </row>
    <row r="468" spans="1:9">
      <c r="A468" s="81" t="s">
        <v>86</v>
      </c>
      <c r="B468" s="81" t="s">
        <v>87</v>
      </c>
      <c r="C468" s="81" t="s">
        <v>88</v>
      </c>
      <c r="D468" s="81"/>
      <c r="E468" s="146" t="s">
        <v>89</v>
      </c>
      <c r="F468" s="81" t="s">
        <v>90</v>
      </c>
      <c r="G468" s="386"/>
      <c r="H468" s="386"/>
    </row>
    <row r="469" spans="1:9">
      <c r="A469" s="86" t="s">
        <v>94</v>
      </c>
      <c r="B469" s="86" t="s">
        <v>95</v>
      </c>
      <c r="C469" s="86" t="s">
        <v>96</v>
      </c>
      <c r="D469" s="87" t="s">
        <v>97</v>
      </c>
      <c r="E469" s="148" t="s">
        <v>98</v>
      </c>
      <c r="F469" s="86" t="s">
        <v>99</v>
      </c>
      <c r="G469" s="386"/>
      <c r="H469" s="386"/>
    </row>
    <row r="470" spans="1:9">
      <c r="A470" s="521" t="s">
        <v>318</v>
      </c>
      <c r="B470" s="522" t="s">
        <v>941</v>
      </c>
      <c r="C470" s="423" t="s">
        <v>330</v>
      </c>
      <c r="D470" s="521" t="s">
        <v>942</v>
      </c>
      <c r="E470" s="522">
        <v>201611</v>
      </c>
      <c r="F470" s="523">
        <v>1570.33</v>
      </c>
      <c r="G470" s="386" t="s">
        <v>449</v>
      </c>
      <c r="H470" s="386" t="s">
        <v>450</v>
      </c>
    </row>
    <row r="471" spans="1:9">
      <c r="A471" s="521" t="s">
        <v>318</v>
      </c>
      <c r="B471" s="522" t="s">
        <v>856</v>
      </c>
      <c r="C471" s="423" t="s">
        <v>330</v>
      </c>
      <c r="D471" s="521" t="s">
        <v>857</v>
      </c>
      <c r="E471" s="522">
        <v>201611</v>
      </c>
      <c r="F471" s="523">
        <v>-0.1</v>
      </c>
      <c r="G471" s="386" t="s">
        <v>449</v>
      </c>
      <c r="H471" s="386" t="s">
        <v>450</v>
      </c>
    </row>
    <row r="472" spans="1:9">
      <c r="A472" s="521" t="s">
        <v>318</v>
      </c>
      <c r="B472" s="522" t="s">
        <v>629</v>
      </c>
      <c r="C472" s="423" t="s">
        <v>330</v>
      </c>
      <c r="D472" s="521" t="s">
        <v>630</v>
      </c>
      <c r="E472" s="522">
        <v>201611</v>
      </c>
      <c r="F472" s="523">
        <v>1.02</v>
      </c>
      <c r="G472" s="386" t="s">
        <v>449</v>
      </c>
      <c r="H472" s="386" t="s">
        <v>450</v>
      </c>
    </row>
    <row r="473" spans="1:9">
      <c r="A473" s="521" t="s">
        <v>318</v>
      </c>
      <c r="B473" s="522" t="s">
        <v>805</v>
      </c>
      <c r="C473" s="423" t="s">
        <v>330</v>
      </c>
      <c r="D473" s="521" t="s">
        <v>806</v>
      </c>
      <c r="E473" s="522">
        <v>201611</v>
      </c>
      <c r="F473" s="523">
        <v>-4.12</v>
      </c>
      <c r="G473" s="386" t="s">
        <v>449</v>
      </c>
      <c r="H473" s="386" t="s">
        <v>450</v>
      </c>
    </row>
    <row r="474" spans="1:9">
      <c r="A474" s="521" t="s">
        <v>318</v>
      </c>
      <c r="B474" s="522" t="s">
        <v>1033</v>
      </c>
      <c r="C474" s="423" t="s">
        <v>330</v>
      </c>
      <c r="D474" s="521" t="s">
        <v>1034</v>
      </c>
      <c r="E474" s="522">
        <v>201611</v>
      </c>
      <c r="F474" s="523">
        <v>-8.1</v>
      </c>
      <c r="G474" s="386" t="s">
        <v>449</v>
      </c>
      <c r="H474" s="386" t="s">
        <v>450</v>
      </c>
    </row>
    <row r="475" spans="1:9">
      <c r="A475" s="521" t="s">
        <v>318</v>
      </c>
      <c r="B475" s="522" t="s">
        <v>832</v>
      </c>
      <c r="C475" s="423" t="s">
        <v>330</v>
      </c>
      <c r="D475" s="521" t="s">
        <v>833</v>
      </c>
      <c r="E475" s="522">
        <v>201611</v>
      </c>
      <c r="F475" s="523">
        <v>79.83</v>
      </c>
      <c r="G475" s="386" t="s">
        <v>449</v>
      </c>
      <c r="H475" s="386" t="s">
        <v>450</v>
      </c>
    </row>
    <row r="476" spans="1:9">
      <c r="A476" s="521" t="s">
        <v>318</v>
      </c>
      <c r="B476" s="522" t="s">
        <v>951</v>
      </c>
      <c r="C476" s="423" t="s">
        <v>330</v>
      </c>
      <c r="D476" s="521" t="s">
        <v>952</v>
      </c>
      <c r="E476" s="522">
        <v>201611</v>
      </c>
      <c r="F476" s="523">
        <v>-265.14999999999998</v>
      </c>
      <c r="G476" s="386" t="s">
        <v>449</v>
      </c>
      <c r="H476" s="386" t="s">
        <v>450</v>
      </c>
    </row>
    <row r="477" spans="1:9">
      <c r="A477" s="521" t="s">
        <v>318</v>
      </c>
      <c r="B477" s="522" t="s">
        <v>955</v>
      </c>
      <c r="C477" s="423" t="s">
        <v>330</v>
      </c>
      <c r="D477" s="521" t="s">
        <v>956</v>
      </c>
      <c r="E477" s="522">
        <v>201611</v>
      </c>
      <c r="F477" s="523">
        <v>441.2</v>
      </c>
      <c r="G477" s="386" t="s">
        <v>449</v>
      </c>
      <c r="H477" s="386" t="s">
        <v>450</v>
      </c>
    </row>
    <row r="478" spans="1:9">
      <c r="A478" s="521" t="s">
        <v>318</v>
      </c>
      <c r="B478" s="522" t="s">
        <v>963</v>
      </c>
      <c r="C478" s="423" t="s">
        <v>330</v>
      </c>
      <c r="D478" s="521" t="s">
        <v>964</v>
      </c>
      <c r="E478" s="522">
        <v>201611</v>
      </c>
      <c r="F478" s="523">
        <v>31.38</v>
      </c>
      <c r="G478" s="386" t="s">
        <v>449</v>
      </c>
      <c r="H478" s="386" t="s">
        <v>450</v>
      </c>
    </row>
    <row r="479" spans="1:9" ht="15">
      <c r="A479" s="521" t="s">
        <v>318</v>
      </c>
      <c r="B479" s="522" t="s">
        <v>682</v>
      </c>
      <c r="C479" s="424" t="s">
        <v>330</v>
      </c>
      <c r="D479" s="521" t="s">
        <v>683</v>
      </c>
      <c r="E479" s="522">
        <v>201611</v>
      </c>
      <c r="F479" s="523">
        <v>5352.6</v>
      </c>
      <c r="G479" s="386" t="s">
        <v>449</v>
      </c>
      <c r="H479" s="386" t="s">
        <v>450</v>
      </c>
    </row>
    <row r="480" spans="1:9">
      <c r="A480" s="521" t="s">
        <v>318</v>
      </c>
      <c r="B480" s="522" t="s">
        <v>846</v>
      </c>
      <c r="C480" s="423" t="s">
        <v>330</v>
      </c>
      <c r="D480" s="521" t="s">
        <v>847</v>
      </c>
      <c r="E480" s="522">
        <v>201611</v>
      </c>
      <c r="F480" s="523">
        <v>-9868.06</v>
      </c>
      <c r="G480" s="386" t="s">
        <v>449</v>
      </c>
      <c r="H480" s="386" t="s">
        <v>450</v>
      </c>
    </row>
    <row r="481" spans="1:8">
      <c r="A481" s="521" t="s">
        <v>318</v>
      </c>
      <c r="B481" s="522" t="s">
        <v>973</v>
      </c>
      <c r="C481" s="423" t="s">
        <v>330</v>
      </c>
      <c r="D481" s="521" t="s">
        <v>974</v>
      </c>
      <c r="E481" s="522">
        <v>201611</v>
      </c>
      <c r="F481" s="523">
        <v>-1.26</v>
      </c>
      <c r="G481" s="386" t="s">
        <v>449</v>
      </c>
      <c r="H481" s="386" t="s">
        <v>450</v>
      </c>
    </row>
    <row r="482" spans="1:8">
      <c r="A482" s="521" t="s">
        <v>318</v>
      </c>
      <c r="B482" s="522" t="s">
        <v>868</v>
      </c>
      <c r="C482" s="423" t="s">
        <v>330</v>
      </c>
      <c r="D482" s="521" t="s">
        <v>869</v>
      </c>
      <c r="E482" s="522">
        <v>201611</v>
      </c>
      <c r="F482" s="523">
        <v>-332768.51</v>
      </c>
      <c r="G482" s="386" t="s">
        <v>449</v>
      </c>
      <c r="H482" s="386" t="s">
        <v>450</v>
      </c>
    </row>
    <row r="483" spans="1:8" ht="15">
      <c r="A483" s="521" t="s">
        <v>318</v>
      </c>
      <c r="B483" s="522" t="s">
        <v>868</v>
      </c>
      <c r="C483" s="424" t="s">
        <v>330</v>
      </c>
      <c r="D483" s="521" t="s">
        <v>869</v>
      </c>
      <c r="E483" s="522">
        <v>201611</v>
      </c>
      <c r="F483" s="523">
        <v>231903.57</v>
      </c>
      <c r="G483" s="386" t="s">
        <v>449</v>
      </c>
      <c r="H483" s="386" t="s">
        <v>450</v>
      </c>
    </row>
    <row r="484" spans="1:8" ht="15">
      <c r="A484" s="521" t="s">
        <v>318</v>
      </c>
      <c r="B484" s="522" t="s">
        <v>1069</v>
      </c>
      <c r="C484" s="424" t="s">
        <v>330</v>
      </c>
      <c r="D484" s="521" t="s">
        <v>1105</v>
      </c>
      <c r="E484" s="522">
        <v>201611</v>
      </c>
      <c r="F484" s="523">
        <v>-30.14</v>
      </c>
      <c r="G484" s="386" t="s">
        <v>449</v>
      </c>
      <c r="H484" s="386" t="s">
        <v>450</v>
      </c>
    </row>
    <row r="485" spans="1:8" ht="15">
      <c r="A485" s="521" t="s">
        <v>318</v>
      </c>
      <c r="B485" s="522" t="s">
        <v>975</v>
      </c>
      <c r="C485" s="424" t="s">
        <v>330</v>
      </c>
      <c r="D485" s="521" t="s">
        <v>976</v>
      </c>
      <c r="E485" s="522">
        <v>201611</v>
      </c>
      <c r="F485" s="523">
        <v>40.33</v>
      </c>
      <c r="G485" s="386" t="s">
        <v>449</v>
      </c>
      <c r="H485" s="386" t="s">
        <v>450</v>
      </c>
    </row>
    <row r="486" spans="1:8">
      <c r="A486" s="521" t="s">
        <v>318</v>
      </c>
      <c r="B486" s="522" t="s">
        <v>852</v>
      </c>
      <c r="C486" s="423" t="s">
        <v>330</v>
      </c>
      <c r="D486" s="521" t="s">
        <v>853</v>
      </c>
      <c r="E486" s="522">
        <v>201611</v>
      </c>
      <c r="F486" s="523">
        <v>-3306.1</v>
      </c>
      <c r="G486" s="386" t="s">
        <v>449</v>
      </c>
      <c r="H486" s="386" t="s">
        <v>450</v>
      </c>
    </row>
    <row r="487" spans="1:8" ht="15">
      <c r="A487" s="521" t="s">
        <v>318</v>
      </c>
      <c r="B487" s="522" t="s">
        <v>870</v>
      </c>
      <c r="C487" s="424" t="s">
        <v>330</v>
      </c>
      <c r="D487" s="521" t="s">
        <v>871</v>
      </c>
      <c r="E487" s="522">
        <v>201611</v>
      </c>
      <c r="F487" s="523">
        <v>2287.91</v>
      </c>
      <c r="G487" s="386" t="s">
        <v>449</v>
      </c>
      <c r="H487" s="386" t="s">
        <v>450</v>
      </c>
    </row>
    <row r="488" spans="1:8">
      <c r="A488" s="521" t="s">
        <v>318</v>
      </c>
      <c r="B488" s="522" t="s">
        <v>1039</v>
      </c>
      <c r="C488" s="423" t="s">
        <v>330</v>
      </c>
      <c r="D488" s="521" t="s">
        <v>1040</v>
      </c>
      <c r="E488" s="522">
        <v>201611</v>
      </c>
      <c r="F488" s="523">
        <v>3502.1</v>
      </c>
      <c r="G488" s="386" t="s">
        <v>449</v>
      </c>
      <c r="H488" s="386" t="s">
        <v>450</v>
      </c>
    </row>
    <row r="489" spans="1:8">
      <c r="A489" s="521" t="s">
        <v>318</v>
      </c>
      <c r="B489" s="522" t="s">
        <v>872</v>
      </c>
      <c r="C489" s="423" t="s">
        <v>330</v>
      </c>
      <c r="D489" s="521" t="s">
        <v>873</v>
      </c>
      <c r="E489" s="522">
        <v>201611</v>
      </c>
      <c r="F489" s="523">
        <v>19353.900000000001</v>
      </c>
      <c r="G489" s="386" t="s">
        <v>449</v>
      </c>
      <c r="H489" s="386" t="s">
        <v>450</v>
      </c>
    </row>
    <row r="490" spans="1:8" ht="15">
      <c r="A490" s="521" t="s">
        <v>318</v>
      </c>
      <c r="B490" s="522" t="s">
        <v>977</v>
      </c>
      <c r="C490" s="424" t="s">
        <v>330</v>
      </c>
      <c r="D490" s="521" t="s">
        <v>978</v>
      </c>
      <c r="E490" s="522">
        <v>201611</v>
      </c>
      <c r="F490" s="523">
        <v>97.64</v>
      </c>
      <c r="G490" s="386" t="s">
        <v>449</v>
      </c>
      <c r="H490" s="386" t="s">
        <v>450</v>
      </c>
    </row>
    <row r="491" spans="1:8" ht="15">
      <c r="A491" s="521" t="s">
        <v>318</v>
      </c>
      <c r="B491" s="522" t="s">
        <v>1041</v>
      </c>
      <c r="C491" s="424" t="s">
        <v>330</v>
      </c>
      <c r="D491" s="521" t="s">
        <v>1042</v>
      </c>
      <c r="E491" s="522">
        <v>201611</v>
      </c>
      <c r="F491" s="523">
        <v>2680.46</v>
      </c>
      <c r="G491" s="386" t="s">
        <v>449</v>
      </c>
      <c r="H491" s="386" t="s">
        <v>450</v>
      </c>
    </row>
    <row r="492" spans="1:8">
      <c r="A492" s="521" t="s">
        <v>318</v>
      </c>
      <c r="B492" s="522" t="s">
        <v>979</v>
      </c>
      <c r="C492" s="423" t="s">
        <v>330</v>
      </c>
      <c r="D492" s="521" t="s">
        <v>980</v>
      </c>
      <c r="E492" s="522">
        <v>201611</v>
      </c>
      <c r="F492" s="523">
        <v>18.420000000000002</v>
      </c>
      <c r="G492" s="386" t="s">
        <v>449</v>
      </c>
      <c r="H492" s="386" t="s">
        <v>450</v>
      </c>
    </row>
    <row r="493" spans="1:8" ht="15">
      <c r="A493" s="521" t="s">
        <v>318</v>
      </c>
      <c r="B493" s="522" t="s">
        <v>981</v>
      </c>
      <c r="C493" s="424" t="s">
        <v>330</v>
      </c>
      <c r="D493" s="521" t="s">
        <v>1014</v>
      </c>
      <c r="E493" s="522">
        <v>201611</v>
      </c>
      <c r="F493" s="523">
        <v>672.44</v>
      </c>
      <c r="G493" s="386" t="s">
        <v>449</v>
      </c>
      <c r="H493" s="386" t="s">
        <v>450</v>
      </c>
    </row>
    <row r="494" spans="1:8" ht="15">
      <c r="A494" s="521" t="s">
        <v>318</v>
      </c>
      <c r="B494" s="522" t="s">
        <v>874</v>
      </c>
      <c r="C494" s="424" t="s">
        <v>330</v>
      </c>
      <c r="D494" s="521" t="s">
        <v>875</v>
      </c>
      <c r="E494" s="522">
        <v>201611</v>
      </c>
      <c r="F494" s="523">
        <v>1076.58</v>
      </c>
      <c r="G494" s="386" t="s">
        <v>449</v>
      </c>
      <c r="H494" s="386" t="s">
        <v>450</v>
      </c>
    </row>
    <row r="495" spans="1:8">
      <c r="A495" s="521" t="s">
        <v>318</v>
      </c>
      <c r="B495" s="522" t="s">
        <v>983</v>
      </c>
      <c r="C495" s="423" t="s">
        <v>330</v>
      </c>
      <c r="D495" s="521" t="s">
        <v>984</v>
      </c>
      <c r="E495" s="522">
        <v>201611</v>
      </c>
      <c r="F495" s="523">
        <v>32.549999999999997</v>
      </c>
      <c r="G495" s="386" t="s">
        <v>449</v>
      </c>
      <c r="H495" s="386" t="s">
        <v>450</v>
      </c>
    </row>
    <row r="496" spans="1:8" ht="15">
      <c r="A496" s="521" t="s">
        <v>318</v>
      </c>
      <c r="B496" s="522" t="s">
        <v>1043</v>
      </c>
      <c r="C496" s="424" t="s">
        <v>330</v>
      </c>
      <c r="D496" s="521" t="s">
        <v>1044</v>
      </c>
      <c r="E496" s="522">
        <v>201611</v>
      </c>
      <c r="F496" s="523">
        <v>25.5</v>
      </c>
      <c r="G496" s="386" t="s">
        <v>449</v>
      </c>
      <c r="H496" s="386" t="s">
        <v>450</v>
      </c>
    </row>
    <row r="497" spans="1:8">
      <c r="A497" s="521" t="s">
        <v>318</v>
      </c>
      <c r="B497" s="522" t="s">
        <v>876</v>
      </c>
      <c r="C497" s="423" t="s">
        <v>330</v>
      </c>
      <c r="D497" s="521" t="s">
        <v>877</v>
      </c>
      <c r="E497" s="522">
        <v>201611</v>
      </c>
      <c r="F497" s="523">
        <v>-44.26</v>
      </c>
      <c r="G497" s="386" t="s">
        <v>449</v>
      </c>
      <c r="H497" s="386" t="s">
        <v>450</v>
      </c>
    </row>
    <row r="498" spans="1:8">
      <c r="A498" s="521" t="s">
        <v>318</v>
      </c>
      <c r="B498" s="522" t="s">
        <v>1045</v>
      </c>
      <c r="C498" s="423" t="s">
        <v>330</v>
      </c>
      <c r="D498" s="521" t="s">
        <v>1046</v>
      </c>
      <c r="E498" s="522">
        <v>201611</v>
      </c>
      <c r="F498" s="523">
        <v>13.63</v>
      </c>
      <c r="G498" s="386" t="s">
        <v>449</v>
      </c>
      <c r="H498" s="386" t="s">
        <v>450</v>
      </c>
    </row>
    <row r="499" spans="1:8" ht="15">
      <c r="A499" s="521" t="s">
        <v>318</v>
      </c>
      <c r="B499" s="522" t="s">
        <v>987</v>
      </c>
      <c r="C499" s="424" t="s">
        <v>330</v>
      </c>
      <c r="D499" s="521" t="s">
        <v>988</v>
      </c>
      <c r="E499" s="522">
        <v>201611</v>
      </c>
      <c r="F499" s="523">
        <v>1.5</v>
      </c>
      <c r="G499" s="386" t="s">
        <v>449</v>
      </c>
      <c r="H499" s="386" t="s">
        <v>450</v>
      </c>
    </row>
    <row r="500" spans="1:8">
      <c r="A500" s="521" t="s">
        <v>318</v>
      </c>
      <c r="B500" s="522" t="s">
        <v>991</v>
      </c>
      <c r="C500" s="423" t="s">
        <v>330</v>
      </c>
      <c r="D500" s="521" t="s">
        <v>992</v>
      </c>
      <c r="E500" s="522">
        <v>201611</v>
      </c>
      <c r="F500" s="523">
        <v>18.510000000000002</v>
      </c>
      <c r="G500" s="386" t="s">
        <v>449</v>
      </c>
      <c r="H500" s="386" t="s">
        <v>450</v>
      </c>
    </row>
    <row r="501" spans="1:8">
      <c r="A501" s="521" t="s">
        <v>318</v>
      </c>
      <c r="B501" s="522" t="s">
        <v>880</v>
      </c>
      <c r="C501" s="423" t="s">
        <v>330</v>
      </c>
      <c r="D501" s="521" t="s">
        <v>881</v>
      </c>
      <c r="E501" s="522">
        <v>201611</v>
      </c>
      <c r="F501" s="523">
        <v>57274.94</v>
      </c>
      <c r="G501" s="386" t="s">
        <v>449</v>
      </c>
      <c r="H501" s="386" t="s">
        <v>450</v>
      </c>
    </row>
    <row r="502" spans="1:8" ht="15">
      <c r="A502" s="521" t="s">
        <v>318</v>
      </c>
      <c r="B502" s="522" t="s">
        <v>993</v>
      </c>
      <c r="C502" s="424" t="s">
        <v>330</v>
      </c>
      <c r="D502" s="521" t="s">
        <v>994</v>
      </c>
      <c r="E502" s="522">
        <v>201611</v>
      </c>
      <c r="F502" s="523">
        <v>666.93</v>
      </c>
      <c r="G502" s="386" t="s">
        <v>449</v>
      </c>
      <c r="H502" s="386" t="s">
        <v>450</v>
      </c>
    </row>
    <row r="503" spans="1:8" ht="15">
      <c r="A503" s="521" t="s">
        <v>318</v>
      </c>
      <c r="B503" s="522" t="s">
        <v>891</v>
      </c>
      <c r="C503" s="424" t="s">
        <v>331</v>
      </c>
      <c r="D503" s="521" t="s">
        <v>892</v>
      </c>
      <c r="E503" s="522">
        <v>201611</v>
      </c>
      <c r="F503" s="523">
        <v>53.07</v>
      </c>
      <c r="G503" s="386" t="s">
        <v>449</v>
      </c>
      <c r="H503" s="386" t="s">
        <v>450</v>
      </c>
    </row>
    <row r="504" spans="1:8" ht="15">
      <c r="A504" s="521" t="s">
        <v>318</v>
      </c>
      <c r="B504" s="522" t="s">
        <v>996</v>
      </c>
      <c r="C504" s="424" t="s">
        <v>330</v>
      </c>
      <c r="D504" s="521" t="s">
        <v>997</v>
      </c>
      <c r="E504" s="522">
        <v>201611</v>
      </c>
      <c r="F504" s="523">
        <v>1084.55</v>
      </c>
      <c r="G504" s="386" t="s">
        <v>449</v>
      </c>
      <c r="H504" s="386" t="s">
        <v>450</v>
      </c>
    </row>
    <row r="505" spans="1:8">
      <c r="A505" s="521" t="s">
        <v>318</v>
      </c>
      <c r="B505" s="522" t="s">
        <v>887</v>
      </c>
      <c r="C505" s="423" t="s">
        <v>330</v>
      </c>
      <c r="D505" s="521" t="s">
        <v>888</v>
      </c>
      <c r="E505" s="522">
        <v>201611</v>
      </c>
      <c r="F505" s="523">
        <v>31.01</v>
      </c>
      <c r="G505" s="386" t="s">
        <v>449</v>
      </c>
      <c r="H505" s="386" t="s">
        <v>450</v>
      </c>
    </row>
    <row r="506" spans="1:8">
      <c r="A506" s="521" t="s">
        <v>318</v>
      </c>
      <c r="B506" s="522" t="s">
        <v>1075</v>
      </c>
      <c r="C506" s="423" t="s">
        <v>331</v>
      </c>
      <c r="D506" s="521" t="s">
        <v>1076</v>
      </c>
      <c r="E506" s="522">
        <v>201611</v>
      </c>
      <c r="F506" s="523">
        <v>-4002.6</v>
      </c>
      <c r="G506" s="386" t="s">
        <v>449</v>
      </c>
      <c r="H506" s="386" t="s">
        <v>450</v>
      </c>
    </row>
    <row r="507" spans="1:8" ht="15">
      <c r="A507" s="521" t="s">
        <v>318</v>
      </c>
      <c r="B507" s="522" t="s">
        <v>1049</v>
      </c>
      <c r="C507" s="424" t="s">
        <v>330</v>
      </c>
      <c r="D507" s="521" t="s">
        <v>1050</v>
      </c>
      <c r="E507" s="522">
        <v>201611</v>
      </c>
      <c r="F507" s="523">
        <v>148.69999999999999</v>
      </c>
      <c r="G507" s="386" t="s">
        <v>449</v>
      </c>
      <c r="H507" s="386" t="s">
        <v>450</v>
      </c>
    </row>
    <row r="508" spans="1:8" ht="15">
      <c r="A508" s="521" t="s">
        <v>318</v>
      </c>
      <c r="B508" s="522" t="s">
        <v>1077</v>
      </c>
      <c r="C508" s="424" t="s">
        <v>330</v>
      </c>
      <c r="D508" s="521" t="s">
        <v>1078</v>
      </c>
      <c r="E508" s="522">
        <v>201611</v>
      </c>
      <c r="F508" s="523">
        <v>-244.82</v>
      </c>
      <c r="G508" s="386" t="s">
        <v>449</v>
      </c>
      <c r="H508" s="386" t="s">
        <v>450</v>
      </c>
    </row>
    <row r="509" spans="1:8">
      <c r="A509" s="521" t="s">
        <v>318</v>
      </c>
      <c r="B509" s="522" t="s">
        <v>1079</v>
      </c>
      <c r="C509" s="423" t="s">
        <v>330</v>
      </c>
      <c r="D509" s="521" t="s">
        <v>1080</v>
      </c>
      <c r="E509" s="522">
        <v>201611</v>
      </c>
      <c r="F509" s="523">
        <v>-1401.28</v>
      </c>
      <c r="G509" s="386" t="s">
        <v>449</v>
      </c>
      <c r="H509" s="386" t="s">
        <v>450</v>
      </c>
    </row>
    <row r="510" spans="1:8">
      <c r="A510" s="521" t="s">
        <v>318</v>
      </c>
      <c r="B510" s="522" t="s">
        <v>1053</v>
      </c>
      <c r="C510" s="423" t="s">
        <v>331</v>
      </c>
      <c r="D510" s="521" t="s">
        <v>1054</v>
      </c>
      <c r="E510" s="522">
        <v>201611</v>
      </c>
      <c r="F510" s="523">
        <v>0.72</v>
      </c>
      <c r="G510" s="386" t="s">
        <v>449</v>
      </c>
      <c r="H510" s="386" t="s">
        <v>450</v>
      </c>
    </row>
    <row r="511" spans="1:8">
      <c r="A511" s="521" t="s">
        <v>318</v>
      </c>
      <c r="B511" s="522" t="s">
        <v>941</v>
      </c>
      <c r="C511" s="423" t="s">
        <v>330</v>
      </c>
      <c r="D511" s="521" t="s">
        <v>942</v>
      </c>
      <c r="E511" s="522">
        <v>201612</v>
      </c>
      <c r="F511" s="523">
        <v>-50.77</v>
      </c>
      <c r="G511" s="386" t="s">
        <v>449</v>
      </c>
      <c r="H511" s="386" t="s">
        <v>450</v>
      </c>
    </row>
    <row r="512" spans="1:8">
      <c r="A512" s="521" t="s">
        <v>318</v>
      </c>
      <c r="B512" s="522" t="s">
        <v>856</v>
      </c>
      <c r="C512" s="423" t="s">
        <v>330</v>
      </c>
      <c r="D512" s="521" t="s">
        <v>857</v>
      </c>
      <c r="E512" s="522">
        <v>201612</v>
      </c>
      <c r="F512" s="523">
        <v>-35792.54</v>
      </c>
      <c r="G512" s="386" t="s">
        <v>449</v>
      </c>
      <c r="H512" s="386" t="s">
        <v>450</v>
      </c>
    </row>
    <row r="513" spans="1:8">
      <c r="A513" s="521" t="s">
        <v>318</v>
      </c>
      <c r="B513" s="522" t="s">
        <v>856</v>
      </c>
      <c r="C513" s="423" t="s">
        <v>330</v>
      </c>
      <c r="D513" s="521" t="s">
        <v>857</v>
      </c>
      <c r="E513" s="522">
        <v>201612</v>
      </c>
      <c r="F513" s="523">
        <v>62513.919999999998</v>
      </c>
      <c r="G513" s="386" t="s">
        <v>449</v>
      </c>
      <c r="H513" s="386" t="s">
        <v>450</v>
      </c>
    </row>
    <row r="514" spans="1:8" ht="15">
      <c r="A514" s="521" t="s">
        <v>318</v>
      </c>
      <c r="B514" s="522" t="s">
        <v>800</v>
      </c>
      <c r="C514" s="424" t="s">
        <v>330</v>
      </c>
      <c r="D514" s="521" t="s">
        <v>830</v>
      </c>
      <c r="E514" s="522">
        <v>201612</v>
      </c>
      <c r="F514" s="523">
        <v>7779.01</v>
      </c>
      <c r="G514" s="386" t="s">
        <v>449</v>
      </c>
      <c r="H514" s="386" t="s">
        <v>450</v>
      </c>
    </row>
    <row r="515" spans="1:8">
      <c r="A515" s="521" t="s">
        <v>318</v>
      </c>
      <c r="B515" s="522" t="s">
        <v>629</v>
      </c>
      <c r="C515" s="423" t="s">
        <v>330</v>
      </c>
      <c r="D515" s="521" t="s">
        <v>630</v>
      </c>
      <c r="E515" s="522">
        <v>201612</v>
      </c>
      <c r="F515" s="523">
        <v>15.81</v>
      </c>
      <c r="G515" s="386" t="s">
        <v>449</v>
      </c>
      <c r="H515" s="386" t="s">
        <v>450</v>
      </c>
    </row>
    <row r="516" spans="1:8">
      <c r="A516" s="521" t="s">
        <v>318</v>
      </c>
      <c r="B516" s="522" t="s">
        <v>838</v>
      </c>
      <c r="C516" s="423" t="s">
        <v>330</v>
      </c>
      <c r="D516" s="521" t="s">
        <v>1015</v>
      </c>
      <c r="E516" s="522">
        <v>201612</v>
      </c>
      <c r="F516" s="523">
        <v>120449.78</v>
      </c>
      <c r="G516" s="386" t="s">
        <v>449</v>
      </c>
      <c r="H516" s="386" t="s">
        <v>450</v>
      </c>
    </row>
    <row r="517" spans="1:8">
      <c r="A517" s="521" t="s">
        <v>318</v>
      </c>
      <c r="B517" s="522" t="s">
        <v>801</v>
      </c>
      <c r="C517" s="423" t="s">
        <v>330</v>
      </c>
      <c r="D517" s="521" t="s">
        <v>802</v>
      </c>
      <c r="E517" s="522">
        <v>201612</v>
      </c>
      <c r="F517" s="523">
        <v>-17.36</v>
      </c>
      <c r="G517" s="386" t="s">
        <v>449</v>
      </c>
      <c r="H517" s="386" t="s">
        <v>450</v>
      </c>
    </row>
    <row r="518" spans="1:8">
      <c r="A518" s="521" t="s">
        <v>318</v>
      </c>
      <c r="B518" s="522" t="s">
        <v>803</v>
      </c>
      <c r="C518" s="423" t="s">
        <v>330</v>
      </c>
      <c r="D518" s="521" t="s">
        <v>804</v>
      </c>
      <c r="E518" s="522">
        <v>201612</v>
      </c>
      <c r="F518" s="523">
        <v>-77.91</v>
      </c>
      <c r="G518" s="386" t="s">
        <v>449</v>
      </c>
      <c r="H518" s="386" t="s">
        <v>450</v>
      </c>
    </row>
    <row r="519" spans="1:8">
      <c r="A519" s="521" t="s">
        <v>318</v>
      </c>
      <c r="B519" s="522" t="s">
        <v>805</v>
      </c>
      <c r="C519" s="423" t="s">
        <v>330</v>
      </c>
      <c r="D519" s="521" t="s">
        <v>806</v>
      </c>
      <c r="E519" s="522">
        <v>201612</v>
      </c>
      <c r="F519" s="523">
        <v>1.1499999999999999</v>
      </c>
      <c r="G519" s="386" t="s">
        <v>449</v>
      </c>
      <c r="H519" s="386" t="s">
        <v>450</v>
      </c>
    </row>
    <row r="520" spans="1:8">
      <c r="A520" s="521" t="s">
        <v>318</v>
      </c>
      <c r="B520" s="522" t="s">
        <v>1033</v>
      </c>
      <c r="C520" s="423" t="s">
        <v>330</v>
      </c>
      <c r="D520" s="521" t="s">
        <v>1034</v>
      </c>
      <c r="E520" s="522">
        <v>201612</v>
      </c>
      <c r="F520" s="523">
        <v>107.19</v>
      </c>
      <c r="G520" s="386" t="s">
        <v>449</v>
      </c>
      <c r="H520" s="386" t="s">
        <v>450</v>
      </c>
    </row>
    <row r="521" spans="1:8">
      <c r="A521" s="521" t="s">
        <v>318</v>
      </c>
      <c r="B521" s="522" t="s">
        <v>832</v>
      </c>
      <c r="C521" s="423" t="s">
        <v>330</v>
      </c>
      <c r="D521" s="521" t="s">
        <v>833</v>
      </c>
      <c r="E521" s="522">
        <v>201612</v>
      </c>
      <c r="F521" s="523">
        <v>2.13</v>
      </c>
      <c r="G521" s="386" t="s">
        <v>449</v>
      </c>
      <c r="H521" s="386" t="s">
        <v>450</v>
      </c>
    </row>
    <row r="522" spans="1:8">
      <c r="A522" s="521" t="s">
        <v>318</v>
      </c>
      <c r="B522" s="522" t="s">
        <v>834</v>
      </c>
      <c r="C522" s="423" t="s">
        <v>330</v>
      </c>
      <c r="D522" s="521" t="s">
        <v>835</v>
      </c>
      <c r="E522" s="522">
        <v>201612</v>
      </c>
      <c r="F522" s="523">
        <v>240834.66</v>
      </c>
      <c r="G522" s="386" t="s">
        <v>449</v>
      </c>
      <c r="H522" s="386" t="s">
        <v>450</v>
      </c>
    </row>
    <row r="523" spans="1:8">
      <c r="A523" s="521" t="s">
        <v>318</v>
      </c>
      <c r="B523" s="522" t="s">
        <v>951</v>
      </c>
      <c r="C523" s="423" t="s">
        <v>330</v>
      </c>
      <c r="D523" s="521" t="s">
        <v>952</v>
      </c>
      <c r="E523" s="522">
        <v>201612</v>
      </c>
      <c r="F523" s="523">
        <v>-108.99</v>
      </c>
      <c r="G523" s="386" t="s">
        <v>449</v>
      </c>
      <c r="H523" s="386" t="s">
        <v>450</v>
      </c>
    </row>
    <row r="524" spans="1:8">
      <c r="A524" s="521" t="s">
        <v>318</v>
      </c>
      <c r="B524" s="522" t="s">
        <v>953</v>
      </c>
      <c r="C524" s="423" t="s">
        <v>330</v>
      </c>
      <c r="D524" s="521" t="s">
        <v>954</v>
      </c>
      <c r="E524" s="522">
        <v>201612</v>
      </c>
      <c r="F524" s="523">
        <v>-6165.57</v>
      </c>
      <c r="G524" s="386" t="s">
        <v>449</v>
      </c>
      <c r="H524" s="386" t="s">
        <v>450</v>
      </c>
    </row>
    <row r="525" spans="1:8">
      <c r="A525" s="521" t="s">
        <v>318</v>
      </c>
      <c r="B525" s="522" t="s">
        <v>955</v>
      </c>
      <c r="C525" s="423" t="s">
        <v>330</v>
      </c>
      <c r="D525" s="521" t="s">
        <v>956</v>
      </c>
      <c r="E525" s="522">
        <v>201612</v>
      </c>
      <c r="F525" s="523">
        <v>15.22</v>
      </c>
      <c r="G525" s="386" t="s">
        <v>449</v>
      </c>
      <c r="H525" s="386" t="s">
        <v>450</v>
      </c>
    </row>
    <row r="526" spans="1:8">
      <c r="A526" s="521" t="s">
        <v>318</v>
      </c>
      <c r="B526" s="522" t="s">
        <v>893</v>
      </c>
      <c r="C526" s="423" t="s">
        <v>331</v>
      </c>
      <c r="D526" s="521" t="s">
        <v>894</v>
      </c>
      <c r="E526" s="522">
        <v>201612</v>
      </c>
      <c r="F526" s="523">
        <v>-2500.42</v>
      </c>
      <c r="G526" s="386" t="s">
        <v>449</v>
      </c>
      <c r="H526" s="386" t="s">
        <v>450</v>
      </c>
    </row>
    <row r="527" spans="1:8">
      <c r="A527" s="521" t="s">
        <v>318</v>
      </c>
      <c r="B527" s="522" t="s">
        <v>814</v>
      </c>
      <c r="C527" s="423" t="s">
        <v>330</v>
      </c>
      <c r="D527" s="521" t="s">
        <v>815</v>
      </c>
      <c r="E527" s="522">
        <v>201612</v>
      </c>
      <c r="F527" s="523">
        <v>-69670.28</v>
      </c>
      <c r="G527" s="386" t="s">
        <v>449</v>
      </c>
      <c r="H527" s="386" t="s">
        <v>450</v>
      </c>
    </row>
    <row r="528" spans="1:8">
      <c r="A528" s="521" t="s">
        <v>318</v>
      </c>
      <c r="B528" s="522" t="s">
        <v>963</v>
      </c>
      <c r="C528" s="423" t="s">
        <v>330</v>
      </c>
      <c r="D528" s="521" t="s">
        <v>964</v>
      </c>
      <c r="E528" s="522">
        <v>201612</v>
      </c>
      <c r="F528" s="523">
        <v>22.03</v>
      </c>
      <c r="G528" s="386" t="s">
        <v>449</v>
      </c>
      <c r="H528" s="386" t="s">
        <v>450</v>
      </c>
    </row>
    <row r="529" spans="1:8">
      <c r="A529" s="521" t="s">
        <v>318</v>
      </c>
      <c r="B529" s="522" t="s">
        <v>862</v>
      </c>
      <c r="C529" s="423" t="s">
        <v>330</v>
      </c>
      <c r="D529" s="521" t="s">
        <v>863</v>
      </c>
      <c r="E529" s="522">
        <v>201612</v>
      </c>
      <c r="F529" s="523">
        <v>133374.53</v>
      </c>
      <c r="G529" s="386" t="s">
        <v>449</v>
      </c>
      <c r="H529" s="386" t="s">
        <v>450</v>
      </c>
    </row>
    <row r="530" spans="1:8">
      <c r="A530" s="521" t="s">
        <v>318</v>
      </c>
      <c r="B530" s="522" t="s">
        <v>682</v>
      </c>
      <c r="C530" s="423" t="s">
        <v>330</v>
      </c>
      <c r="D530" s="521" t="s">
        <v>683</v>
      </c>
      <c r="E530" s="522">
        <v>201612</v>
      </c>
      <c r="F530" s="523">
        <v>4523.67</v>
      </c>
      <c r="G530" s="386" t="s">
        <v>449</v>
      </c>
      <c r="H530" s="386" t="s">
        <v>450</v>
      </c>
    </row>
    <row r="531" spans="1:8" ht="15">
      <c r="A531" s="521" t="s">
        <v>318</v>
      </c>
      <c r="B531" s="522" t="s">
        <v>846</v>
      </c>
      <c r="C531" s="424" t="s">
        <v>330</v>
      </c>
      <c r="D531" s="521" t="s">
        <v>847</v>
      </c>
      <c r="E531" s="522">
        <v>201612</v>
      </c>
      <c r="F531" s="523">
        <v>153.87</v>
      </c>
      <c r="G531" s="386" t="s">
        <v>449</v>
      </c>
      <c r="H531" s="386" t="s">
        <v>450</v>
      </c>
    </row>
    <row r="532" spans="1:8" ht="15">
      <c r="A532" s="521" t="s">
        <v>318</v>
      </c>
      <c r="B532" s="522" t="s">
        <v>1106</v>
      </c>
      <c r="C532" s="424" t="s">
        <v>330</v>
      </c>
      <c r="D532" s="521" t="s">
        <v>1107</v>
      </c>
      <c r="E532" s="522">
        <v>201612</v>
      </c>
      <c r="F532" s="523">
        <v>57944.31</v>
      </c>
      <c r="G532" s="386" t="s">
        <v>449</v>
      </c>
      <c r="H532" s="386" t="s">
        <v>450</v>
      </c>
    </row>
    <row r="533" spans="1:8" ht="15">
      <c r="A533" s="521" t="s">
        <v>318</v>
      </c>
      <c r="B533" s="522" t="s">
        <v>899</v>
      </c>
      <c r="C533" s="424" t="s">
        <v>331</v>
      </c>
      <c r="D533" s="521" t="s">
        <v>900</v>
      </c>
      <c r="E533" s="522">
        <v>201612</v>
      </c>
      <c r="F533" s="523">
        <v>1610.16</v>
      </c>
      <c r="G533" s="386" t="s">
        <v>449</v>
      </c>
      <c r="H533" s="386" t="s">
        <v>450</v>
      </c>
    </row>
    <row r="534" spans="1:8" ht="15">
      <c r="A534" s="521" t="s">
        <v>318</v>
      </c>
      <c r="B534" s="522" t="s">
        <v>822</v>
      </c>
      <c r="C534" s="424" t="s">
        <v>330</v>
      </c>
      <c r="D534" s="521" t="s">
        <v>823</v>
      </c>
      <c r="E534" s="522">
        <v>201612</v>
      </c>
      <c r="F534" s="523">
        <v>-20.13</v>
      </c>
      <c r="G534" s="386" t="s">
        <v>449</v>
      </c>
      <c r="H534" s="386" t="s">
        <v>450</v>
      </c>
    </row>
    <row r="535" spans="1:8" ht="15">
      <c r="A535" s="521" t="s">
        <v>318</v>
      </c>
      <c r="B535" s="522" t="s">
        <v>822</v>
      </c>
      <c r="C535" s="424" t="s">
        <v>330</v>
      </c>
      <c r="D535" s="521" t="s">
        <v>823</v>
      </c>
      <c r="E535" s="522">
        <v>201612</v>
      </c>
      <c r="F535" s="523">
        <v>-7.28</v>
      </c>
      <c r="G535" s="386" t="s">
        <v>449</v>
      </c>
      <c r="H535" s="386" t="s">
        <v>450</v>
      </c>
    </row>
    <row r="536" spans="1:8">
      <c r="A536" s="521" t="s">
        <v>318</v>
      </c>
      <c r="B536" s="522" t="s">
        <v>973</v>
      </c>
      <c r="C536" s="423" t="s">
        <v>330</v>
      </c>
      <c r="D536" s="521" t="s">
        <v>974</v>
      </c>
      <c r="E536" s="522">
        <v>201612</v>
      </c>
      <c r="F536" s="523">
        <v>1135.27</v>
      </c>
      <c r="G536" s="386" t="s">
        <v>449</v>
      </c>
      <c r="H536" s="386" t="s">
        <v>450</v>
      </c>
    </row>
    <row r="537" spans="1:8">
      <c r="A537" s="521" t="s">
        <v>318</v>
      </c>
      <c r="B537" s="522" t="s">
        <v>868</v>
      </c>
      <c r="C537" s="423" t="s">
        <v>330</v>
      </c>
      <c r="D537" s="521" t="s">
        <v>869</v>
      </c>
      <c r="E537" s="522">
        <v>201612</v>
      </c>
      <c r="F537" s="523">
        <v>20.45</v>
      </c>
      <c r="G537" s="386" t="s">
        <v>449</v>
      </c>
      <c r="H537" s="386" t="s">
        <v>450</v>
      </c>
    </row>
    <row r="538" spans="1:8" ht="15">
      <c r="A538" s="521" t="s">
        <v>318</v>
      </c>
      <c r="B538" s="522" t="s">
        <v>868</v>
      </c>
      <c r="C538" s="424" t="s">
        <v>330</v>
      </c>
      <c r="D538" s="521" t="s">
        <v>869</v>
      </c>
      <c r="E538" s="522">
        <v>201612</v>
      </c>
      <c r="F538" s="523">
        <v>197.15</v>
      </c>
      <c r="G538" s="386" t="s">
        <v>449</v>
      </c>
      <c r="H538" s="386" t="s">
        <v>450</v>
      </c>
    </row>
    <row r="539" spans="1:8">
      <c r="A539" s="521" t="s">
        <v>318</v>
      </c>
      <c r="B539" s="522" t="s">
        <v>1108</v>
      </c>
      <c r="C539" s="423" t="s">
        <v>330</v>
      </c>
      <c r="D539" s="521" t="s">
        <v>1109</v>
      </c>
      <c r="E539" s="522">
        <v>201612</v>
      </c>
      <c r="F539" s="523">
        <v>170103.86</v>
      </c>
      <c r="G539" s="386" t="s">
        <v>449</v>
      </c>
      <c r="H539" s="386" t="s">
        <v>450</v>
      </c>
    </row>
    <row r="540" spans="1:8" ht="15">
      <c r="A540" s="521" t="s">
        <v>318</v>
      </c>
      <c r="B540" s="522" t="s">
        <v>1069</v>
      </c>
      <c r="C540" s="424" t="s">
        <v>330</v>
      </c>
      <c r="D540" s="521" t="s">
        <v>1105</v>
      </c>
      <c r="E540" s="522">
        <v>201612</v>
      </c>
      <c r="F540" s="523">
        <v>105.43</v>
      </c>
      <c r="G540" s="386" t="s">
        <v>449</v>
      </c>
      <c r="H540" s="386" t="s">
        <v>450</v>
      </c>
    </row>
    <row r="541" spans="1:8" ht="15">
      <c r="A541" s="521" t="s">
        <v>318</v>
      </c>
      <c r="B541" s="522" t="s">
        <v>975</v>
      </c>
      <c r="C541" s="424" t="s">
        <v>330</v>
      </c>
      <c r="D541" s="521" t="s">
        <v>976</v>
      </c>
      <c r="E541" s="522">
        <v>201612</v>
      </c>
      <c r="F541" s="523">
        <v>-150.44999999999999</v>
      </c>
      <c r="G541" s="386" t="s">
        <v>449</v>
      </c>
      <c r="H541" s="386" t="s">
        <v>450</v>
      </c>
    </row>
    <row r="542" spans="1:8">
      <c r="A542" s="521" t="s">
        <v>318</v>
      </c>
      <c r="B542" s="522" t="s">
        <v>852</v>
      </c>
      <c r="C542" s="423" t="s">
        <v>330</v>
      </c>
      <c r="D542" s="521" t="s">
        <v>853</v>
      </c>
      <c r="E542" s="522">
        <v>201612</v>
      </c>
      <c r="F542" s="523">
        <v>127.9</v>
      </c>
      <c r="G542" s="386" t="s">
        <v>449</v>
      </c>
      <c r="H542" s="386" t="s">
        <v>450</v>
      </c>
    </row>
    <row r="543" spans="1:8" ht="15">
      <c r="A543" s="521" t="s">
        <v>318</v>
      </c>
      <c r="B543" s="522" t="s">
        <v>870</v>
      </c>
      <c r="C543" s="424" t="s">
        <v>330</v>
      </c>
      <c r="D543" s="521" t="s">
        <v>871</v>
      </c>
      <c r="E543" s="522">
        <v>201612</v>
      </c>
      <c r="F543" s="523">
        <v>-126.35</v>
      </c>
      <c r="G543" s="386" t="s">
        <v>449</v>
      </c>
      <c r="H543" s="386" t="s">
        <v>450</v>
      </c>
    </row>
    <row r="544" spans="1:8">
      <c r="A544" s="521" t="s">
        <v>318</v>
      </c>
      <c r="B544" s="522" t="s">
        <v>1039</v>
      </c>
      <c r="C544" s="423" t="s">
        <v>330</v>
      </c>
      <c r="D544" s="521" t="s">
        <v>1040</v>
      </c>
      <c r="E544" s="522">
        <v>201612</v>
      </c>
      <c r="F544" s="523">
        <v>967.85</v>
      </c>
      <c r="G544" s="386" t="s">
        <v>449</v>
      </c>
      <c r="H544" s="386" t="s">
        <v>450</v>
      </c>
    </row>
    <row r="545" spans="1:8" ht="15">
      <c r="A545" s="521" t="s">
        <v>318</v>
      </c>
      <c r="B545" s="522" t="s">
        <v>872</v>
      </c>
      <c r="C545" s="424" t="s">
        <v>330</v>
      </c>
      <c r="D545" s="521" t="s">
        <v>873</v>
      </c>
      <c r="E545" s="522">
        <v>201612</v>
      </c>
      <c r="F545" s="523">
        <v>-69.459999999999994</v>
      </c>
      <c r="G545" s="386" t="s">
        <v>449</v>
      </c>
      <c r="H545" s="386" t="s">
        <v>450</v>
      </c>
    </row>
    <row r="546" spans="1:8" ht="15">
      <c r="A546" s="521" t="s">
        <v>318</v>
      </c>
      <c r="B546" s="522" t="s">
        <v>977</v>
      </c>
      <c r="C546" s="424" t="s">
        <v>330</v>
      </c>
      <c r="D546" s="521" t="s">
        <v>978</v>
      </c>
      <c r="E546" s="522">
        <v>201612</v>
      </c>
      <c r="F546" s="523">
        <v>9.98</v>
      </c>
      <c r="G546" s="386" t="s">
        <v>449</v>
      </c>
      <c r="H546" s="386" t="s">
        <v>450</v>
      </c>
    </row>
    <row r="547" spans="1:8" ht="15">
      <c r="A547" s="521" t="s">
        <v>318</v>
      </c>
      <c r="B547" s="522" t="s">
        <v>1041</v>
      </c>
      <c r="C547" s="424" t="s">
        <v>330</v>
      </c>
      <c r="D547" s="521" t="s">
        <v>1042</v>
      </c>
      <c r="E547" s="522">
        <v>201612</v>
      </c>
      <c r="F547" s="523">
        <v>-63.11</v>
      </c>
      <c r="G547" s="386" t="s">
        <v>449</v>
      </c>
      <c r="H547" s="386" t="s">
        <v>450</v>
      </c>
    </row>
    <row r="548" spans="1:8">
      <c r="A548" s="521" t="s">
        <v>318</v>
      </c>
      <c r="B548" s="522" t="s">
        <v>979</v>
      </c>
      <c r="C548" s="423" t="s">
        <v>330</v>
      </c>
      <c r="D548" s="521" t="s">
        <v>980</v>
      </c>
      <c r="E548" s="522">
        <v>201612</v>
      </c>
      <c r="F548" s="523">
        <v>1854.14</v>
      </c>
      <c r="G548" s="386" t="s">
        <v>449</v>
      </c>
      <c r="H548" s="386" t="s">
        <v>450</v>
      </c>
    </row>
    <row r="549" spans="1:8" ht="15">
      <c r="A549" s="521" t="s">
        <v>318</v>
      </c>
      <c r="B549" s="522" t="s">
        <v>981</v>
      </c>
      <c r="C549" s="424" t="s">
        <v>330</v>
      </c>
      <c r="D549" s="521" t="s">
        <v>1014</v>
      </c>
      <c r="E549" s="522">
        <v>201612</v>
      </c>
      <c r="F549" s="523">
        <v>369.02</v>
      </c>
      <c r="G549" s="386" t="s">
        <v>449</v>
      </c>
      <c r="H549" s="386" t="s">
        <v>450</v>
      </c>
    </row>
    <row r="550" spans="1:8">
      <c r="A550" s="521" t="s">
        <v>318</v>
      </c>
      <c r="B550" s="522" t="s">
        <v>874</v>
      </c>
      <c r="C550" s="423" t="s">
        <v>330</v>
      </c>
      <c r="D550" s="521" t="s">
        <v>875</v>
      </c>
      <c r="E550" s="522">
        <v>201612</v>
      </c>
      <c r="F550" s="523">
        <v>72.319999999999993</v>
      </c>
      <c r="G550" s="386" t="s">
        <v>449</v>
      </c>
      <c r="H550" s="386" t="s">
        <v>450</v>
      </c>
    </row>
    <row r="551" spans="1:8">
      <c r="A551" s="521" t="s">
        <v>318</v>
      </c>
      <c r="B551" s="522" t="s">
        <v>983</v>
      </c>
      <c r="C551" s="423" t="s">
        <v>330</v>
      </c>
      <c r="D551" s="521" t="s">
        <v>984</v>
      </c>
      <c r="E551" s="522">
        <v>201612</v>
      </c>
      <c r="F551" s="523">
        <v>74.03</v>
      </c>
      <c r="G551" s="386" t="s">
        <v>449</v>
      </c>
      <c r="H551" s="386" t="s">
        <v>450</v>
      </c>
    </row>
    <row r="552" spans="1:8" ht="15">
      <c r="A552" s="521" t="s">
        <v>318</v>
      </c>
      <c r="B552" s="522" t="s">
        <v>1043</v>
      </c>
      <c r="C552" s="424" t="s">
        <v>330</v>
      </c>
      <c r="D552" s="521" t="s">
        <v>1044</v>
      </c>
      <c r="E552" s="522">
        <v>201612</v>
      </c>
      <c r="F552" s="523">
        <v>-0.69</v>
      </c>
      <c r="G552" s="386" t="s">
        <v>449</v>
      </c>
      <c r="H552" s="386" t="s">
        <v>450</v>
      </c>
    </row>
    <row r="553" spans="1:8" ht="15">
      <c r="A553" s="521" t="s">
        <v>318</v>
      </c>
      <c r="B553" s="522" t="s">
        <v>876</v>
      </c>
      <c r="C553" s="424" t="s">
        <v>330</v>
      </c>
      <c r="D553" s="521" t="s">
        <v>877</v>
      </c>
      <c r="E553" s="522">
        <v>201612</v>
      </c>
      <c r="F553" s="523">
        <v>-14</v>
      </c>
      <c r="G553" s="386" t="s">
        <v>449</v>
      </c>
      <c r="H553" s="386" t="s">
        <v>450</v>
      </c>
    </row>
    <row r="554" spans="1:8" ht="15">
      <c r="A554" s="521" t="s">
        <v>318</v>
      </c>
      <c r="B554" s="522" t="s">
        <v>1045</v>
      </c>
      <c r="C554" s="424" t="s">
        <v>330</v>
      </c>
      <c r="D554" s="521" t="s">
        <v>1046</v>
      </c>
      <c r="E554" s="522">
        <v>201612</v>
      </c>
      <c r="F554" s="523">
        <v>-59.87</v>
      </c>
      <c r="G554" s="386" t="s">
        <v>449</v>
      </c>
      <c r="H554" s="386" t="s">
        <v>450</v>
      </c>
    </row>
    <row r="555" spans="1:8">
      <c r="A555" s="521" t="s">
        <v>318</v>
      </c>
      <c r="B555" s="522" t="s">
        <v>985</v>
      </c>
      <c r="C555" s="423" t="s">
        <v>330</v>
      </c>
      <c r="D555" s="521" t="s">
        <v>986</v>
      </c>
      <c r="E555" s="522">
        <v>201612</v>
      </c>
      <c r="F555" s="523">
        <v>1367.04</v>
      </c>
      <c r="G555" s="386" t="s">
        <v>449</v>
      </c>
      <c r="H555" s="386" t="s">
        <v>450</v>
      </c>
    </row>
    <row r="556" spans="1:8" ht="15">
      <c r="A556" s="521" t="s">
        <v>318</v>
      </c>
      <c r="B556" s="522" t="s">
        <v>878</v>
      </c>
      <c r="C556" s="424" t="s">
        <v>330</v>
      </c>
      <c r="D556" s="521" t="s">
        <v>879</v>
      </c>
      <c r="E556" s="522">
        <v>201612</v>
      </c>
      <c r="F556" s="523">
        <v>-482.09</v>
      </c>
      <c r="G556" s="386" t="s">
        <v>449</v>
      </c>
      <c r="H556" s="386" t="s">
        <v>450</v>
      </c>
    </row>
    <row r="557" spans="1:8" ht="15">
      <c r="A557" s="521" t="s">
        <v>318</v>
      </c>
      <c r="B557" s="522" t="s">
        <v>987</v>
      </c>
      <c r="C557" s="424" t="s">
        <v>330</v>
      </c>
      <c r="D557" s="521" t="s">
        <v>988</v>
      </c>
      <c r="E557" s="522">
        <v>201612</v>
      </c>
      <c r="F557" s="523">
        <v>-1.0900000000000001</v>
      </c>
      <c r="G557" s="386" t="s">
        <v>449</v>
      </c>
      <c r="H557" s="386" t="s">
        <v>450</v>
      </c>
    </row>
    <row r="558" spans="1:8" ht="15">
      <c r="A558" s="521" t="s">
        <v>318</v>
      </c>
      <c r="B558" s="522" t="s">
        <v>989</v>
      </c>
      <c r="C558" s="424" t="s">
        <v>330</v>
      </c>
      <c r="D558" s="521" t="s">
        <v>990</v>
      </c>
      <c r="E558" s="522">
        <v>201612</v>
      </c>
      <c r="F558" s="523">
        <v>-13.71</v>
      </c>
      <c r="G558" s="386" t="s">
        <v>449</v>
      </c>
      <c r="H558" s="386" t="s">
        <v>450</v>
      </c>
    </row>
    <row r="559" spans="1:8">
      <c r="A559" s="521" t="s">
        <v>318</v>
      </c>
      <c r="B559" s="522" t="s">
        <v>991</v>
      </c>
      <c r="C559" s="423" t="s">
        <v>330</v>
      </c>
      <c r="D559" s="521" t="s">
        <v>992</v>
      </c>
      <c r="E559" s="522">
        <v>201612</v>
      </c>
      <c r="F559" s="523">
        <v>20.11</v>
      </c>
      <c r="G559" s="386" t="s">
        <v>449</v>
      </c>
      <c r="H559" s="386" t="s">
        <v>450</v>
      </c>
    </row>
    <row r="560" spans="1:8">
      <c r="A560" s="521" t="s">
        <v>318</v>
      </c>
      <c r="B560" s="522" t="s">
        <v>880</v>
      </c>
      <c r="C560" s="423" t="s">
        <v>330</v>
      </c>
      <c r="D560" s="521" t="s">
        <v>881</v>
      </c>
      <c r="E560" s="522">
        <v>201612</v>
      </c>
      <c r="F560" s="523">
        <v>628.88</v>
      </c>
      <c r="G560" s="386" t="s">
        <v>449</v>
      </c>
      <c r="H560" s="386" t="s">
        <v>450</v>
      </c>
    </row>
    <row r="561" spans="1:8" ht="15">
      <c r="A561" s="521" t="s">
        <v>318</v>
      </c>
      <c r="B561" s="522" t="s">
        <v>993</v>
      </c>
      <c r="C561" s="424" t="s">
        <v>330</v>
      </c>
      <c r="D561" s="521" t="s">
        <v>994</v>
      </c>
      <c r="E561" s="522">
        <v>201612</v>
      </c>
      <c r="F561" s="523">
        <v>30</v>
      </c>
      <c r="G561" s="386" t="s">
        <v>449</v>
      </c>
      <c r="H561" s="386" t="s">
        <v>450</v>
      </c>
    </row>
    <row r="562" spans="1:8" ht="15">
      <c r="A562" s="521" t="s">
        <v>318</v>
      </c>
      <c r="B562" s="522" t="s">
        <v>891</v>
      </c>
      <c r="C562" s="424" t="s">
        <v>331</v>
      </c>
      <c r="D562" s="521" t="s">
        <v>892</v>
      </c>
      <c r="E562" s="522">
        <v>201612</v>
      </c>
      <c r="F562" s="523">
        <v>10.07</v>
      </c>
      <c r="G562" s="386" t="s">
        <v>449</v>
      </c>
      <c r="H562" s="386" t="s">
        <v>450</v>
      </c>
    </row>
    <row r="563" spans="1:8" ht="15">
      <c r="A563" s="521" t="s">
        <v>318</v>
      </c>
      <c r="B563" s="522" t="s">
        <v>882</v>
      </c>
      <c r="C563" s="424" t="s">
        <v>330</v>
      </c>
      <c r="D563" s="521" t="s">
        <v>995</v>
      </c>
      <c r="E563" s="522">
        <v>201612</v>
      </c>
      <c r="F563" s="523">
        <v>-32432.13</v>
      </c>
      <c r="G563" s="386" t="s">
        <v>449</v>
      </c>
      <c r="H563" s="386" t="s">
        <v>450</v>
      </c>
    </row>
    <row r="564" spans="1:8">
      <c r="A564" s="521" t="s">
        <v>318</v>
      </c>
      <c r="B564" s="522" t="s">
        <v>882</v>
      </c>
      <c r="C564" s="423" t="s">
        <v>330</v>
      </c>
      <c r="D564" s="521" t="s">
        <v>995</v>
      </c>
      <c r="E564" s="522">
        <v>201612</v>
      </c>
      <c r="F564" s="523">
        <v>30044.97</v>
      </c>
      <c r="G564" s="386" t="s">
        <v>449</v>
      </c>
      <c r="H564" s="386" t="s">
        <v>450</v>
      </c>
    </row>
    <row r="565" spans="1:8">
      <c r="A565" s="521" t="s">
        <v>318</v>
      </c>
      <c r="B565" s="522" t="s">
        <v>996</v>
      </c>
      <c r="C565" s="423" t="s">
        <v>330</v>
      </c>
      <c r="D565" s="521" t="s">
        <v>997</v>
      </c>
      <c r="E565" s="522">
        <v>201612</v>
      </c>
      <c r="F565" s="523">
        <v>1534.86</v>
      </c>
      <c r="G565" s="386" t="s">
        <v>449</v>
      </c>
      <c r="H565" s="386" t="s">
        <v>450</v>
      </c>
    </row>
    <row r="566" spans="1:8" ht="15">
      <c r="A566" s="521" t="s">
        <v>318</v>
      </c>
      <c r="B566" s="522" t="s">
        <v>854</v>
      </c>
      <c r="C566" s="424" t="s">
        <v>330</v>
      </c>
      <c r="D566" s="521" t="s">
        <v>855</v>
      </c>
      <c r="E566" s="522">
        <v>201612</v>
      </c>
      <c r="F566" s="523">
        <v>-139763.26</v>
      </c>
      <c r="G566" s="386" t="s">
        <v>449</v>
      </c>
      <c r="H566" s="386" t="s">
        <v>450</v>
      </c>
    </row>
    <row r="567" spans="1:8">
      <c r="A567" s="521" t="s">
        <v>318</v>
      </c>
      <c r="B567" s="522" t="s">
        <v>854</v>
      </c>
      <c r="C567" s="423" t="s">
        <v>330</v>
      </c>
      <c r="D567" s="521" t="s">
        <v>855</v>
      </c>
      <c r="E567" s="522">
        <v>201612</v>
      </c>
      <c r="F567" s="523">
        <v>112430.96</v>
      </c>
      <c r="G567" s="386" t="s">
        <v>449</v>
      </c>
      <c r="H567" s="386" t="s">
        <v>450</v>
      </c>
    </row>
    <row r="568" spans="1:8" ht="15">
      <c r="A568" s="521" t="s">
        <v>318</v>
      </c>
      <c r="B568" s="522" t="s">
        <v>1110</v>
      </c>
      <c r="C568" s="424" t="s">
        <v>330</v>
      </c>
      <c r="D568" s="521" t="s">
        <v>1111</v>
      </c>
      <c r="E568" s="522">
        <v>201612</v>
      </c>
      <c r="F568" s="523">
        <v>92754.53</v>
      </c>
      <c r="G568" s="386" t="s">
        <v>449</v>
      </c>
      <c r="H568" s="386" t="s">
        <v>450</v>
      </c>
    </row>
    <row r="569" spans="1:8" ht="15">
      <c r="A569" s="521" t="s">
        <v>318</v>
      </c>
      <c r="B569" s="522" t="s">
        <v>1112</v>
      </c>
      <c r="C569" s="424" t="s">
        <v>330</v>
      </c>
      <c r="D569" s="521" t="s">
        <v>1113</v>
      </c>
      <c r="E569" s="522">
        <v>201612</v>
      </c>
      <c r="F569" s="523">
        <v>27327.37</v>
      </c>
      <c r="G569" s="386" t="s">
        <v>449</v>
      </c>
      <c r="H569" s="386" t="s">
        <v>450</v>
      </c>
    </row>
    <row r="570" spans="1:8" ht="15">
      <c r="A570" s="521" t="s">
        <v>318</v>
      </c>
      <c r="B570" s="522" t="s">
        <v>1114</v>
      </c>
      <c r="C570" s="424" t="s">
        <v>330</v>
      </c>
      <c r="D570" s="521" t="s">
        <v>1115</v>
      </c>
      <c r="E570" s="522">
        <v>201612</v>
      </c>
      <c r="F570" s="523">
        <v>70833.350000000006</v>
      </c>
      <c r="G570" s="386" t="s">
        <v>449</v>
      </c>
      <c r="H570" s="386" t="s">
        <v>450</v>
      </c>
    </row>
    <row r="571" spans="1:8">
      <c r="A571" s="521" t="s">
        <v>318</v>
      </c>
      <c r="B571" s="522" t="s">
        <v>1000</v>
      </c>
      <c r="C571" s="423" t="s">
        <v>343</v>
      </c>
      <c r="D571" s="521" t="s">
        <v>1001</v>
      </c>
      <c r="E571" s="522">
        <v>201612</v>
      </c>
      <c r="F571" s="523">
        <v>-7.57</v>
      </c>
      <c r="G571" s="386" t="s">
        <v>449</v>
      </c>
      <c r="H571" s="386" t="s">
        <v>450</v>
      </c>
    </row>
    <row r="572" spans="1:8" ht="15">
      <c r="A572" s="521" t="s">
        <v>318</v>
      </c>
      <c r="B572" s="522" t="s">
        <v>1004</v>
      </c>
      <c r="C572" s="424" t="s">
        <v>330</v>
      </c>
      <c r="D572" s="521" t="s">
        <v>1005</v>
      </c>
      <c r="E572" s="522">
        <v>201612</v>
      </c>
      <c r="F572" s="523">
        <v>7.29</v>
      </c>
      <c r="G572" s="386" t="s">
        <v>449</v>
      </c>
      <c r="H572" s="386" t="s">
        <v>450</v>
      </c>
    </row>
    <row r="573" spans="1:8" ht="15">
      <c r="A573" s="521" t="s">
        <v>318</v>
      </c>
      <c r="B573" s="522" t="s">
        <v>1116</v>
      </c>
      <c r="C573" s="424" t="s">
        <v>330</v>
      </c>
      <c r="D573" s="521" t="s">
        <v>1117</v>
      </c>
      <c r="E573" s="522">
        <v>201612</v>
      </c>
      <c r="F573" s="523">
        <v>6803.56</v>
      </c>
      <c r="G573" s="386" t="s">
        <v>449</v>
      </c>
      <c r="H573" s="386" t="s">
        <v>450</v>
      </c>
    </row>
    <row r="574" spans="1:8">
      <c r="A574" s="521" t="s">
        <v>318</v>
      </c>
      <c r="B574" s="522" t="s">
        <v>1075</v>
      </c>
      <c r="C574" s="423" t="s">
        <v>331</v>
      </c>
      <c r="D574" s="521" t="s">
        <v>1076</v>
      </c>
      <c r="E574" s="522">
        <v>201612</v>
      </c>
      <c r="F574" s="523">
        <v>1910.14</v>
      </c>
      <c r="G574" s="386" t="s">
        <v>449</v>
      </c>
      <c r="H574" s="386" t="s">
        <v>450</v>
      </c>
    </row>
    <row r="575" spans="1:8" ht="15">
      <c r="A575" s="521" t="s">
        <v>318</v>
      </c>
      <c r="B575" s="522" t="s">
        <v>1049</v>
      </c>
      <c r="C575" s="424" t="s">
        <v>330</v>
      </c>
      <c r="D575" s="521" t="s">
        <v>1050</v>
      </c>
      <c r="E575" s="522">
        <v>201612</v>
      </c>
      <c r="F575" s="523">
        <v>60.77</v>
      </c>
      <c r="G575" s="386" t="s">
        <v>449</v>
      </c>
      <c r="H575" s="386" t="s">
        <v>450</v>
      </c>
    </row>
    <row r="576" spans="1:8">
      <c r="A576" s="521" t="s">
        <v>318</v>
      </c>
      <c r="B576" s="522" t="s">
        <v>1077</v>
      </c>
      <c r="C576" s="423" t="s">
        <v>330</v>
      </c>
      <c r="D576" s="521" t="s">
        <v>1078</v>
      </c>
      <c r="E576" s="522">
        <v>201612</v>
      </c>
      <c r="F576" s="523">
        <v>306.54000000000002</v>
      </c>
      <c r="G576" s="386" t="s">
        <v>449</v>
      </c>
      <c r="H576" s="386" t="s">
        <v>450</v>
      </c>
    </row>
    <row r="577" spans="1:8">
      <c r="A577" s="521" t="s">
        <v>318</v>
      </c>
      <c r="B577" s="522" t="s">
        <v>1079</v>
      </c>
      <c r="C577" s="423" t="s">
        <v>330</v>
      </c>
      <c r="D577" s="521" t="s">
        <v>1080</v>
      </c>
      <c r="E577" s="522">
        <v>201612</v>
      </c>
      <c r="F577" s="523">
        <v>1501.83</v>
      </c>
      <c r="G577" s="386" t="s">
        <v>449</v>
      </c>
      <c r="H577" s="386" t="s">
        <v>450</v>
      </c>
    </row>
    <row r="578" spans="1:8">
      <c r="A578" s="521" t="s">
        <v>318</v>
      </c>
      <c r="B578" s="522" t="s">
        <v>1118</v>
      </c>
      <c r="C578" s="423" t="s">
        <v>330</v>
      </c>
      <c r="D578" s="521" t="s">
        <v>1119</v>
      </c>
      <c r="E578" s="522">
        <v>201612</v>
      </c>
      <c r="F578" s="523">
        <v>19160.87</v>
      </c>
      <c r="G578" s="386" t="s">
        <v>449</v>
      </c>
      <c r="H578" s="386" t="s">
        <v>450</v>
      </c>
    </row>
    <row r="579" spans="1:8" ht="15">
      <c r="A579" s="521" t="s">
        <v>318</v>
      </c>
      <c r="B579" s="522" t="s">
        <v>1053</v>
      </c>
      <c r="C579" s="424" t="s">
        <v>331</v>
      </c>
      <c r="D579" s="521" t="s">
        <v>1054</v>
      </c>
      <c r="E579" s="522">
        <v>201612</v>
      </c>
      <c r="F579" s="523">
        <v>-0.15</v>
      </c>
      <c r="G579" s="386" t="s">
        <v>449</v>
      </c>
      <c r="H579" s="386" t="s">
        <v>450</v>
      </c>
    </row>
    <row r="580" spans="1:8" ht="15">
      <c r="A580" s="863" t="s">
        <v>318</v>
      </c>
      <c r="B580" s="864" t="s">
        <v>941</v>
      </c>
      <c r="C580" s="424" t="s">
        <v>330</v>
      </c>
      <c r="D580" s="863" t="s">
        <v>942</v>
      </c>
      <c r="E580" s="864">
        <v>201701</v>
      </c>
      <c r="F580" s="865">
        <v>-3.27</v>
      </c>
      <c r="G580" s="386" t="s">
        <v>449</v>
      </c>
      <c r="H580" s="386" t="s">
        <v>450</v>
      </c>
    </row>
    <row r="581" spans="1:8" ht="15">
      <c r="A581" s="863" t="s">
        <v>318</v>
      </c>
      <c r="B581" s="864" t="s">
        <v>856</v>
      </c>
      <c r="C581" s="424" t="s">
        <v>330</v>
      </c>
      <c r="D581" s="863" t="s">
        <v>857</v>
      </c>
      <c r="E581" s="864">
        <v>201701</v>
      </c>
      <c r="F581" s="865">
        <v>-395.68</v>
      </c>
      <c r="G581" s="386" t="s">
        <v>449</v>
      </c>
      <c r="H581" s="386" t="s">
        <v>450</v>
      </c>
    </row>
    <row r="582" spans="1:8" ht="15">
      <c r="A582" s="863" t="s">
        <v>318</v>
      </c>
      <c r="B582" s="864" t="s">
        <v>800</v>
      </c>
      <c r="C582" s="424" t="s">
        <v>330</v>
      </c>
      <c r="D582" s="863" t="s">
        <v>830</v>
      </c>
      <c r="E582" s="864">
        <v>201701</v>
      </c>
      <c r="F582" s="865">
        <v>-14.45</v>
      </c>
      <c r="G582" s="386" t="s">
        <v>449</v>
      </c>
      <c r="H582" s="386" t="s">
        <v>450</v>
      </c>
    </row>
    <row r="583" spans="1:8" ht="15">
      <c r="A583" s="863" t="s">
        <v>318</v>
      </c>
      <c r="B583" s="864" t="s">
        <v>629</v>
      </c>
      <c r="C583" s="424" t="s">
        <v>330</v>
      </c>
      <c r="D583" s="863" t="s">
        <v>630</v>
      </c>
      <c r="E583" s="864">
        <v>201701</v>
      </c>
      <c r="F583" s="865">
        <v>17.899999999999999</v>
      </c>
      <c r="G583" s="386" t="s">
        <v>449</v>
      </c>
      <c r="H583" s="386" t="s">
        <v>450</v>
      </c>
    </row>
    <row r="584" spans="1:8" ht="15">
      <c r="A584" s="863" t="s">
        <v>318</v>
      </c>
      <c r="B584" s="864" t="s">
        <v>838</v>
      </c>
      <c r="C584" s="424" t="s">
        <v>330</v>
      </c>
      <c r="D584" s="863" t="s">
        <v>1015</v>
      </c>
      <c r="E584" s="864">
        <v>201701</v>
      </c>
      <c r="F584" s="865">
        <v>0.04</v>
      </c>
      <c r="G584" s="386" t="s">
        <v>449</v>
      </c>
      <c r="H584" s="386" t="s">
        <v>450</v>
      </c>
    </row>
    <row r="585" spans="1:8" ht="15">
      <c r="A585" s="863" t="s">
        <v>318</v>
      </c>
      <c r="B585" s="864" t="s">
        <v>801</v>
      </c>
      <c r="C585" s="424" t="s">
        <v>330</v>
      </c>
      <c r="D585" s="863" t="s">
        <v>802</v>
      </c>
      <c r="E585" s="864">
        <v>201701</v>
      </c>
      <c r="F585" s="865">
        <v>0.28000000000000003</v>
      </c>
      <c r="G585" s="386" t="s">
        <v>449</v>
      </c>
      <c r="H585" s="386" t="s">
        <v>450</v>
      </c>
    </row>
    <row r="586" spans="1:8" ht="15">
      <c r="A586" s="863" t="s">
        <v>318</v>
      </c>
      <c r="B586" s="864" t="s">
        <v>803</v>
      </c>
      <c r="C586" s="424" t="s">
        <v>330</v>
      </c>
      <c r="D586" s="863" t="s">
        <v>804</v>
      </c>
      <c r="E586" s="864">
        <v>201701</v>
      </c>
      <c r="F586" s="865">
        <v>2.79</v>
      </c>
      <c r="G586" s="386" t="s">
        <v>449</v>
      </c>
      <c r="H586" s="386" t="s">
        <v>450</v>
      </c>
    </row>
    <row r="587" spans="1:8" ht="15">
      <c r="A587" s="863" t="s">
        <v>318</v>
      </c>
      <c r="B587" s="864" t="s">
        <v>805</v>
      </c>
      <c r="C587" s="424" t="s">
        <v>330</v>
      </c>
      <c r="D587" s="863" t="s">
        <v>806</v>
      </c>
      <c r="E587" s="864">
        <v>201701</v>
      </c>
      <c r="F587" s="865">
        <v>-0.11</v>
      </c>
      <c r="G587" s="386" t="s">
        <v>449</v>
      </c>
      <c r="H587" s="386" t="s">
        <v>450</v>
      </c>
    </row>
    <row r="588" spans="1:8" ht="15">
      <c r="A588" s="863" t="s">
        <v>318</v>
      </c>
      <c r="B588" s="864" t="s">
        <v>1033</v>
      </c>
      <c r="C588" s="424" t="s">
        <v>330</v>
      </c>
      <c r="D588" s="863" t="s">
        <v>1034</v>
      </c>
      <c r="E588" s="864">
        <v>201701</v>
      </c>
      <c r="F588" s="865">
        <v>122.93</v>
      </c>
      <c r="G588" s="386" t="s">
        <v>449</v>
      </c>
      <c r="H588" s="386" t="s">
        <v>450</v>
      </c>
    </row>
    <row r="589" spans="1:8" ht="15">
      <c r="A589" s="863" t="s">
        <v>318</v>
      </c>
      <c r="B589" s="864" t="s">
        <v>832</v>
      </c>
      <c r="C589" s="424" t="s">
        <v>330</v>
      </c>
      <c r="D589" s="863" t="s">
        <v>833</v>
      </c>
      <c r="E589" s="864">
        <v>201701</v>
      </c>
      <c r="F589" s="865">
        <v>-19757.349999999999</v>
      </c>
      <c r="G589" s="386" t="s">
        <v>449</v>
      </c>
      <c r="H589" s="386" t="s">
        <v>450</v>
      </c>
    </row>
    <row r="590" spans="1:8" ht="15">
      <c r="A590" s="863" t="s">
        <v>318</v>
      </c>
      <c r="B590" s="864" t="s">
        <v>947</v>
      </c>
      <c r="C590" s="424" t="s">
        <v>330</v>
      </c>
      <c r="D590" s="863" t="s">
        <v>948</v>
      </c>
      <c r="E590" s="864">
        <v>201701</v>
      </c>
      <c r="F590" s="865">
        <v>129263.42</v>
      </c>
      <c r="G590" s="386" t="s">
        <v>449</v>
      </c>
      <c r="H590" s="386" t="s">
        <v>450</v>
      </c>
    </row>
    <row r="591" spans="1:8" ht="15">
      <c r="A591" s="863" t="s">
        <v>318</v>
      </c>
      <c r="B591" s="864" t="s">
        <v>949</v>
      </c>
      <c r="C591" s="424" t="s">
        <v>330</v>
      </c>
      <c r="D591" s="863" t="s">
        <v>950</v>
      </c>
      <c r="E591" s="864">
        <v>201701</v>
      </c>
      <c r="F591" s="865">
        <v>9015.57</v>
      </c>
      <c r="G591" s="386" t="s">
        <v>449</v>
      </c>
      <c r="H591" s="386" t="s">
        <v>450</v>
      </c>
    </row>
    <row r="592" spans="1:8" ht="15">
      <c r="A592" s="863" t="s">
        <v>318</v>
      </c>
      <c r="B592" s="864" t="s">
        <v>951</v>
      </c>
      <c r="C592" s="424" t="s">
        <v>330</v>
      </c>
      <c r="D592" s="863" t="s">
        <v>952</v>
      </c>
      <c r="E592" s="864">
        <v>201701</v>
      </c>
      <c r="F592" s="865">
        <v>55598.76</v>
      </c>
      <c r="G592" s="386" t="s">
        <v>449</v>
      </c>
      <c r="H592" s="386" t="s">
        <v>450</v>
      </c>
    </row>
    <row r="593" spans="1:8" ht="15">
      <c r="A593" s="863" t="s">
        <v>318</v>
      </c>
      <c r="B593" s="864" t="s">
        <v>955</v>
      </c>
      <c r="C593" s="424" t="s">
        <v>330</v>
      </c>
      <c r="D593" s="863" t="s">
        <v>956</v>
      </c>
      <c r="E593" s="864">
        <v>201701</v>
      </c>
      <c r="F593" s="865">
        <v>-3271.4</v>
      </c>
      <c r="G593" s="386" t="s">
        <v>449</v>
      </c>
      <c r="H593" s="386" t="s">
        <v>450</v>
      </c>
    </row>
    <row r="594" spans="1:8" ht="15">
      <c r="A594" s="863" t="s">
        <v>318</v>
      </c>
      <c r="B594" s="864" t="s">
        <v>893</v>
      </c>
      <c r="C594" s="424" t="s">
        <v>331</v>
      </c>
      <c r="D594" s="863" t="s">
        <v>894</v>
      </c>
      <c r="E594" s="864">
        <v>201701</v>
      </c>
      <c r="F594" s="865">
        <v>11.21</v>
      </c>
      <c r="G594" s="386" t="s">
        <v>449</v>
      </c>
      <c r="H594" s="386" t="s">
        <v>450</v>
      </c>
    </row>
    <row r="595" spans="1:8" ht="15">
      <c r="A595" s="863" t="s">
        <v>318</v>
      </c>
      <c r="B595" s="864" t="s">
        <v>963</v>
      </c>
      <c r="C595" s="424" t="s">
        <v>330</v>
      </c>
      <c r="D595" s="863" t="s">
        <v>964</v>
      </c>
      <c r="E595" s="864">
        <v>201701</v>
      </c>
      <c r="F595" s="865">
        <v>19.04</v>
      </c>
      <c r="G595" s="386" t="s">
        <v>449</v>
      </c>
      <c r="H595" s="386" t="s">
        <v>450</v>
      </c>
    </row>
    <row r="596" spans="1:8" ht="15">
      <c r="A596" s="863" t="s">
        <v>318</v>
      </c>
      <c r="B596" s="864" t="s">
        <v>844</v>
      </c>
      <c r="C596" s="424" t="s">
        <v>329</v>
      </c>
      <c r="D596" s="863" t="s">
        <v>845</v>
      </c>
      <c r="E596" s="864">
        <v>201701</v>
      </c>
      <c r="F596" s="865">
        <v>1.52</v>
      </c>
      <c r="G596" s="386" t="s">
        <v>449</v>
      </c>
      <c r="H596" s="386" t="s">
        <v>450</v>
      </c>
    </row>
    <row r="597" spans="1:8" ht="15">
      <c r="A597" s="863" t="s">
        <v>318</v>
      </c>
      <c r="B597" s="864" t="s">
        <v>682</v>
      </c>
      <c r="C597" s="424" t="s">
        <v>330</v>
      </c>
      <c r="D597" s="863" t="s">
        <v>683</v>
      </c>
      <c r="E597" s="864">
        <v>201701</v>
      </c>
      <c r="F597" s="865">
        <v>3150.15</v>
      </c>
      <c r="G597" s="386" t="s">
        <v>449</v>
      </c>
      <c r="H597" s="386" t="s">
        <v>450</v>
      </c>
    </row>
    <row r="598" spans="1:8" ht="15">
      <c r="A598" s="863" t="s">
        <v>318</v>
      </c>
      <c r="B598" s="864" t="s">
        <v>1106</v>
      </c>
      <c r="C598" s="424" t="s">
        <v>330</v>
      </c>
      <c r="D598" s="863" t="s">
        <v>1107</v>
      </c>
      <c r="E598" s="864">
        <v>201701</v>
      </c>
      <c r="F598" s="865">
        <v>2036.16</v>
      </c>
      <c r="G598" s="386" t="s">
        <v>449</v>
      </c>
      <c r="H598" s="386" t="s">
        <v>450</v>
      </c>
    </row>
    <row r="599" spans="1:8" ht="15">
      <c r="A599" s="863" t="s">
        <v>318</v>
      </c>
      <c r="B599" s="864" t="s">
        <v>822</v>
      </c>
      <c r="C599" s="424" t="s">
        <v>330</v>
      </c>
      <c r="D599" s="863" t="s">
        <v>823</v>
      </c>
      <c r="E599" s="864">
        <v>201701</v>
      </c>
      <c r="F599" s="865">
        <v>0.51</v>
      </c>
      <c r="G599" s="386" t="s">
        <v>449</v>
      </c>
      <c r="H599" s="386" t="s">
        <v>450</v>
      </c>
    </row>
    <row r="600" spans="1:8" ht="15">
      <c r="A600" s="863" t="s">
        <v>318</v>
      </c>
      <c r="B600" s="864" t="s">
        <v>973</v>
      </c>
      <c r="C600" s="424" t="s">
        <v>330</v>
      </c>
      <c r="D600" s="863" t="s">
        <v>974</v>
      </c>
      <c r="E600" s="864">
        <v>201701</v>
      </c>
      <c r="F600" s="865">
        <v>101.71</v>
      </c>
      <c r="G600" s="386" t="s">
        <v>449</v>
      </c>
      <c r="H600" s="386" t="s">
        <v>450</v>
      </c>
    </row>
    <row r="601" spans="1:8" ht="15">
      <c r="A601" s="863" t="s">
        <v>318</v>
      </c>
      <c r="B601" s="864" t="s">
        <v>868</v>
      </c>
      <c r="C601" s="424" t="s">
        <v>330</v>
      </c>
      <c r="D601" s="863" t="s">
        <v>869</v>
      </c>
      <c r="E601" s="864">
        <v>201701</v>
      </c>
      <c r="F601" s="865">
        <v>-0.13</v>
      </c>
      <c r="G601" s="386" t="s">
        <v>449</v>
      </c>
      <c r="H601" s="386" t="s">
        <v>450</v>
      </c>
    </row>
    <row r="602" spans="1:8" ht="15">
      <c r="A602" s="863" t="s">
        <v>318</v>
      </c>
      <c r="B602" s="864" t="s">
        <v>1108</v>
      </c>
      <c r="C602" s="424" t="s">
        <v>330</v>
      </c>
      <c r="D602" s="863" t="s">
        <v>1109</v>
      </c>
      <c r="E602" s="864">
        <v>201701</v>
      </c>
      <c r="F602" s="865">
        <v>6327.79</v>
      </c>
      <c r="G602" s="386" t="s">
        <v>449</v>
      </c>
      <c r="H602" s="386" t="s">
        <v>450</v>
      </c>
    </row>
    <row r="603" spans="1:8" ht="15">
      <c r="A603" s="863" t="s">
        <v>318</v>
      </c>
      <c r="B603" s="864" t="s">
        <v>1069</v>
      </c>
      <c r="C603" s="424" t="s">
        <v>330</v>
      </c>
      <c r="D603" s="863" t="s">
        <v>1105</v>
      </c>
      <c r="E603" s="864">
        <v>201701</v>
      </c>
      <c r="F603" s="865">
        <v>111.56</v>
      </c>
      <c r="G603" s="386" t="s">
        <v>449</v>
      </c>
      <c r="H603" s="386" t="s">
        <v>450</v>
      </c>
    </row>
    <row r="604" spans="1:8" ht="15">
      <c r="A604" s="863" t="s">
        <v>318</v>
      </c>
      <c r="B604" s="864" t="s">
        <v>975</v>
      </c>
      <c r="C604" s="424" t="s">
        <v>330</v>
      </c>
      <c r="D604" s="863" t="s">
        <v>976</v>
      </c>
      <c r="E604" s="864">
        <v>201701</v>
      </c>
      <c r="F604" s="865">
        <v>44.87</v>
      </c>
      <c r="G604" s="386" t="s">
        <v>449</v>
      </c>
      <c r="H604" s="386" t="s">
        <v>450</v>
      </c>
    </row>
    <row r="605" spans="1:8" ht="15">
      <c r="A605" s="863" t="s">
        <v>318</v>
      </c>
      <c r="B605" s="864" t="s">
        <v>870</v>
      </c>
      <c r="C605" s="424" t="s">
        <v>330</v>
      </c>
      <c r="D605" s="863" t="s">
        <v>871</v>
      </c>
      <c r="E605" s="864">
        <v>201701</v>
      </c>
      <c r="F605" s="865">
        <v>-117.66</v>
      </c>
      <c r="G605" s="386" t="s">
        <v>449</v>
      </c>
      <c r="H605" s="386" t="s">
        <v>450</v>
      </c>
    </row>
    <row r="606" spans="1:8" ht="15">
      <c r="A606" s="863" t="s">
        <v>318</v>
      </c>
      <c r="B606" s="864" t="s">
        <v>1039</v>
      </c>
      <c r="C606" s="424" t="s">
        <v>330</v>
      </c>
      <c r="D606" s="863" t="s">
        <v>1040</v>
      </c>
      <c r="E606" s="864">
        <v>201701</v>
      </c>
      <c r="F606" s="865">
        <v>2482.06</v>
      </c>
      <c r="G606" s="386" t="s">
        <v>449</v>
      </c>
      <c r="H606" s="386" t="s">
        <v>450</v>
      </c>
    </row>
    <row r="607" spans="1:8" ht="15">
      <c r="A607" s="863" t="s">
        <v>318</v>
      </c>
      <c r="B607" s="864" t="s">
        <v>872</v>
      </c>
      <c r="C607" s="424" t="s">
        <v>330</v>
      </c>
      <c r="D607" s="863" t="s">
        <v>873</v>
      </c>
      <c r="E607" s="864">
        <v>201701</v>
      </c>
      <c r="F607" s="865">
        <v>11.73</v>
      </c>
      <c r="G607" s="386" t="s">
        <v>449</v>
      </c>
      <c r="H607" s="386" t="s">
        <v>450</v>
      </c>
    </row>
    <row r="608" spans="1:8" ht="15">
      <c r="A608" s="863" t="s">
        <v>318</v>
      </c>
      <c r="B608" s="864" t="s">
        <v>977</v>
      </c>
      <c r="C608" s="424" t="s">
        <v>330</v>
      </c>
      <c r="D608" s="863" t="s">
        <v>978</v>
      </c>
      <c r="E608" s="864">
        <v>201701</v>
      </c>
      <c r="F608" s="865">
        <v>190.99</v>
      </c>
      <c r="G608" s="386" t="s">
        <v>449</v>
      </c>
      <c r="H608" s="386" t="s">
        <v>450</v>
      </c>
    </row>
    <row r="609" spans="1:8" ht="15">
      <c r="A609" s="863" t="s">
        <v>318</v>
      </c>
      <c r="B609" s="864" t="s">
        <v>1041</v>
      </c>
      <c r="C609" s="424" t="s">
        <v>330</v>
      </c>
      <c r="D609" s="863" t="s">
        <v>1042</v>
      </c>
      <c r="E609" s="864">
        <v>201701</v>
      </c>
      <c r="F609" s="865">
        <v>-9.6999999999999993</v>
      </c>
      <c r="G609" s="386" t="s">
        <v>449</v>
      </c>
      <c r="H609" s="386" t="s">
        <v>450</v>
      </c>
    </row>
    <row r="610" spans="1:8" ht="15">
      <c r="A610" s="863" t="s">
        <v>318</v>
      </c>
      <c r="B610" s="864" t="s">
        <v>979</v>
      </c>
      <c r="C610" s="424" t="s">
        <v>330</v>
      </c>
      <c r="D610" s="863" t="s">
        <v>980</v>
      </c>
      <c r="E610" s="864">
        <v>201701</v>
      </c>
      <c r="F610" s="865">
        <v>38.75</v>
      </c>
      <c r="G610" s="386" t="s">
        <v>449</v>
      </c>
      <c r="H610" s="386" t="s">
        <v>450</v>
      </c>
    </row>
    <row r="611" spans="1:8" ht="15">
      <c r="A611" s="863" t="s">
        <v>318</v>
      </c>
      <c r="B611" s="864" t="s">
        <v>981</v>
      </c>
      <c r="C611" s="424" t="s">
        <v>330</v>
      </c>
      <c r="D611" s="863" t="s">
        <v>1014</v>
      </c>
      <c r="E611" s="864">
        <v>201701</v>
      </c>
      <c r="F611" s="865">
        <v>706.9</v>
      </c>
      <c r="G611" s="386" t="s">
        <v>449</v>
      </c>
      <c r="H611" s="386" t="s">
        <v>450</v>
      </c>
    </row>
    <row r="612" spans="1:8" ht="15">
      <c r="A612" s="863" t="s">
        <v>318</v>
      </c>
      <c r="B612" s="864" t="s">
        <v>983</v>
      </c>
      <c r="C612" s="424" t="s">
        <v>330</v>
      </c>
      <c r="D612" s="863" t="s">
        <v>984</v>
      </c>
      <c r="E612" s="864">
        <v>201701</v>
      </c>
      <c r="F612" s="865">
        <v>34.619999999999997</v>
      </c>
      <c r="G612" s="386" t="s">
        <v>449</v>
      </c>
      <c r="H612" s="386" t="s">
        <v>450</v>
      </c>
    </row>
    <row r="613" spans="1:8" ht="15">
      <c r="A613" s="863" t="s">
        <v>318</v>
      </c>
      <c r="B613" s="864" t="s">
        <v>1043</v>
      </c>
      <c r="C613" s="424" t="s">
        <v>330</v>
      </c>
      <c r="D613" s="863" t="s">
        <v>1044</v>
      </c>
      <c r="E613" s="864">
        <v>201701</v>
      </c>
      <c r="F613" s="865">
        <v>-0.8</v>
      </c>
      <c r="G613" s="386" t="s">
        <v>449</v>
      </c>
      <c r="H613" s="386" t="s">
        <v>450</v>
      </c>
    </row>
    <row r="614" spans="1:8" ht="15">
      <c r="A614" s="863" t="s">
        <v>318</v>
      </c>
      <c r="B614" s="864" t="s">
        <v>876</v>
      </c>
      <c r="C614" s="424" t="s">
        <v>330</v>
      </c>
      <c r="D614" s="863" t="s">
        <v>877</v>
      </c>
      <c r="E614" s="864">
        <v>201701</v>
      </c>
      <c r="F614" s="865">
        <v>-0.88</v>
      </c>
      <c r="G614" s="386" t="s">
        <v>449</v>
      </c>
      <c r="H614" s="386" t="s">
        <v>450</v>
      </c>
    </row>
    <row r="615" spans="1:8" ht="15">
      <c r="A615" s="863" t="s">
        <v>318</v>
      </c>
      <c r="B615" s="864" t="s">
        <v>1045</v>
      </c>
      <c r="C615" s="424" t="s">
        <v>330</v>
      </c>
      <c r="D615" s="863" t="s">
        <v>1046</v>
      </c>
      <c r="E615" s="864">
        <v>201701</v>
      </c>
      <c r="F615" s="865">
        <v>-2.31</v>
      </c>
      <c r="G615" s="386" t="s">
        <v>449</v>
      </c>
      <c r="H615" s="386" t="s">
        <v>450</v>
      </c>
    </row>
    <row r="616" spans="1:8" ht="15">
      <c r="A616" s="863" t="s">
        <v>318</v>
      </c>
      <c r="B616" s="864" t="s">
        <v>878</v>
      </c>
      <c r="C616" s="424" t="s">
        <v>330</v>
      </c>
      <c r="D616" s="863" t="s">
        <v>879</v>
      </c>
      <c r="E616" s="864">
        <v>201701</v>
      </c>
      <c r="F616" s="865">
        <v>-10311.15</v>
      </c>
      <c r="G616" s="386" t="s">
        <v>449</v>
      </c>
      <c r="H616" s="386" t="s">
        <v>450</v>
      </c>
    </row>
    <row r="617" spans="1:8" ht="15">
      <c r="A617" s="863" t="s">
        <v>318</v>
      </c>
      <c r="B617" s="864" t="s">
        <v>987</v>
      </c>
      <c r="C617" s="424" t="s">
        <v>330</v>
      </c>
      <c r="D617" s="863" t="s">
        <v>988</v>
      </c>
      <c r="E617" s="864">
        <v>201701</v>
      </c>
      <c r="F617" s="865">
        <v>-926.04</v>
      </c>
      <c r="G617" s="386" t="s">
        <v>449</v>
      </c>
      <c r="H617" s="386" t="s">
        <v>450</v>
      </c>
    </row>
    <row r="618" spans="1:8" ht="15">
      <c r="A618" s="863" t="s">
        <v>318</v>
      </c>
      <c r="B618" s="864" t="s">
        <v>989</v>
      </c>
      <c r="C618" s="424" t="s">
        <v>330</v>
      </c>
      <c r="D618" s="863" t="s">
        <v>990</v>
      </c>
      <c r="E618" s="864">
        <v>201701</v>
      </c>
      <c r="F618" s="865">
        <v>0.63</v>
      </c>
      <c r="G618" s="386" t="s">
        <v>449</v>
      </c>
      <c r="H618" s="386" t="s">
        <v>450</v>
      </c>
    </row>
    <row r="619" spans="1:8" ht="15">
      <c r="A619" s="863" t="s">
        <v>318</v>
      </c>
      <c r="B619" s="864" t="s">
        <v>880</v>
      </c>
      <c r="C619" s="424" t="s">
        <v>330</v>
      </c>
      <c r="D619" s="863" t="s">
        <v>881</v>
      </c>
      <c r="E619" s="864">
        <v>201701</v>
      </c>
      <c r="F619" s="865">
        <v>-11.58</v>
      </c>
      <c r="G619" s="386" t="s">
        <v>449</v>
      </c>
      <c r="H619" s="386" t="s">
        <v>450</v>
      </c>
    </row>
    <row r="620" spans="1:8" ht="15">
      <c r="A620" s="863" t="s">
        <v>318</v>
      </c>
      <c r="B620" s="864" t="s">
        <v>993</v>
      </c>
      <c r="C620" s="424" t="s">
        <v>330</v>
      </c>
      <c r="D620" s="863" t="s">
        <v>994</v>
      </c>
      <c r="E620" s="864">
        <v>201701</v>
      </c>
      <c r="F620" s="865">
        <v>8.32</v>
      </c>
      <c r="G620" s="386" t="s">
        <v>449</v>
      </c>
      <c r="H620" s="386" t="s">
        <v>450</v>
      </c>
    </row>
    <row r="621" spans="1:8" ht="15">
      <c r="A621" s="863" t="s">
        <v>318</v>
      </c>
      <c r="B621" s="864" t="s">
        <v>996</v>
      </c>
      <c r="C621" s="424" t="s">
        <v>330</v>
      </c>
      <c r="D621" s="863" t="s">
        <v>997</v>
      </c>
      <c r="E621" s="864">
        <v>201701</v>
      </c>
      <c r="F621" s="865">
        <v>234.41</v>
      </c>
      <c r="G621" s="386" t="s">
        <v>449</v>
      </c>
      <c r="H621" s="386" t="s">
        <v>450</v>
      </c>
    </row>
    <row r="622" spans="1:8" ht="15">
      <c r="A622" s="863" t="s">
        <v>318</v>
      </c>
      <c r="B622" s="864" t="s">
        <v>1110</v>
      </c>
      <c r="C622" s="424" t="s">
        <v>330</v>
      </c>
      <c r="D622" s="863" t="s">
        <v>1111</v>
      </c>
      <c r="E622" s="864">
        <v>201701</v>
      </c>
      <c r="F622" s="865">
        <v>923.17</v>
      </c>
      <c r="G622" s="386" t="s">
        <v>449</v>
      </c>
      <c r="H622" s="386" t="s">
        <v>450</v>
      </c>
    </row>
    <row r="623" spans="1:8" ht="15">
      <c r="A623" s="863" t="s">
        <v>318</v>
      </c>
      <c r="B623" s="864" t="s">
        <v>1112</v>
      </c>
      <c r="C623" s="424" t="s">
        <v>330</v>
      </c>
      <c r="D623" s="863" t="s">
        <v>1113</v>
      </c>
      <c r="E623" s="864">
        <v>201701</v>
      </c>
      <c r="F623" s="865">
        <v>74.77</v>
      </c>
      <c r="G623" s="386" t="s">
        <v>449</v>
      </c>
      <c r="H623" s="386" t="s">
        <v>450</v>
      </c>
    </row>
    <row r="624" spans="1:8" ht="15">
      <c r="A624" s="863" t="s">
        <v>318</v>
      </c>
      <c r="B624" s="864" t="s">
        <v>1114</v>
      </c>
      <c r="C624" s="424" t="s">
        <v>330</v>
      </c>
      <c r="D624" s="863" t="s">
        <v>1115</v>
      </c>
      <c r="E624" s="864">
        <v>201701</v>
      </c>
      <c r="F624" s="865">
        <v>39.51</v>
      </c>
      <c r="G624" s="386" t="s">
        <v>449</v>
      </c>
      <c r="H624" s="386" t="s">
        <v>450</v>
      </c>
    </row>
    <row r="625" spans="1:9" ht="15">
      <c r="A625" s="863" t="s">
        <v>318</v>
      </c>
      <c r="B625" s="864" t="s">
        <v>1000</v>
      </c>
      <c r="C625" s="424" t="s">
        <v>343</v>
      </c>
      <c r="D625" s="863" t="s">
        <v>1001</v>
      </c>
      <c r="E625" s="864">
        <v>201701</v>
      </c>
      <c r="F625" s="865">
        <v>0.04</v>
      </c>
      <c r="G625" s="386" t="s">
        <v>449</v>
      </c>
      <c r="H625" s="386" t="s">
        <v>450</v>
      </c>
    </row>
    <row r="626" spans="1:9" ht="15">
      <c r="A626" s="863" t="s">
        <v>318</v>
      </c>
      <c r="B626" s="864" t="s">
        <v>1116</v>
      </c>
      <c r="C626" s="424" t="s">
        <v>330</v>
      </c>
      <c r="D626" s="863" t="s">
        <v>1117</v>
      </c>
      <c r="E626" s="864">
        <v>201701</v>
      </c>
      <c r="F626" s="865">
        <v>369.35</v>
      </c>
      <c r="G626" s="386" t="s">
        <v>449</v>
      </c>
      <c r="H626" s="386" t="s">
        <v>450</v>
      </c>
    </row>
    <row r="627" spans="1:9" ht="15">
      <c r="A627" s="863" t="s">
        <v>318</v>
      </c>
      <c r="B627" s="864" t="s">
        <v>1075</v>
      </c>
      <c r="C627" s="424" t="s">
        <v>331</v>
      </c>
      <c r="D627" s="863" t="s">
        <v>1076</v>
      </c>
      <c r="E627" s="864">
        <v>201701</v>
      </c>
      <c r="F627" s="865">
        <v>2031.99</v>
      </c>
      <c r="G627" s="386" t="s">
        <v>449</v>
      </c>
      <c r="H627" s="386" t="s">
        <v>450</v>
      </c>
    </row>
    <row r="628" spans="1:9" ht="15">
      <c r="A628" s="863" t="s">
        <v>318</v>
      </c>
      <c r="B628" s="864" t="s">
        <v>1049</v>
      </c>
      <c r="C628" s="424" t="s">
        <v>330</v>
      </c>
      <c r="D628" s="863" t="s">
        <v>1050</v>
      </c>
      <c r="E628" s="864">
        <v>201701</v>
      </c>
      <c r="F628" s="865">
        <v>34.29</v>
      </c>
      <c r="G628" s="386" t="s">
        <v>449</v>
      </c>
      <c r="H628" s="386" t="s">
        <v>450</v>
      </c>
    </row>
    <row r="629" spans="1:9" ht="15">
      <c r="A629" s="863" t="s">
        <v>318</v>
      </c>
      <c r="B629" s="864" t="s">
        <v>1077</v>
      </c>
      <c r="C629" s="424" t="s">
        <v>330</v>
      </c>
      <c r="D629" s="863" t="s">
        <v>1078</v>
      </c>
      <c r="E629" s="864">
        <v>201701</v>
      </c>
      <c r="F629" s="865">
        <v>371.2</v>
      </c>
      <c r="G629" s="386" t="s">
        <v>449</v>
      </c>
      <c r="H629" s="386" t="s">
        <v>450</v>
      </c>
    </row>
    <row r="630" spans="1:9" ht="15">
      <c r="A630" s="863" t="s">
        <v>318</v>
      </c>
      <c r="B630" s="864" t="s">
        <v>1079</v>
      </c>
      <c r="C630" s="424" t="s">
        <v>330</v>
      </c>
      <c r="D630" s="863" t="s">
        <v>1080</v>
      </c>
      <c r="E630" s="864">
        <v>201701</v>
      </c>
      <c r="F630" s="865">
        <v>1698.84</v>
      </c>
      <c r="G630" s="386" t="s">
        <v>449</v>
      </c>
      <c r="H630" s="386" t="s">
        <v>450</v>
      </c>
    </row>
    <row r="631" spans="1:9" ht="15">
      <c r="A631" s="863" t="s">
        <v>318</v>
      </c>
      <c r="B631" s="864" t="s">
        <v>1118</v>
      </c>
      <c r="C631" s="424" t="s">
        <v>330</v>
      </c>
      <c r="D631" s="863" t="s">
        <v>1119</v>
      </c>
      <c r="E631" s="864">
        <v>201701</v>
      </c>
      <c r="F631" s="865">
        <v>3025.82</v>
      </c>
      <c r="G631" s="386" t="s">
        <v>449</v>
      </c>
      <c r="H631" s="386" t="s">
        <v>450</v>
      </c>
    </row>
    <row r="632" spans="1:9" ht="15">
      <c r="A632" s="863" t="s">
        <v>318</v>
      </c>
      <c r="B632" s="864" t="s">
        <v>1053</v>
      </c>
      <c r="C632" s="424" t="s">
        <v>331</v>
      </c>
      <c r="D632" s="863" t="s">
        <v>1054</v>
      </c>
      <c r="E632" s="864">
        <v>201701</v>
      </c>
      <c r="F632" s="865">
        <v>-0.08</v>
      </c>
      <c r="G632" s="386" t="s">
        <v>449</v>
      </c>
      <c r="H632" s="386" t="s">
        <v>450</v>
      </c>
    </row>
    <row r="633" spans="1:9" ht="15">
      <c r="A633" s="863" t="s">
        <v>318</v>
      </c>
      <c r="B633" s="864" t="s">
        <v>1142</v>
      </c>
      <c r="C633" s="424" t="s">
        <v>331</v>
      </c>
      <c r="D633" s="863" t="s">
        <v>1143</v>
      </c>
      <c r="E633" s="864">
        <v>201701</v>
      </c>
      <c r="F633" s="865">
        <v>3262.84</v>
      </c>
      <c r="G633" s="386" t="s">
        <v>449</v>
      </c>
      <c r="H633" s="386" t="s">
        <v>450</v>
      </c>
    </row>
    <row r="634" spans="1:9" ht="15">
      <c r="A634" s="863" t="s">
        <v>318</v>
      </c>
      <c r="B634" s="864" t="s">
        <v>1140</v>
      </c>
      <c r="C634" s="424" t="s">
        <v>330</v>
      </c>
      <c r="D634" s="863" t="s">
        <v>1141</v>
      </c>
      <c r="E634" s="864">
        <v>201701</v>
      </c>
      <c r="F634" s="865">
        <v>7854.51</v>
      </c>
      <c r="G634" s="386" t="s">
        <v>449</v>
      </c>
      <c r="H634" s="386" t="s">
        <v>450</v>
      </c>
    </row>
    <row r="635" spans="1:9" ht="15">
      <c r="A635" s="863"/>
      <c r="B635" s="864"/>
      <c r="C635" s="424"/>
      <c r="D635" s="863"/>
      <c r="E635" s="864"/>
      <c r="F635" s="865"/>
      <c r="G635" s="386"/>
      <c r="H635" s="386"/>
    </row>
    <row r="636" spans="1:9" ht="15">
      <c r="A636" s="521"/>
      <c r="B636" s="424"/>
      <c r="C636" s="490"/>
      <c r="D636" s="745"/>
      <c r="E636" s="522"/>
      <c r="F636" s="746"/>
      <c r="G636" s="386"/>
      <c r="H636" s="386"/>
    </row>
    <row r="637" spans="1:9">
      <c r="A637" s="492"/>
      <c r="B637" s="460"/>
      <c r="C637" s="495"/>
      <c r="D637" s="492" t="s">
        <v>103</v>
      </c>
      <c r="E637" s="460">
        <v>201701</v>
      </c>
      <c r="F637" s="493">
        <v>0</v>
      </c>
      <c r="G637" s="386" t="s">
        <v>449</v>
      </c>
      <c r="H637" s="386" t="s">
        <v>545</v>
      </c>
    </row>
    <row r="638" spans="1:9">
      <c r="A638" s="492"/>
      <c r="B638" s="460"/>
      <c r="C638" s="495"/>
      <c r="D638" s="492" t="s">
        <v>103</v>
      </c>
      <c r="E638" s="460">
        <v>201702</v>
      </c>
      <c r="F638" s="493">
        <v>1250000</v>
      </c>
      <c r="G638" s="386" t="s">
        <v>449</v>
      </c>
      <c r="H638" s="386" t="s">
        <v>545</v>
      </c>
    </row>
    <row r="639" spans="1:9">
      <c r="A639" s="113"/>
      <c r="B639" s="754"/>
      <c r="C639" s="754"/>
      <c r="D639" s="169"/>
      <c r="E639" s="164"/>
      <c r="F639" s="115"/>
      <c r="G639" s="757"/>
      <c r="H639" s="757"/>
      <c r="I639" s="758"/>
    </row>
    <row r="640" spans="1:9">
      <c r="A640" s="103"/>
      <c r="B640" s="754"/>
      <c r="C640" s="754"/>
      <c r="D640" s="754"/>
      <c r="E640" s="164"/>
      <c r="F640" s="115"/>
      <c r="G640" s="757"/>
      <c r="H640" s="757"/>
      <c r="I640" s="758"/>
    </row>
    <row r="641" spans="1:9">
      <c r="A641" s="88" t="s">
        <v>341</v>
      </c>
      <c r="B641" s="102"/>
      <c r="C641" s="102"/>
      <c r="D641" s="102"/>
      <c r="E641" s="152"/>
      <c r="F641" s="123"/>
      <c r="G641" s="757"/>
      <c r="H641" s="757"/>
      <c r="I641" s="758"/>
    </row>
    <row r="642" spans="1:9">
      <c r="A642" s="102"/>
      <c r="B642" s="102"/>
      <c r="C642" s="102"/>
      <c r="D642" s="102"/>
      <c r="E642" s="152"/>
      <c r="F642" s="123"/>
      <c r="G642" s="757"/>
      <c r="H642" s="757"/>
      <c r="I642" s="758"/>
    </row>
    <row r="643" spans="1:9">
      <c r="A643" s="81" t="s">
        <v>86</v>
      </c>
      <c r="B643" s="81" t="s">
        <v>87</v>
      </c>
      <c r="C643" s="81" t="s">
        <v>88</v>
      </c>
      <c r="D643" s="81"/>
      <c r="E643" s="146" t="s">
        <v>89</v>
      </c>
      <c r="F643" s="90" t="s">
        <v>90</v>
      </c>
      <c r="G643" s="386"/>
      <c r="H643" s="386"/>
    </row>
    <row r="644" spans="1:9">
      <c r="A644" s="86" t="s">
        <v>94</v>
      </c>
      <c r="B644" s="86" t="s">
        <v>95</v>
      </c>
      <c r="C644" s="86" t="s">
        <v>96</v>
      </c>
      <c r="D644" s="86" t="s">
        <v>97</v>
      </c>
      <c r="E644" s="148" t="s">
        <v>98</v>
      </c>
      <c r="F644" s="92" t="s">
        <v>99</v>
      </c>
      <c r="G644" s="386"/>
      <c r="H644" s="386"/>
    </row>
    <row r="645" spans="1:9">
      <c r="A645" s="521" t="s">
        <v>332</v>
      </c>
      <c r="B645" s="522" t="s">
        <v>333</v>
      </c>
      <c r="C645" s="423" t="s">
        <v>334</v>
      </c>
      <c r="D645" s="521" t="s">
        <v>335</v>
      </c>
      <c r="E645" s="522">
        <v>201611</v>
      </c>
      <c r="F645" s="523">
        <v>97763.71</v>
      </c>
      <c r="G645" s="386" t="s">
        <v>533</v>
      </c>
      <c r="H645" s="386" t="s">
        <v>534</v>
      </c>
    </row>
    <row r="646" spans="1:9" ht="15">
      <c r="A646" s="521" t="s">
        <v>332</v>
      </c>
      <c r="B646" s="522" t="s">
        <v>336</v>
      </c>
      <c r="C646" s="424" t="s">
        <v>334</v>
      </c>
      <c r="D646" s="521" t="s">
        <v>337</v>
      </c>
      <c r="E646" s="522">
        <v>201611</v>
      </c>
      <c r="F646" s="523">
        <v>4140.63</v>
      </c>
      <c r="G646" s="386" t="s">
        <v>533</v>
      </c>
      <c r="H646" s="386" t="s">
        <v>534</v>
      </c>
    </row>
    <row r="647" spans="1:9" ht="15">
      <c r="A647" s="521" t="s">
        <v>332</v>
      </c>
      <c r="B647" s="522" t="s">
        <v>333</v>
      </c>
      <c r="C647" s="424" t="s">
        <v>334</v>
      </c>
      <c r="D647" s="521" t="s">
        <v>335</v>
      </c>
      <c r="E647" s="522">
        <v>201612</v>
      </c>
      <c r="F647" s="523">
        <v>132102.07</v>
      </c>
      <c r="G647" s="386" t="s">
        <v>533</v>
      </c>
      <c r="H647" s="386" t="s">
        <v>534</v>
      </c>
    </row>
    <row r="648" spans="1:9" ht="15">
      <c r="A648" s="863" t="s">
        <v>332</v>
      </c>
      <c r="B648" s="864" t="s">
        <v>333</v>
      </c>
      <c r="C648" s="424" t="s">
        <v>334</v>
      </c>
      <c r="D648" s="863" t="s">
        <v>335</v>
      </c>
      <c r="E648" s="864">
        <v>201701</v>
      </c>
      <c r="F648" s="865">
        <v>63467.78</v>
      </c>
      <c r="G648" s="386" t="s">
        <v>533</v>
      </c>
      <c r="H648" s="386" t="s">
        <v>534</v>
      </c>
    </row>
    <row r="649" spans="1:9" ht="15">
      <c r="A649" s="863"/>
      <c r="B649" s="864"/>
      <c r="C649" s="424"/>
      <c r="D649" s="863"/>
      <c r="E649" s="864"/>
      <c r="F649" s="865"/>
      <c r="G649" s="386"/>
      <c r="H649" s="386"/>
    </row>
    <row r="650" spans="1:9">
      <c r="A650" s="481"/>
      <c r="B650" s="485"/>
      <c r="C650" s="587"/>
      <c r="D650" s="481"/>
      <c r="E650" s="485"/>
      <c r="F650" s="482"/>
      <c r="G650" s="386"/>
      <c r="H650" s="386"/>
    </row>
    <row r="651" spans="1:9">
      <c r="A651" s="492"/>
      <c r="B651" s="495"/>
      <c r="C651" s="460"/>
      <c r="D651" s="479" t="s">
        <v>341</v>
      </c>
      <c r="E651" s="460">
        <v>201701</v>
      </c>
      <c r="F651" s="493">
        <v>0</v>
      </c>
      <c r="G651" s="386" t="s">
        <v>533</v>
      </c>
      <c r="H651" s="386" t="s">
        <v>534</v>
      </c>
    </row>
    <row r="652" spans="1:9">
      <c r="A652" s="492"/>
      <c r="B652" s="495"/>
      <c r="C652" s="460"/>
      <c r="D652" s="479" t="s">
        <v>341</v>
      </c>
      <c r="E652" s="460">
        <v>201702</v>
      </c>
      <c r="F652" s="493">
        <v>150000</v>
      </c>
      <c r="G652" s="386" t="s">
        <v>533</v>
      </c>
      <c r="H652" s="386" t="s">
        <v>534</v>
      </c>
    </row>
    <row r="653" spans="1:9">
      <c r="A653" s="754"/>
      <c r="B653" s="754"/>
      <c r="C653" s="754"/>
      <c r="D653" s="754"/>
      <c r="E653" s="164"/>
      <c r="F653" s="103"/>
      <c r="G653" s="757"/>
      <c r="H653" s="757"/>
    </row>
    <row r="654" spans="1:9">
      <c r="A654" s="102"/>
      <c r="B654" s="102"/>
      <c r="C654" s="102"/>
      <c r="D654" s="102"/>
      <c r="E654" s="73"/>
      <c r="F654" s="103"/>
      <c r="G654" s="757"/>
      <c r="H654" s="757"/>
    </row>
    <row r="655" spans="1:9">
      <c r="A655" s="102"/>
      <c r="B655" s="102"/>
      <c r="C655" s="102"/>
      <c r="D655" s="102"/>
      <c r="E655" s="73"/>
      <c r="F655" s="103"/>
      <c r="G655" s="757"/>
      <c r="H655" s="757"/>
    </row>
    <row r="656" spans="1:9">
      <c r="A656" s="88" t="s">
        <v>342</v>
      </c>
      <c r="B656" s="102"/>
      <c r="C656" s="102"/>
      <c r="D656" s="102"/>
      <c r="E656" s="152"/>
      <c r="F656" s="123"/>
      <c r="G656" s="757"/>
      <c r="H656" s="757"/>
    </row>
    <row r="657" spans="1:10">
      <c r="A657" s="102"/>
      <c r="B657" s="102"/>
      <c r="C657" s="102"/>
      <c r="D657" s="102"/>
      <c r="E657" s="152"/>
      <c r="F657" s="123"/>
      <c r="G657" s="757"/>
      <c r="H657" s="757"/>
    </row>
    <row r="658" spans="1:10">
      <c r="A658" s="81" t="s">
        <v>86</v>
      </c>
      <c r="B658" s="81" t="s">
        <v>87</v>
      </c>
      <c r="C658" s="81" t="s">
        <v>88</v>
      </c>
      <c r="D658" s="81"/>
      <c r="E658" s="146" t="s">
        <v>89</v>
      </c>
      <c r="F658" s="90" t="s">
        <v>90</v>
      </c>
      <c r="G658" s="386"/>
      <c r="H658" s="386"/>
    </row>
    <row r="659" spans="1:10">
      <c r="A659" s="86" t="s">
        <v>94</v>
      </c>
      <c r="B659" s="86" t="s">
        <v>95</v>
      </c>
      <c r="C659" s="86" t="s">
        <v>96</v>
      </c>
      <c r="D659" s="86" t="s">
        <v>97</v>
      </c>
      <c r="E659" s="148" t="s">
        <v>98</v>
      </c>
      <c r="F659" s="92" t="s">
        <v>99</v>
      </c>
      <c r="G659" s="386"/>
      <c r="H659" s="386"/>
    </row>
    <row r="660" spans="1:10">
      <c r="A660" s="521" t="s">
        <v>322</v>
      </c>
      <c r="B660" s="522" t="s">
        <v>338</v>
      </c>
      <c r="C660" s="423" t="s">
        <v>339</v>
      </c>
      <c r="D660" s="521" t="s">
        <v>340</v>
      </c>
      <c r="E660" s="522">
        <v>201701</v>
      </c>
      <c r="F660" s="523">
        <v>2212.1999999999998</v>
      </c>
      <c r="G660" s="386" t="s">
        <v>533</v>
      </c>
      <c r="H660" s="386" t="s">
        <v>534</v>
      </c>
    </row>
    <row r="661" spans="1:10" ht="15">
      <c r="A661" s="521"/>
      <c r="B661" s="522"/>
      <c r="C661" s="424"/>
      <c r="D661" s="521"/>
      <c r="E661" s="522"/>
      <c r="F661" s="523"/>
      <c r="G661" s="386" t="s">
        <v>533</v>
      </c>
      <c r="H661" s="386" t="s">
        <v>534</v>
      </c>
    </row>
    <row r="662" spans="1:10" ht="15">
      <c r="A662" s="521"/>
      <c r="B662" s="424"/>
      <c r="C662" s="490"/>
      <c r="D662" s="745"/>
      <c r="E662" s="522"/>
      <c r="F662" s="746"/>
      <c r="G662" s="386"/>
      <c r="H662" s="386"/>
    </row>
    <row r="663" spans="1:10">
      <c r="A663" s="492"/>
      <c r="B663" s="495"/>
      <c r="C663" s="460"/>
      <c r="D663" s="479"/>
      <c r="E663" s="460"/>
      <c r="F663" s="493"/>
      <c r="G663" s="386"/>
      <c r="H663" s="386"/>
    </row>
    <row r="664" spans="1:10">
      <c r="A664" s="492"/>
      <c r="B664" s="495"/>
      <c r="C664" s="460"/>
      <c r="D664" s="479"/>
      <c r="E664" s="460"/>
      <c r="F664" s="493"/>
      <c r="G664" s="386"/>
      <c r="H664" s="386"/>
    </row>
    <row r="665" spans="1:10">
      <c r="A665" s="754"/>
      <c r="B665" s="754"/>
      <c r="C665" s="754"/>
      <c r="D665" s="754"/>
      <c r="E665" s="164"/>
      <c r="F665" s="129"/>
      <c r="G665" s="757"/>
      <c r="H665" s="757"/>
      <c r="I665" s="758"/>
      <c r="J665" s="758"/>
    </row>
    <row r="666" spans="1:10">
      <c r="A666" s="95" t="s">
        <v>109</v>
      </c>
      <c r="B666" s="102"/>
      <c r="C666" s="102"/>
      <c r="D666" s="102"/>
      <c r="E666" s="73"/>
      <c r="F666" s="103"/>
      <c r="G666" s="757"/>
      <c r="H666" s="757"/>
      <c r="I666" s="758"/>
      <c r="J666" s="758"/>
    </row>
    <row r="667" spans="1:10">
      <c r="A667" s="102"/>
      <c r="B667" s="102"/>
      <c r="C667" s="102"/>
      <c r="D667" s="102"/>
      <c r="E667" s="73"/>
      <c r="F667" s="103"/>
      <c r="G667" s="757"/>
      <c r="H667" s="757"/>
      <c r="I667" s="758"/>
      <c r="J667" s="758"/>
    </row>
    <row r="668" spans="1:10">
      <c r="A668" s="88" t="s">
        <v>408</v>
      </c>
      <c r="B668" s="102"/>
      <c r="C668" s="102"/>
      <c r="D668" s="102"/>
      <c r="E668" s="152"/>
      <c r="F668" s="123"/>
      <c r="G668" s="757"/>
      <c r="H668" s="757"/>
      <c r="I668" s="758"/>
      <c r="J668" s="758"/>
    </row>
    <row r="669" spans="1:10">
      <c r="A669" s="102"/>
      <c r="B669" s="102"/>
      <c r="C669" s="102"/>
      <c r="D669" s="102"/>
      <c r="E669" s="152"/>
      <c r="F669" s="123"/>
      <c r="G669" s="757"/>
      <c r="H669" s="757"/>
      <c r="I669" s="758"/>
      <c r="J669" s="758"/>
    </row>
    <row r="670" spans="1:10">
      <c r="A670" s="81" t="s">
        <v>86</v>
      </c>
      <c r="B670" s="81" t="s">
        <v>87</v>
      </c>
      <c r="C670" s="81" t="s">
        <v>88</v>
      </c>
      <c r="D670" s="81"/>
      <c r="E670" s="146" t="s">
        <v>89</v>
      </c>
      <c r="F670" s="90" t="s">
        <v>90</v>
      </c>
      <c r="G670" s="386"/>
      <c r="H670" s="386"/>
    </row>
    <row r="671" spans="1:10">
      <c r="A671" s="86" t="s">
        <v>94</v>
      </c>
      <c r="B671" s="96" t="s">
        <v>95</v>
      </c>
      <c r="C671" s="96" t="s">
        <v>96</v>
      </c>
      <c r="D671" s="96" t="s">
        <v>97</v>
      </c>
      <c r="E671" s="150" t="s">
        <v>98</v>
      </c>
      <c r="F671" s="98" t="s">
        <v>99</v>
      </c>
      <c r="G671" s="386"/>
      <c r="H671" s="386"/>
    </row>
    <row r="672" spans="1:10">
      <c r="A672" s="521" t="s">
        <v>405</v>
      </c>
      <c r="B672" s="522" t="s">
        <v>548</v>
      </c>
      <c r="C672" s="522"/>
      <c r="D672" s="521" t="s">
        <v>549</v>
      </c>
      <c r="E672" s="522">
        <v>201611</v>
      </c>
      <c r="F672" s="523">
        <v>-732.84</v>
      </c>
      <c r="G672" s="386" t="s">
        <v>449</v>
      </c>
      <c r="H672" s="386" t="s">
        <v>450</v>
      </c>
    </row>
    <row r="673" spans="1:8">
      <c r="A673" s="399" t="s">
        <v>405</v>
      </c>
      <c r="B673" s="522" t="s">
        <v>397</v>
      </c>
      <c r="C673" s="522"/>
      <c r="D673" s="399" t="s">
        <v>398</v>
      </c>
      <c r="E673" s="522">
        <v>201611</v>
      </c>
      <c r="F673" s="431">
        <v>36833.01</v>
      </c>
      <c r="G673" s="386" t="s">
        <v>449</v>
      </c>
      <c r="H673" s="386" t="s">
        <v>450</v>
      </c>
    </row>
    <row r="674" spans="1:8">
      <c r="A674" s="521" t="s">
        <v>405</v>
      </c>
      <c r="B674" s="522" t="s">
        <v>401</v>
      </c>
      <c r="C674" s="522"/>
      <c r="D674" s="399" t="s">
        <v>402</v>
      </c>
      <c r="E674" s="522">
        <v>201611</v>
      </c>
      <c r="F674" s="431">
        <v>3003.12</v>
      </c>
      <c r="G674" s="386" t="s">
        <v>449</v>
      </c>
      <c r="H674" s="386" t="s">
        <v>450</v>
      </c>
    </row>
    <row r="675" spans="1:8">
      <c r="A675" s="521" t="s">
        <v>405</v>
      </c>
      <c r="B675" s="522" t="s">
        <v>403</v>
      </c>
      <c r="C675" s="522"/>
      <c r="D675" s="521" t="s">
        <v>404</v>
      </c>
      <c r="E675" s="522">
        <v>201611</v>
      </c>
      <c r="F675" s="523">
        <v>9061.08</v>
      </c>
      <c r="G675" s="386" t="s">
        <v>449</v>
      </c>
      <c r="H675" s="386" t="s">
        <v>450</v>
      </c>
    </row>
    <row r="676" spans="1:8">
      <c r="A676" s="521" t="s">
        <v>405</v>
      </c>
      <c r="B676" s="522" t="s">
        <v>951</v>
      </c>
      <c r="C676" s="522"/>
      <c r="D676" s="521" t="s">
        <v>952</v>
      </c>
      <c r="E676" s="522">
        <v>201611</v>
      </c>
      <c r="F676" s="523">
        <v>-68.84</v>
      </c>
      <c r="G676" s="386" t="s">
        <v>449</v>
      </c>
      <c r="H676" s="386" t="s">
        <v>450</v>
      </c>
    </row>
    <row r="677" spans="1:8">
      <c r="A677" s="521" t="s">
        <v>405</v>
      </c>
      <c r="B677" s="522" t="s">
        <v>1106</v>
      </c>
      <c r="C677" s="522"/>
      <c r="D677" s="521" t="s">
        <v>1107</v>
      </c>
      <c r="E677" s="522">
        <v>201612</v>
      </c>
      <c r="F677" s="523">
        <v>11004.77</v>
      </c>
      <c r="G677" s="386" t="s">
        <v>449</v>
      </c>
      <c r="H677" s="386" t="s">
        <v>450</v>
      </c>
    </row>
    <row r="678" spans="1:8">
      <c r="A678" s="521" t="s">
        <v>405</v>
      </c>
      <c r="B678" s="522" t="s">
        <v>401</v>
      </c>
      <c r="C678" s="522"/>
      <c r="D678" s="521" t="s">
        <v>402</v>
      </c>
      <c r="E678" s="522">
        <v>201612</v>
      </c>
      <c r="F678" s="523">
        <v>1109.4000000000001</v>
      </c>
      <c r="G678" s="386" t="s">
        <v>449</v>
      </c>
      <c r="H678" s="386" t="s">
        <v>450</v>
      </c>
    </row>
    <row r="679" spans="1:8">
      <c r="A679" s="521" t="s">
        <v>405</v>
      </c>
      <c r="B679" s="522" t="s">
        <v>403</v>
      </c>
      <c r="C679" s="522"/>
      <c r="D679" s="399" t="s">
        <v>404</v>
      </c>
      <c r="E679" s="522">
        <v>201612</v>
      </c>
      <c r="F679" s="431">
        <v>7594.28</v>
      </c>
      <c r="G679" s="386" t="s">
        <v>449</v>
      </c>
      <c r="H679" s="386" t="s">
        <v>450</v>
      </c>
    </row>
    <row r="680" spans="1:8">
      <c r="A680" s="521" t="s">
        <v>405</v>
      </c>
      <c r="B680" s="522" t="s">
        <v>548</v>
      </c>
      <c r="C680" s="522"/>
      <c r="D680" s="521" t="s">
        <v>549</v>
      </c>
      <c r="E680" s="522">
        <v>201612</v>
      </c>
      <c r="F680" s="523">
        <v>601.65</v>
      </c>
      <c r="G680" s="386" t="s">
        <v>449</v>
      </c>
      <c r="H680" s="386" t="s">
        <v>450</v>
      </c>
    </row>
    <row r="681" spans="1:8">
      <c r="A681" s="521" t="s">
        <v>405</v>
      </c>
      <c r="B681" s="522" t="s">
        <v>397</v>
      </c>
      <c r="C681" s="522"/>
      <c r="D681" s="521" t="s">
        <v>398</v>
      </c>
      <c r="E681" s="522">
        <v>201612</v>
      </c>
      <c r="F681" s="523">
        <v>11043.42</v>
      </c>
      <c r="G681" s="386" t="s">
        <v>449</v>
      </c>
      <c r="H681" s="386" t="s">
        <v>450</v>
      </c>
    </row>
    <row r="682" spans="1:8">
      <c r="A682" s="521" t="s">
        <v>405</v>
      </c>
      <c r="B682" s="522" t="s">
        <v>951</v>
      </c>
      <c r="C682" s="522"/>
      <c r="D682" s="399" t="s">
        <v>952</v>
      </c>
      <c r="E682" s="522">
        <v>201612</v>
      </c>
      <c r="F682" s="431">
        <v>-28.29</v>
      </c>
      <c r="G682" s="386" t="s">
        <v>449</v>
      </c>
      <c r="H682" s="386" t="s">
        <v>450</v>
      </c>
    </row>
    <row r="683" spans="1:8">
      <c r="A683" s="863" t="s">
        <v>405</v>
      </c>
      <c r="B683" s="864" t="s">
        <v>397</v>
      </c>
      <c r="C683" s="864"/>
      <c r="D683" s="839" t="s">
        <v>398</v>
      </c>
      <c r="E683" s="864">
        <v>201701</v>
      </c>
      <c r="F683" s="431">
        <v>13663.72</v>
      </c>
      <c r="G683" s="386" t="s">
        <v>449</v>
      </c>
      <c r="H683" s="386" t="s">
        <v>450</v>
      </c>
    </row>
    <row r="684" spans="1:8">
      <c r="A684" s="863" t="s">
        <v>405</v>
      </c>
      <c r="B684" s="864" t="s">
        <v>406</v>
      </c>
      <c r="C684" s="864"/>
      <c r="D684" s="839" t="s">
        <v>407</v>
      </c>
      <c r="E684" s="864">
        <v>201701</v>
      </c>
      <c r="F684" s="431">
        <v>213.7</v>
      </c>
      <c r="G684" s="386" t="s">
        <v>449</v>
      </c>
      <c r="H684" s="386" t="s">
        <v>450</v>
      </c>
    </row>
    <row r="685" spans="1:8">
      <c r="A685" s="863" t="s">
        <v>405</v>
      </c>
      <c r="B685" s="864" t="s">
        <v>548</v>
      </c>
      <c r="C685" s="864"/>
      <c r="D685" s="839" t="s">
        <v>549</v>
      </c>
      <c r="E685" s="864">
        <v>201701</v>
      </c>
      <c r="F685" s="431">
        <v>-153.30000000000001</v>
      </c>
      <c r="G685" s="386" t="s">
        <v>449</v>
      </c>
      <c r="H685" s="386" t="s">
        <v>450</v>
      </c>
    </row>
    <row r="686" spans="1:8">
      <c r="A686" s="863" t="s">
        <v>405</v>
      </c>
      <c r="B686" s="864" t="s">
        <v>401</v>
      </c>
      <c r="C686" s="864"/>
      <c r="D686" s="839" t="s">
        <v>402</v>
      </c>
      <c r="E686" s="864">
        <v>201701</v>
      </c>
      <c r="F686" s="431">
        <v>2073.13</v>
      </c>
      <c r="G686" s="386" t="s">
        <v>449</v>
      </c>
      <c r="H686" s="386" t="s">
        <v>450</v>
      </c>
    </row>
    <row r="687" spans="1:8">
      <c r="A687" s="863" t="s">
        <v>405</v>
      </c>
      <c r="B687" s="864" t="s">
        <v>403</v>
      </c>
      <c r="C687" s="864"/>
      <c r="D687" s="839" t="s">
        <v>404</v>
      </c>
      <c r="E687" s="864">
        <v>201701</v>
      </c>
      <c r="F687" s="431">
        <v>7143.2</v>
      </c>
      <c r="G687" s="386" t="s">
        <v>449</v>
      </c>
      <c r="H687" s="386" t="s">
        <v>450</v>
      </c>
    </row>
    <row r="688" spans="1:8">
      <c r="A688" s="863" t="s">
        <v>405</v>
      </c>
      <c r="B688" s="864" t="s">
        <v>951</v>
      </c>
      <c r="C688" s="864"/>
      <c r="D688" s="839" t="s">
        <v>952</v>
      </c>
      <c r="E688" s="864">
        <v>201701</v>
      </c>
      <c r="F688" s="431">
        <v>-36133.08</v>
      </c>
      <c r="G688" s="386" t="s">
        <v>449</v>
      </c>
      <c r="H688" s="386" t="s">
        <v>450</v>
      </c>
    </row>
    <row r="689" spans="1:10">
      <c r="A689" s="863" t="s">
        <v>405</v>
      </c>
      <c r="B689" s="864" t="s">
        <v>1106</v>
      </c>
      <c r="C689" s="864"/>
      <c r="D689" s="839" t="s">
        <v>1107</v>
      </c>
      <c r="E689" s="864">
        <v>201701</v>
      </c>
      <c r="F689" s="431">
        <v>386.69</v>
      </c>
      <c r="G689" s="386" t="s">
        <v>449</v>
      </c>
      <c r="H689" s="386" t="s">
        <v>450</v>
      </c>
    </row>
    <row r="690" spans="1:10">
      <c r="A690" s="863"/>
      <c r="B690" s="864"/>
      <c r="C690" s="864"/>
      <c r="D690" s="839"/>
      <c r="E690" s="864"/>
      <c r="F690" s="431"/>
      <c r="G690" s="386"/>
      <c r="H690" s="386"/>
    </row>
    <row r="691" spans="1:10">
      <c r="A691" s="863"/>
      <c r="B691" s="864"/>
      <c r="C691" s="864"/>
      <c r="D691" s="839"/>
      <c r="E691" s="864"/>
      <c r="F691" s="431"/>
      <c r="G691" s="386"/>
      <c r="H691" s="386"/>
    </row>
    <row r="692" spans="1:10">
      <c r="A692" s="426"/>
      <c r="B692" s="579"/>
      <c r="C692" s="435"/>
      <c r="D692" s="598"/>
      <c r="E692" s="435"/>
      <c r="F692" s="427"/>
      <c r="G692" s="386"/>
      <c r="H692" s="386"/>
    </row>
    <row r="693" spans="1:10">
      <c r="A693" s="426"/>
      <c r="B693" s="579"/>
      <c r="C693" s="435"/>
      <c r="D693" s="598"/>
      <c r="E693" s="435"/>
      <c r="F693" s="427"/>
      <c r="G693" s="386"/>
      <c r="H693" s="386"/>
    </row>
    <row r="694" spans="1:10">
      <c r="A694" s="754"/>
      <c r="B694" s="754"/>
      <c r="C694" s="754"/>
      <c r="D694" s="754"/>
      <c r="E694" s="164"/>
      <c r="F694" s="129"/>
      <c r="G694" s="757"/>
      <c r="H694" s="757"/>
      <c r="I694" s="758"/>
      <c r="J694" s="758"/>
    </row>
    <row r="695" spans="1:10" ht="13.5" thickBot="1">
      <c r="A695" s="102"/>
      <c r="B695" s="102"/>
      <c r="C695" s="102"/>
      <c r="D695" s="102"/>
      <c r="E695" s="73" t="s">
        <v>107</v>
      </c>
      <c r="F695" s="130">
        <v>393452.15</v>
      </c>
      <c r="G695" s="757"/>
      <c r="H695" s="757"/>
      <c r="I695" s="758"/>
      <c r="J695" s="758"/>
    </row>
    <row r="696" spans="1:10" ht="13.5" thickTop="1">
      <c r="A696" s="102"/>
      <c r="B696" s="102"/>
      <c r="C696" s="102"/>
      <c r="D696" s="102"/>
      <c r="E696" s="152"/>
      <c r="F696" s="123"/>
      <c r="G696" s="757"/>
      <c r="H696" s="757"/>
      <c r="I696" s="758"/>
      <c r="J696" s="758"/>
    </row>
    <row r="697" spans="1:10">
      <c r="A697" s="88" t="s">
        <v>345</v>
      </c>
      <c r="B697" s="102"/>
      <c r="C697" s="102"/>
      <c r="D697" s="102"/>
      <c r="E697" s="152"/>
      <c r="F697" s="123"/>
      <c r="G697" s="757"/>
      <c r="H697" s="757"/>
      <c r="I697" s="758"/>
      <c r="J697" s="758"/>
    </row>
    <row r="698" spans="1:10">
      <c r="A698" s="102"/>
      <c r="B698" s="102"/>
      <c r="C698" s="102"/>
      <c r="D698" s="102"/>
      <c r="E698" s="152"/>
      <c r="F698" s="123"/>
      <c r="G698" s="757"/>
      <c r="H698" s="757"/>
      <c r="I698" s="758"/>
      <c r="J698" s="758"/>
    </row>
    <row r="699" spans="1:10">
      <c r="A699" s="81" t="s">
        <v>86</v>
      </c>
      <c r="B699" s="81" t="s">
        <v>87</v>
      </c>
      <c r="C699" s="81" t="s">
        <v>88</v>
      </c>
      <c r="D699" s="81"/>
      <c r="E699" s="146" t="s">
        <v>89</v>
      </c>
      <c r="F699" s="90" t="s">
        <v>90</v>
      </c>
      <c r="G699" s="386"/>
      <c r="H699" s="386"/>
    </row>
    <row r="700" spans="1:10">
      <c r="A700" s="86" t="s">
        <v>94</v>
      </c>
      <c r="B700" s="86" t="s">
        <v>95</v>
      </c>
      <c r="C700" s="86" t="s">
        <v>96</v>
      </c>
      <c r="D700" s="86" t="s">
        <v>97</v>
      </c>
      <c r="E700" s="148" t="s">
        <v>98</v>
      </c>
      <c r="F700" s="92" t="s">
        <v>99</v>
      </c>
      <c r="G700" s="386"/>
      <c r="H700" s="386"/>
    </row>
    <row r="701" spans="1:10">
      <c r="A701" s="521" t="s">
        <v>346</v>
      </c>
      <c r="B701" s="522" t="s">
        <v>880</v>
      </c>
      <c r="C701" s="522"/>
      <c r="D701" s="521" t="s">
        <v>881</v>
      </c>
      <c r="E701" s="522">
        <v>201611</v>
      </c>
      <c r="F701" s="523">
        <v>-101474.25</v>
      </c>
      <c r="G701" s="386" t="s">
        <v>449</v>
      </c>
      <c r="H701" s="386" t="s">
        <v>450</v>
      </c>
    </row>
    <row r="702" spans="1:10">
      <c r="A702" s="521" t="s">
        <v>346</v>
      </c>
      <c r="B702" s="522" t="s">
        <v>979</v>
      </c>
      <c r="C702" s="522"/>
      <c r="D702" s="521" t="s">
        <v>980</v>
      </c>
      <c r="E702" s="522">
        <v>201611</v>
      </c>
      <c r="F702" s="523">
        <v>27.42</v>
      </c>
      <c r="G702" s="386" t="s">
        <v>449</v>
      </c>
      <c r="H702" s="386" t="s">
        <v>450</v>
      </c>
    </row>
    <row r="703" spans="1:10">
      <c r="A703" s="521" t="s">
        <v>346</v>
      </c>
      <c r="B703" s="522" t="s">
        <v>973</v>
      </c>
      <c r="C703" s="522"/>
      <c r="D703" s="521" t="s">
        <v>974</v>
      </c>
      <c r="E703" s="522">
        <v>201611</v>
      </c>
      <c r="F703" s="523">
        <v>-1.88</v>
      </c>
      <c r="G703" s="386" t="s">
        <v>449</v>
      </c>
      <c r="H703" s="386" t="s">
        <v>450</v>
      </c>
    </row>
    <row r="704" spans="1:10">
      <c r="A704" s="399" t="s">
        <v>346</v>
      </c>
      <c r="B704" s="522" t="s">
        <v>1057</v>
      </c>
      <c r="C704" s="522"/>
      <c r="D704" s="399" t="s">
        <v>1058</v>
      </c>
      <c r="E704" s="522">
        <v>201611</v>
      </c>
      <c r="F704" s="431">
        <v>540.54</v>
      </c>
      <c r="G704" s="386" t="s">
        <v>449</v>
      </c>
      <c r="H704" s="386" t="s">
        <v>545</v>
      </c>
    </row>
    <row r="705" spans="1:8">
      <c r="A705" s="521" t="s">
        <v>346</v>
      </c>
      <c r="B705" s="522" t="s">
        <v>1077</v>
      </c>
      <c r="C705" s="522"/>
      <c r="D705" s="399" t="s">
        <v>1078</v>
      </c>
      <c r="E705" s="522">
        <v>201611</v>
      </c>
      <c r="F705" s="431">
        <v>-364.26</v>
      </c>
      <c r="G705" s="386" t="s">
        <v>449</v>
      </c>
      <c r="H705" s="386" t="s">
        <v>450</v>
      </c>
    </row>
    <row r="706" spans="1:8">
      <c r="A706" s="521" t="s">
        <v>346</v>
      </c>
      <c r="B706" s="522" t="s">
        <v>389</v>
      </c>
      <c r="C706" s="522"/>
      <c r="D706" s="521" t="s">
        <v>390</v>
      </c>
      <c r="E706" s="522">
        <v>201611</v>
      </c>
      <c r="F706" s="523">
        <v>1.78</v>
      </c>
      <c r="G706" s="386" t="s">
        <v>449</v>
      </c>
      <c r="H706" s="386" t="s">
        <v>450</v>
      </c>
    </row>
    <row r="707" spans="1:8">
      <c r="A707" s="521" t="s">
        <v>346</v>
      </c>
      <c r="B707" s="522" t="s">
        <v>367</v>
      </c>
      <c r="C707" s="522"/>
      <c r="D707" s="521" t="s">
        <v>368</v>
      </c>
      <c r="E707" s="522">
        <v>201611</v>
      </c>
      <c r="F707" s="523">
        <v>10836.2</v>
      </c>
      <c r="G707" s="386" t="s">
        <v>449</v>
      </c>
      <c r="H707" s="386" t="s">
        <v>450</v>
      </c>
    </row>
    <row r="708" spans="1:8">
      <c r="A708" s="399" t="s">
        <v>346</v>
      </c>
      <c r="B708" s="522" t="s">
        <v>357</v>
      </c>
      <c r="C708" s="522"/>
      <c r="D708" s="399" t="s">
        <v>358</v>
      </c>
      <c r="E708" s="522">
        <v>201611</v>
      </c>
      <c r="F708" s="431">
        <v>3519.42</v>
      </c>
      <c r="G708" s="386" t="s">
        <v>449</v>
      </c>
      <c r="H708" s="386" t="s">
        <v>450</v>
      </c>
    </row>
    <row r="709" spans="1:8">
      <c r="A709" s="521" t="s">
        <v>346</v>
      </c>
      <c r="B709" s="522" t="s">
        <v>731</v>
      </c>
      <c r="C709" s="522"/>
      <c r="D709" s="399" t="s">
        <v>732</v>
      </c>
      <c r="E709" s="522">
        <v>201611</v>
      </c>
      <c r="F709" s="431">
        <v>-25.09</v>
      </c>
      <c r="G709" s="386" t="s">
        <v>449</v>
      </c>
      <c r="H709" s="386" t="s">
        <v>450</v>
      </c>
    </row>
    <row r="710" spans="1:8">
      <c r="A710" s="521" t="s">
        <v>346</v>
      </c>
      <c r="B710" s="522" t="s">
        <v>1043</v>
      </c>
      <c r="C710" s="522"/>
      <c r="D710" s="521" t="s">
        <v>1044</v>
      </c>
      <c r="E710" s="522">
        <v>201611</v>
      </c>
      <c r="F710" s="523">
        <v>37.950000000000003</v>
      </c>
      <c r="G710" s="386" t="s">
        <v>449</v>
      </c>
      <c r="H710" s="386" t="s">
        <v>450</v>
      </c>
    </row>
    <row r="711" spans="1:8">
      <c r="A711" s="521" t="s">
        <v>346</v>
      </c>
      <c r="B711" s="522" t="s">
        <v>967</v>
      </c>
      <c r="C711" s="522"/>
      <c r="D711" s="521" t="s">
        <v>968</v>
      </c>
      <c r="E711" s="522">
        <v>201611</v>
      </c>
      <c r="F711" s="523">
        <v>52.48</v>
      </c>
      <c r="G711" s="386" t="s">
        <v>449</v>
      </c>
      <c r="H711" s="386" t="s">
        <v>450</v>
      </c>
    </row>
    <row r="712" spans="1:8">
      <c r="A712" s="399" t="s">
        <v>346</v>
      </c>
      <c r="B712" s="522" t="s">
        <v>1006</v>
      </c>
      <c r="C712" s="522"/>
      <c r="D712" s="399" t="s">
        <v>1007</v>
      </c>
      <c r="E712" s="522">
        <v>201611</v>
      </c>
      <c r="F712" s="431">
        <v>-11.64</v>
      </c>
      <c r="G712" s="386" t="s">
        <v>449</v>
      </c>
      <c r="H712" s="386" t="s">
        <v>450</v>
      </c>
    </row>
    <row r="713" spans="1:8">
      <c r="A713" s="521" t="s">
        <v>346</v>
      </c>
      <c r="B713" s="522" t="s">
        <v>862</v>
      </c>
      <c r="C713" s="522"/>
      <c r="D713" s="521" t="s">
        <v>863</v>
      </c>
      <c r="E713" s="522">
        <v>201611</v>
      </c>
      <c r="F713" s="523">
        <v>-12.13</v>
      </c>
      <c r="G713" s="386" t="s">
        <v>449</v>
      </c>
      <c r="H713" s="386" t="s">
        <v>450</v>
      </c>
    </row>
    <row r="714" spans="1:8">
      <c r="A714" s="521" t="s">
        <v>346</v>
      </c>
      <c r="B714" s="522" t="s">
        <v>379</v>
      </c>
      <c r="C714" s="522"/>
      <c r="D714" s="521" t="s">
        <v>380</v>
      </c>
      <c r="E714" s="522">
        <v>201611</v>
      </c>
      <c r="F714" s="523">
        <v>-1435.18</v>
      </c>
      <c r="G714" s="386" t="s">
        <v>449</v>
      </c>
      <c r="H714" s="386" t="s">
        <v>450</v>
      </c>
    </row>
    <row r="715" spans="1:8">
      <c r="A715" s="521" t="s">
        <v>346</v>
      </c>
      <c r="B715" s="522" t="s">
        <v>375</v>
      </c>
      <c r="C715" s="522"/>
      <c r="D715" s="399" t="s">
        <v>376</v>
      </c>
      <c r="E715" s="522">
        <v>201611</v>
      </c>
      <c r="F715" s="431">
        <v>-9439</v>
      </c>
      <c r="G715" s="386" t="s">
        <v>449</v>
      </c>
      <c r="H715" s="386" t="s">
        <v>450</v>
      </c>
    </row>
    <row r="716" spans="1:8">
      <c r="A716" s="521" t="s">
        <v>346</v>
      </c>
      <c r="B716" s="522" t="s">
        <v>359</v>
      </c>
      <c r="C716" s="522"/>
      <c r="D716" s="521" t="s">
        <v>360</v>
      </c>
      <c r="E716" s="522">
        <v>201611</v>
      </c>
      <c r="F716" s="523">
        <v>6.3</v>
      </c>
      <c r="G716" s="386" t="s">
        <v>449</v>
      </c>
      <c r="H716" s="386" t="s">
        <v>450</v>
      </c>
    </row>
    <row r="717" spans="1:8">
      <c r="A717" s="521" t="s">
        <v>346</v>
      </c>
      <c r="B717" s="522" t="s">
        <v>347</v>
      </c>
      <c r="C717" s="522"/>
      <c r="D717" s="521" t="s">
        <v>348</v>
      </c>
      <c r="E717" s="522">
        <v>201611</v>
      </c>
      <c r="F717" s="523">
        <v>678141.71</v>
      </c>
      <c r="G717" s="386" t="s">
        <v>449</v>
      </c>
      <c r="H717" s="386" t="s">
        <v>450</v>
      </c>
    </row>
    <row r="718" spans="1:8">
      <c r="A718" s="399" t="s">
        <v>346</v>
      </c>
      <c r="B718" s="522" t="s">
        <v>856</v>
      </c>
      <c r="C718" s="522"/>
      <c r="D718" s="399" t="s">
        <v>857</v>
      </c>
      <c r="E718" s="522">
        <v>201611</v>
      </c>
      <c r="F718" s="431">
        <v>-0.3</v>
      </c>
      <c r="G718" s="386" t="s">
        <v>449</v>
      </c>
      <c r="H718" s="386" t="s">
        <v>450</v>
      </c>
    </row>
    <row r="719" spans="1:8">
      <c r="A719" s="521" t="s">
        <v>346</v>
      </c>
      <c r="B719" s="522" t="s">
        <v>872</v>
      </c>
      <c r="C719" s="522"/>
      <c r="D719" s="399" t="s">
        <v>873</v>
      </c>
      <c r="E719" s="522">
        <v>201611</v>
      </c>
      <c r="F719" s="431">
        <v>-97591.05</v>
      </c>
      <c r="G719" s="386" t="s">
        <v>449</v>
      </c>
      <c r="H719" s="386" t="s">
        <v>450</v>
      </c>
    </row>
    <row r="720" spans="1:8">
      <c r="A720" s="521" t="s">
        <v>346</v>
      </c>
      <c r="B720" s="522" t="s">
        <v>1045</v>
      </c>
      <c r="C720" s="522"/>
      <c r="D720" s="521" t="s">
        <v>1046</v>
      </c>
      <c r="E720" s="522">
        <v>201611</v>
      </c>
      <c r="F720" s="523">
        <v>20.28</v>
      </c>
      <c r="G720" s="386" t="s">
        <v>449</v>
      </c>
      <c r="H720" s="386" t="s">
        <v>450</v>
      </c>
    </row>
    <row r="721" spans="1:8">
      <c r="A721" s="521" t="s">
        <v>346</v>
      </c>
      <c r="B721" s="522" t="s">
        <v>963</v>
      </c>
      <c r="C721" s="522"/>
      <c r="D721" s="521" t="s">
        <v>964</v>
      </c>
      <c r="E721" s="522">
        <v>201611</v>
      </c>
      <c r="F721" s="523">
        <v>40.82</v>
      </c>
      <c r="G721" s="386" t="s">
        <v>449</v>
      </c>
      <c r="H721" s="386" t="s">
        <v>450</v>
      </c>
    </row>
    <row r="722" spans="1:8">
      <c r="A722" s="399" t="s">
        <v>346</v>
      </c>
      <c r="B722" s="522" t="s">
        <v>991</v>
      </c>
      <c r="C722" s="522"/>
      <c r="D722" s="399" t="s">
        <v>992</v>
      </c>
      <c r="E722" s="522">
        <v>201611</v>
      </c>
      <c r="F722" s="431">
        <v>-23955.51</v>
      </c>
      <c r="G722" s="386" t="s">
        <v>449</v>
      </c>
      <c r="H722" s="386" t="s">
        <v>450</v>
      </c>
    </row>
    <row r="723" spans="1:8">
      <c r="A723" s="521" t="s">
        <v>346</v>
      </c>
      <c r="B723" s="522" t="s">
        <v>975</v>
      </c>
      <c r="C723" s="522"/>
      <c r="D723" s="399" t="s">
        <v>976</v>
      </c>
      <c r="E723" s="522">
        <v>201611</v>
      </c>
      <c r="F723" s="431">
        <v>60.01</v>
      </c>
      <c r="G723" s="386" t="s">
        <v>449</v>
      </c>
      <c r="H723" s="386" t="s">
        <v>450</v>
      </c>
    </row>
    <row r="724" spans="1:8">
      <c r="A724" s="521" t="s">
        <v>346</v>
      </c>
      <c r="B724" s="522" t="s">
        <v>1079</v>
      </c>
      <c r="C724" s="522"/>
      <c r="D724" s="521" t="s">
        <v>1080</v>
      </c>
      <c r="E724" s="522">
        <v>201611</v>
      </c>
      <c r="F724" s="523">
        <v>-2084.75</v>
      </c>
      <c r="G724" s="386" t="s">
        <v>449</v>
      </c>
      <c r="H724" s="386" t="s">
        <v>450</v>
      </c>
    </row>
    <row r="725" spans="1:8">
      <c r="A725" s="521" t="s">
        <v>346</v>
      </c>
      <c r="B725" s="522" t="s">
        <v>842</v>
      </c>
      <c r="C725" s="522"/>
      <c r="D725" s="521" t="s">
        <v>843</v>
      </c>
      <c r="E725" s="522">
        <v>201611</v>
      </c>
      <c r="F725" s="523">
        <v>0.04</v>
      </c>
      <c r="G725" s="386" t="s">
        <v>449</v>
      </c>
      <c r="H725" s="386" t="s">
        <v>450</v>
      </c>
    </row>
    <row r="726" spans="1:8">
      <c r="A726" s="399" t="s">
        <v>346</v>
      </c>
      <c r="B726" s="522" t="s">
        <v>872</v>
      </c>
      <c r="C726" s="522"/>
      <c r="D726" s="399" t="s">
        <v>873</v>
      </c>
      <c r="E726" s="522">
        <v>201611</v>
      </c>
      <c r="F726" s="431">
        <v>96070.98</v>
      </c>
      <c r="G726" s="386" t="s">
        <v>449</v>
      </c>
      <c r="H726" s="386" t="s">
        <v>450</v>
      </c>
    </row>
    <row r="727" spans="1:8">
      <c r="A727" s="521" t="s">
        <v>346</v>
      </c>
      <c r="B727" s="522" t="s">
        <v>991</v>
      </c>
      <c r="C727" s="522"/>
      <c r="D727" s="399" t="s">
        <v>992</v>
      </c>
      <c r="E727" s="522">
        <v>201611</v>
      </c>
      <c r="F727" s="431">
        <v>24271.49</v>
      </c>
      <c r="G727" s="386" t="s">
        <v>449</v>
      </c>
      <c r="H727" s="386" t="s">
        <v>450</v>
      </c>
    </row>
    <row r="728" spans="1:8">
      <c r="A728" s="521" t="s">
        <v>346</v>
      </c>
      <c r="B728" s="522" t="s">
        <v>395</v>
      </c>
      <c r="C728" s="522"/>
      <c r="D728" s="521" t="s">
        <v>396</v>
      </c>
      <c r="E728" s="522">
        <v>201611</v>
      </c>
      <c r="F728" s="523">
        <v>-43565.09</v>
      </c>
      <c r="G728" s="386" t="s">
        <v>449</v>
      </c>
      <c r="H728" s="386" t="s">
        <v>450</v>
      </c>
    </row>
    <row r="729" spans="1:8">
      <c r="A729" s="521" t="s">
        <v>346</v>
      </c>
      <c r="B729" s="522" t="s">
        <v>629</v>
      </c>
      <c r="C729" s="522"/>
      <c r="D729" s="521" t="s">
        <v>630</v>
      </c>
      <c r="E729" s="522">
        <v>201611</v>
      </c>
      <c r="F729" s="523">
        <v>1.65</v>
      </c>
      <c r="G729" s="386" t="s">
        <v>449</v>
      </c>
      <c r="H729" s="386" t="s">
        <v>450</v>
      </c>
    </row>
    <row r="730" spans="1:8">
      <c r="A730" s="521" t="s">
        <v>346</v>
      </c>
      <c r="B730" s="522" t="s">
        <v>876</v>
      </c>
      <c r="C730" s="522"/>
      <c r="D730" s="399" t="s">
        <v>877</v>
      </c>
      <c r="E730" s="522">
        <v>201611</v>
      </c>
      <c r="F730" s="431">
        <v>-66.17</v>
      </c>
      <c r="G730" s="386" t="s">
        <v>449</v>
      </c>
      <c r="H730" s="386" t="s">
        <v>450</v>
      </c>
    </row>
    <row r="731" spans="1:8">
      <c r="A731" s="521" t="s">
        <v>346</v>
      </c>
      <c r="B731" s="522" t="s">
        <v>800</v>
      </c>
      <c r="C731" s="522"/>
      <c r="D731" s="521" t="s">
        <v>830</v>
      </c>
      <c r="E731" s="522">
        <v>201611</v>
      </c>
      <c r="F731" s="523">
        <v>25.05</v>
      </c>
      <c r="G731" s="386" t="s">
        <v>449</v>
      </c>
      <c r="H731" s="386" t="s">
        <v>450</v>
      </c>
    </row>
    <row r="732" spans="1:8">
      <c r="A732" s="521" t="s">
        <v>346</v>
      </c>
      <c r="B732" s="522" t="s">
        <v>852</v>
      </c>
      <c r="C732" s="522"/>
      <c r="D732" s="521" t="s">
        <v>853</v>
      </c>
      <c r="E732" s="522">
        <v>201611</v>
      </c>
      <c r="F732" s="523">
        <v>-58524.02</v>
      </c>
      <c r="G732" s="386" t="s">
        <v>449</v>
      </c>
      <c r="H732" s="386" t="s">
        <v>450</v>
      </c>
    </row>
    <row r="733" spans="1:8">
      <c r="A733" s="521" t="s">
        <v>346</v>
      </c>
      <c r="B733" s="522" t="s">
        <v>385</v>
      </c>
      <c r="C733" s="522"/>
      <c r="D733" s="521" t="s">
        <v>386</v>
      </c>
      <c r="E733" s="522">
        <v>201611</v>
      </c>
      <c r="F733" s="523">
        <v>190255.3</v>
      </c>
      <c r="G733" s="386" t="s">
        <v>449</v>
      </c>
      <c r="H733" s="386" t="s">
        <v>450</v>
      </c>
    </row>
    <row r="734" spans="1:8">
      <c r="A734" s="399" t="s">
        <v>346</v>
      </c>
      <c r="B734" s="522" t="s">
        <v>874</v>
      </c>
      <c r="C734" s="522"/>
      <c r="D734" s="399" t="s">
        <v>875</v>
      </c>
      <c r="E734" s="522">
        <v>201611</v>
      </c>
      <c r="F734" s="431">
        <v>112796.06</v>
      </c>
      <c r="G734" s="386" t="s">
        <v>449</v>
      </c>
      <c r="H734" s="386" t="s">
        <v>450</v>
      </c>
    </row>
    <row r="735" spans="1:8">
      <c r="A735" s="521" t="s">
        <v>346</v>
      </c>
      <c r="B735" s="522" t="s">
        <v>361</v>
      </c>
      <c r="C735" s="522"/>
      <c r="D735" s="399" t="s">
        <v>362</v>
      </c>
      <c r="E735" s="522">
        <v>201611</v>
      </c>
      <c r="F735" s="431">
        <v>3325.07</v>
      </c>
      <c r="G735" s="386" t="s">
        <v>449</v>
      </c>
      <c r="H735" s="386" t="s">
        <v>450</v>
      </c>
    </row>
    <row r="736" spans="1:8">
      <c r="A736" s="521" t="s">
        <v>346</v>
      </c>
      <c r="B736" s="522" t="s">
        <v>349</v>
      </c>
      <c r="C736" s="522"/>
      <c r="D736" s="521" t="s">
        <v>350</v>
      </c>
      <c r="E736" s="522">
        <v>201611</v>
      </c>
      <c r="F736" s="523">
        <v>-325.16000000000003</v>
      </c>
      <c r="G736" s="386" t="s">
        <v>449</v>
      </c>
      <c r="H736" s="386" t="s">
        <v>450</v>
      </c>
    </row>
    <row r="737" spans="1:8">
      <c r="A737" s="521" t="s">
        <v>346</v>
      </c>
      <c r="B737" s="522" t="s">
        <v>874</v>
      </c>
      <c r="C737" s="522"/>
      <c r="D737" s="521" t="s">
        <v>875</v>
      </c>
      <c r="E737" s="522">
        <v>201611</v>
      </c>
      <c r="F737" s="523">
        <v>-113235.02</v>
      </c>
      <c r="G737" s="386" t="s">
        <v>449</v>
      </c>
      <c r="H737" s="386" t="s">
        <v>450</v>
      </c>
    </row>
    <row r="738" spans="1:8">
      <c r="A738" s="399" t="s">
        <v>346</v>
      </c>
      <c r="B738" s="522" t="s">
        <v>870</v>
      </c>
      <c r="C738" s="522"/>
      <c r="D738" s="399" t="s">
        <v>871</v>
      </c>
      <c r="E738" s="522">
        <v>201611</v>
      </c>
      <c r="F738" s="431">
        <v>-15006.66</v>
      </c>
      <c r="G738" s="386" t="s">
        <v>449</v>
      </c>
      <c r="H738" s="386" t="s">
        <v>450</v>
      </c>
    </row>
    <row r="739" spans="1:8">
      <c r="A739" s="521" t="s">
        <v>346</v>
      </c>
      <c r="B739" s="522" t="s">
        <v>981</v>
      </c>
      <c r="C739" s="522"/>
      <c r="D739" s="399" t="s">
        <v>1014</v>
      </c>
      <c r="E739" s="522">
        <v>201611</v>
      </c>
      <c r="F739" s="431">
        <v>1000.37</v>
      </c>
      <c r="G739" s="386" t="s">
        <v>449</v>
      </c>
      <c r="H739" s="386" t="s">
        <v>450</v>
      </c>
    </row>
    <row r="740" spans="1:8">
      <c r="A740" s="521" t="s">
        <v>346</v>
      </c>
      <c r="B740" s="522" t="s">
        <v>977</v>
      </c>
      <c r="C740" s="522"/>
      <c r="D740" s="521" t="s">
        <v>978</v>
      </c>
      <c r="E740" s="522">
        <v>201611</v>
      </c>
      <c r="F740" s="523">
        <v>72.63</v>
      </c>
      <c r="G740" s="386" t="s">
        <v>449</v>
      </c>
      <c r="H740" s="386" t="s">
        <v>450</v>
      </c>
    </row>
    <row r="741" spans="1:8">
      <c r="A741" s="521" t="s">
        <v>346</v>
      </c>
      <c r="B741" s="522" t="s">
        <v>1049</v>
      </c>
      <c r="C741" s="522"/>
      <c r="D741" s="521" t="s">
        <v>1050</v>
      </c>
      <c r="E741" s="522">
        <v>201611</v>
      </c>
      <c r="F741" s="523">
        <v>63.23</v>
      </c>
      <c r="G741" s="386" t="s">
        <v>449</v>
      </c>
      <c r="H741" s="386" t="s">
        <v>450</v>
      </c>
    </row>
    <row r="742" spans="1:8">
      <c r="A742" s="521" t="s">
        <v>346</v>
      </c>
      <c r="B742" s="522" t="s">
        <v>393</v>
      </c>
      <c r="C742" s="522"/>
      <c r="D742" s="521" t="s">
        <v>394</v>
      </c>
      <c r="E742" s="522">
        <v>201611</v>
      </c>
      <c r="F742" s="523">
        <v>-12280.45</v>
      </c>
      <c r="G742" s="386" t="s">
        <v>449</v>
      </c>
      <c r="H742" s="386" t="s">
        <v>450</v>
      </c>
    </row>
    <row r="743" spans="1:8">
      <c r="A743" s="521" t="s">
        <v>346</v>
      </c>
      <c r="B743" s="522" t="s">
        <v>391</v>
      </c>
      <c r="C743" s="522"/>
      <c r="D743" s="521" t="s">
        <v>392</v>
      </c>
      <c r="E743" s="522">
        <v>201611</v>
      </c>
      <c r="F743" s="523">
        <v>1100.07</v>
      </c>
      <c r="G743" s="386" t="s">
        <v>449</v>
      </c>
      <c r="H743" s="386" t="s">
        <v>450</v>
      </c>
    </row>
    <row r="744" spans="1:8">
      <c r="A744" s="399" t="s">
        <v>346</v>
      </c>
      <c r="B744" s="522" t="s">
        <v>852</v>
      </c>
      <c r="C744" s="522"/>
      <c r="D744" s="399" t="s">
        <v>853</v>
      </c>
      <c r="E744" s="522">
        <v>201611</v>
      </c>
      <c r="F744" s="431">
        <v>53675.199999999997</v>
      </c>
      <c r="G744" s="386" t="s">
        <v>449</v>
      </c>
      <c r="H744" s="386" t="s">
        <v>450</v>
      </c>
    </row>
    <row r="745" spans="1:8">
      <c r="A745" s="521" t="s">
        <v>346</v>
      </c>
      <c r="B745" s="522" t="s">
        <v>365</v>
      </c>
      <c r="C745" s="522"/>
      <c r="D745" s="399" t="s">
        <v>366</v>
      </c>
      <c r="E745" s="522">
        <v>201611</v>
      </c>
      <c r="F745" s="431">
        <v>-664.84</v>
      </c>
      <c r="G745" s="386" t="s">
        <v>449</v>
      </c>
      <c r="H745" s="386" t="s">
        <v>450</v>
      </c>
    </row>
    <row r="746" spans="1:8">
      <c r="A746" s="521" t="s">
        <v>346</v>
      </c>
      <c r="B746" s="522" t="s">
        <v>353</v>
      </c>
      <c r="C746" s="522"/>
      <c r="D746" s="521" t="s">
        <v>354</v>
      </c>
      <c r="E746" s="522">
        <v>201611</v>
      </c>
      <c r="F746" s="523">
        <v>-2477.5</v>
      </c>
      <c r="G746" s="386" t="s">
        <v>449</v>
      </c>
      <c r="H746" s="386" t="s">
        <v>450</v>
      </c>
    </row>
    <row r="747" spans="1:8">
      <c r="A747" s="521" t="s">
        <v>346</v>
      </c>
      <c r="B747" s="522" t="s">
        <v>351</v>
      </c>
      <c r="C747" s="522"/>
      <c r="D747" s="521" t="s">
        <v>352</v>
      </c>
      <c r="E747" s="522">
        <v>201611</v>
      </c>
      <c r="F747" s="523">
        <v>1227.44</v>
      </c>
      <c r="G747" s="386" t="s">
        <v>449</v>
      </c>
      <c r="H747" s="386" t="s">
        <v>450</v>
      </c>
    </row>
    <row r="748" spans="1:8">
      <c r="A748" s="399" t="s">
        <v>346</v>
      </c>
      <c r="B748" s="522" t="s">
        <v>1033</v>
      </c>
      <c r="C748" s="522"/>
      <c r="D748" s="399" t="s">
        <v>1034</v>
      </c>
      <c r="E748" s="522">
        <v>201611</v>
      </c>
      <c r="F748" s="431">
        <v>-84.21</v>
      </c>
      <c r="G748" s="386" t="s">
        <v>449</v>
      </c>
      <c r="H748" s="386" t="s">
        <v>450</v>
      </c>
    </row>
    <row r="749" spans="1:8">
      <c r="A749" s="521" t="s">
        <v>346</v>
      </c>
      <c r="B749" s="522" t="s">
        <v>987</v>
      </c>
      <c r="C749" s="522"/>
      <c r="D749" s="399" t="s">
        <v>988</v>
      </c>
      <c r="E749" s="522">
        <v>201611</v>
      </c>
      <c r="F749" s="431">
        <v>2.2200000000000002</v>
      </c>
      <c r="G749" s="386" t="s">
        <v>449</v>
      </c>
      <c r="H749" s="386" t="s">
        <v>450</v>
      </c>
    </row>
    <row r="750" spans="1:8">
      <c r="A750" s="521" t="s">
        <v>346</v>
      </c>
      <c r="B750" s="522" t="s">
        <v>955</v>
      </c>
      <c r="C750" s="522"/>
      <c r="D750" s="521" t="s">
        <v>956</v>
      </c>
      <c r="E750" s="522">
        <v>201611</v>
      </c>
      <c r="F750" s="523">
        <v>630.47</v>
      </c>
      <c r="G750" s="386" t="s">
        <v>449</v>
      </c>
      <c r="H750" s="386" t="s">
        <v>450</v>
      </c>
    </row>
    <row r="751" spans="1:8">
      <c r="A751" s="521" t="s">
        <v>346</v>
      </c>
      <c r="B751" s="522" t="s">
        <v>846</v>
      </c>
      <c r="C751" s="522"/>
      <c r="D751" s="521" t="s">
        <v>847</v>
      </c>
      <c r="E751" s="522">
        <v>201611</v>
      </c>
      <c r="F751" s="523">
        <v>-176973.57</v>
      </c>
      <c r="G751" s="386" t="s">
        <v>449</v>
      </c>
      <c r="H751" s="386" t="s">
        <v>450</v>
      </c>
    </row>
    <row r="752" spans="1:8">
      <c r="A752" s="399" t="s">
        <v>346</v>
      </c>
      <c r="B752" s="522" t="s">
        <v>887</v>
      </c>
      <c r="C752" s="522"/>
      <c r="D752" s="399" t="s">
        <v>888</v>
      </c>
      <c r="E752" s="522">
        <v>201611</v>
      </c>
      <c r="F752" s="431">
        <v>35.270000000000003</v>
      </c>
      <c r="G752" s="386" t="s">
        <v>449</v>
      </c>
      <c r="H752" s="386" t="s">
        <v>450</v>
      </c>
    </row>
    <row r="753" spans="1:8">
      <c r="A753" s="521" t="s">
        <v>346</v>
      </c>
      <c r="B753" s="522" t="s">
        <v>805</v>
      </c>
      <c r="C753" s="522"/>
      <c r="D753" s="399" t="s">
        <v>806</v>
      </c>
      <c r="E753" s="522">
        <v>201611</v>
      </c>
      <c r="F753" s="431">
        <v>-4.68</v>
      </c>
      <c r="G753" s="386" t="s">
        <v>449</v>
      </c>
      <c r="H753" s="386" t="s">
        <v>450</v>
      </c>
    </row>
    <row r="754" spans="1:8">
      <c r="A754" s="521" t="s">
        <v>346</v>
      </c>
      <c r="B754" s="522" t="s">
        <v>891</v>
      </c>
      <c r="C754" s="522"/>
      <c r="D754" s="521" t="s">
        <v>892</v>
      </c>
      <c r="E754" s="522">
        <v>201611</v>
      </c>
      <c r="F754" s="523">
        <v>7601.59</v>
      </c>
      <c r="G754" s="386" t="s">
        <v>449</v>
      </c>
      <c r="H754" s="386" t="s">
        <v>450</v>
      </c>
    </row>
    <row r="755" spans="1:8">
      <c r="A755" s="521" t="s">
        <v>346</v>
      </c>
      <c r="B755" s="522" t="s">
        <v>868</v>
      </c>
      <c r="C755" s="522"/>
      <c r="D755" s="521" t="s">
        <v>869</v>
      </c>
      <c r="E755" s="522">
        <v>201611</v>
      </c>
      <c r="F755" s="523">
        <v>275834.86</v>
      </c>
      <c r="G755" s="386" t="s">
        <v>449</v>
      </c>
      <c r="H755" s="386" t="s">
        <v>450</v>
      </c>
    </row>
    <row r="756" spans="1:8">
      <c r="A756" s="521" t="s">
        <v>346</v>
      </c>
      <c r="B756" s="522" t="s">
        <v>822</v>
      </c>
      <c r="C756" s="522"/>
      <c r="D756" s="521" t="s">
        <v>823</v>
      </c>
      <c r="E756" s="522">
        <v>201611</v>
      </c>
      <c r="F756" s="523">
        <v>0</v>
      </c>
      <c r="G756" s="386" t="s">
        <v>449</v>
      </c>
      <c r="H756" s="386" t="s">
        <v>450</v>
      </c>
    </row>
    <row r="757" spans="1:8">
      <c r="A757" s="399" t="s">
        <v>346</v>
      </c>
      <c r="B757" s="522" t="s">
        <v>868</v>
      </c>
      <c r="C757" s="522"/>
      <c r="D757" s="399" t="s">
        <v>869</v>
      </c>
      <c r="E757" s="522">
        <v>201611</v>
      </c>
      <c r="F757" s="431">
        <v>-312277.46000000002</v>
      </c>
      <c r="G757" s="386" t="s">
        <v>449</v>
      </c>
      <c r="H757" s="386" t="s">
        <v>450</v>
      </c>
    </row>
    <row r="758" spans="1:8">
      <c r="A758" s="521" t="s">
        <v>346</v>
      </c>
      <c r="B758" s="522" t="s">
        <v>889</v>
      </c>
      <c r="C758" s="522"/>
      <c r="D758" s="399" t="s">
        <v>890</v>
      </c>
      <c r="E758" s="522">
        <v>201611</v>
      </c>
      <c r="F758" s="431">
        <v>2.0099999999999998</v>
      </c>
      <c r="G758" s="386" t="s">
        <v>449</v>
      </c>
      <c r="H758" s="386" t="s">
        <v>450</v>
      </c>
    </row>
    <row r="759" spans="1:8">
      <c r="A759" s="521" t="s">
        <v>346</v>
      </c>
      <c r="B759" s="522" t="s">
        <v>1041</v>
      </c>
      <c r="C759" s="522"/>
      <c r="D759" s="521" t="s">
        <v>1042</v>
      </c>
      <c r="E759" s="522">
        <v>201611</v>
      </c>
      <c r="F759" s="523">
        <v>3987.63</v>
      </c>
      <c r="G759" s="386" t="s">
        <v>449</v>
      </c>
      <c r="H759" s="386" t="s">
        <v>450</v>
      </c>
    </row>
    <row r="760" spans="1:8">
      <c r="A760" s="521" t="s">
        <v>346</v>
      </c>
      <c r="B760" s="522" t="s">
        <v>1039</v>
      </c>
      <c r="C760" s="522"/>
      <c r="D760" s="521" t="s">
        <v>1040</v>
      </c>
      <c r="E760" s="522">
        <v>201611</v>
      </c>
      <c r="F760" s="523">
        <v>5209.9799999999996</v>
      </c>
      <c r="G760" s="386" t="s">
        <v>449</v>
      </c>
      <c r="H760" s="386" t="s">
        <v>450</v>
      </c>
    </row>
    <row r="761" spans="1:8">
      <c r="A761" s="399" t="s">
        <v>346</v>
      </c>
      <c r="B761" s="522" t="s">
        <v>996</v>
      </c>
      <c r="C761" s="522"/>
      <c r="D761" s="399" t="s">
        <v>997</v>
      </c>
      <c r="E761" s="522">
        <v>201611</v>
      </c>
      <c r="F761" s="431">
        <v>1529.42</v>
      </c>
      <c r="G761" s="386" t="s">
        <v>449</v>
      </c>
      <c r="H761" s="386" t="s">
        <v>450</v>
      </c>
    </row>
    <row r="762" spans="1:8">
      <c r="A762" s="521" t="s">
        <v>346</v>
      </c>
      <c r="B762" s="522" t="s">
        <v>1055</v>
      </c>
      <c r="C762" s="522"/>
      <c r="D762" s="399" t="s">
        <v>1056</v>
      </c>
      <c r="E762" s="522">
        <v>201611</v>
      </c>
      <c r="F762" s="431">
        <v>14.53</v>
      </c>
      <c r="G762" s="386" t="s">
        <v>449</v>
      </c>
      <c r="H762" s="386" t="s">
        <v>450</v>
      </c>
    </row>
    <row r="763" spans="1:8">
      <c r="A763" s="521" t="s">
        <v>346</v>
      </c>
      <c r="B763" s="522" t="s">
        <v>880</v>
      </c>
      <c r="C763" s="522"/>
      <c r="D763" s="521" t="s">
        <v>881</v>
      </c>
      <c r="E763" s="522">
        <v>201611</v>
      </c>
      <c r="F763" s="523">
        <v>79413.95</v>
      </c>
      <c r="G763" s="386" t="s">
        <v>449</v>
      </c>
      <c r="H763" s="386" t="s">
        <v>450</v>
      </c>
    </row>
    <row r="764" spans="1:8">
      <c r="A764" s="521" t="s">
        <v>346</v>
      </c>
      <c r="B764" s="522" t="s">
        <v>846</v>
      </c>
      <c r="C764" s="522"/>
      <c r="D764" s="521" t="s">
        <v>847</v>
      </c>
      <c r="E764" s="522">
        <v>201611</v>
      </c>
      <c r="F764" s="523">
        <v>165035.4</v>
      </c>
      <c r="G764" s="386" t="s">
        <v>449</v>
      </c>
      <c r="H764" s="386" t="s">
        <v>450</v>
      </c>
    </row>
    <row r="765" spans="1:8">
      <c r="A765" s="399" t="s">
        <v>346</v>
      </c>
      <c r="B765" s="522" t="s">
        <v>377</v>
      </c>
      <c r="C765" s="522"/>
      <c r="D765" s="399" t="s">
        <v>378</v>
      </c>
      <c r="E765" s="522">
        <v>201611</v>
      </c>
      <c r="F765" s="431">
        <v>93289.17</v>
      </c>
      <c r="G765" s="386" t="s">
        <v>449</v>
      </c>
      <c r="H765" s="386" t="s">
        <v>450</v>
      </c>
    </row>
    <row r="766" spans="1:8">
      <c r="A766" s="521" t="s">
        <v>346</v>
      </c>
      <c r="B766" s="522" t="s">
        <v>401</v>
      </c>
      <c r="C766" s="522"/>
      <c r="D766" s="399" t="s">
        <v>402</v>
      </c>
      <c r="E766" s="522">
        <v>201611</v>
      </c>
      <c r="F766" s="431">
        <v>0</v>
      </c>
      <c r="G766" s="386" t="s">
        <v>449</v>
      </c>
      <c r="H766" s="386" t="s">
        <v>450</v>
      </c>
    </row>
    <row r="767" spans="1:8">
      <c r="A767" s="521" t="s">
        <v>346</v>
      </c>
      <c r="B767" s="522" t="s">
        <v>993</v>
      </c>
      <c r="C767" s="522"/>
      <c r="D767" s="521" t="s">
        <v>994</v>
      </c>
      <c r="E767" s="522">
        <v>201611</v>
      </c>
      <c r="F767" s="523">
        <v>3027.85</v>
      </c>
      <c r="G767" s="386" t="s">
        <v>449</v>
      </c>
      <c r="H767" s="386" t="s">
        <v>450</v>
      </c>
    </row>
    <row r="768" spans="1:8">
      <c r="A768" s="521" t="s">
        <v>346</v>
      </c>
      <c r="B768" s="522" t="s">
        <v>983</v>
      </c>
      <c r="C768" s="522"/>
      <c r="D768" s="521" t="s">
        <v>984</v>
      </c>
      <c r="E768" s="522">
        <v>201611</v>
      </c>
      <c r="F768" s="523">
        <v>48.42</v>
      </c>
      <c r="G768" s="386" t="s">
        <v>449</v>
      </c>
      <c r="H768" s="386" t="s">
        <v>450</v>
      </c>
    </row>
    <row r="769" spans="1:8">
      <c r="A769" s="399" t="s">
        <v>346</v>
      </c>
      <c r="B769" s="522" t="s">
        <v>951</v>
      </c>
      <c r="C769" s="522"/>
      <c r="D769" s="399" t="s">
        <v>952</v>
      </c>
      <c r="E769" s="522">
        <v>201611</v>
      </c>
      <c r="F769" s="431">
        <v>-357.31</v>
      </c>
      <c r="G769" s="386" t="s">
        <v>449</v>
      </c>
      <c r="H769" s="386" t="s">
        <v>450</v>
      </c>
    </row>
    <row r="770" spans="1:8">
      <c r="A770" s="521" t="s">
        <v>346</v>
      </c>
      <c r="B770" s="522" t="s">
        <v>947</v>
      </c>
      <c r="C770" s="522"/>
      <c r="D770" s="399" t="s">
        <v>948</v>
      </c>
      <c r="E770" s="522">
        <v>201611</v>
      </c>
      <c r="F770" s="431">
        <v>-83.94</v>
      </c>
      <c r="G770" s="386" t="s">
        <v>449</v>
      </c>
      <c r="H770" s="386" t="s">
        <v>450</v>
      </c>
    </row>
    <row r="771" spans="1:8">
      <c r="A771" s="521" t="s">
        <v>346</v>
      </c>
      <c r="B771" s="522" t="s">
        <v>682</v>
      </c>
      <c r="C771" s="522"/>
      <c r="D771" s="521" t="s">
        <v>683</v>
      </c>
      <c r="E771" s="522">
        <v>201611</v>
      </c>
      <c r="F771" s="523">
        <v>6964.23</v>
      </c>
      <c r="G771" s="386" t="s">
        <v>449</v>
      </c>
      <c r="H771" s="386" t="s">
        <v>450</v>
      </c>
    </row>
    <row r="772" spans="1:8">
      <c r="A772" s="399" t="s">
        <v>346</v>
      </c>
      <c r="B772" s="522" t="s">
        <v>870</v>
      </c>
      <c r="C772" s="522"/>
      <c r="D772" s="399" t="s">
        <v>871</v>
      </c>
      <c r="E772" s="522">
        <v>201611</v>
      </c>
      <c r="F772" s="431">
        <v>16827.009999999998</v>
      </c>
      <c r="G772" s="386" t="s">
        <v>449</v>
      </c>
      <c r="H772" s="386" t="s">
        <v>450</v>
      </c>
    </row>
    <row r="773" spans="1:8">
      <c r="A773" s="521" t="s">
        <v>346</v>
      </c>
      <c r="B773" s="522" t="s">
        <v>387</v>
      </c>
      <c r="C773" s="522"/>
      <c r="D773" s="521" t="s">
        <v>388</v>
      </c>
      <c r="E773" s="522">
        <v>201611</v>
      </c>
      <c r="F773" s="523">
        <v>226706.24</v>
      </c>
      <c r="G773" s="386" t="s">
        <v>449</v>
      </c>
      <c r="H773" s="386" t="s">
        <v>450</v>
      </c>
    </row>
    <row r="774" spans="1:8">
      <c r="A774" s="399" t="s">
        <v>346</v>
      </c>
      <c r="B774" s="522" t="s">
        <v>371</v>
      </c>
      <c r="C774" s="522"/>
      <c r="D774" s="399" t="s">
        <v>372</v>
      </c>
      <c r="E774" s="522">
        <v>201611</v>
      </c>
      <c r="F774" s="431">
        <v>767.97</v>
      </c>
      <c r="G774" s="386" t="s">
        <v>449</v>
      </c>
      <c r="H774" s="386" t="s">
        <v>450</v>
      </c>
    </row>
    <row r="775" spans="1:8">
      <c r="A775" s="521" t="s">
        <v>346</v>
      </c>
      <c r="B775" s="522" t="s">
        <v>369</v>
      </c>
      <c r="C775" s="522"/>
      <c r="D775" s="399" t="s">
        <v>370</v>
      </c>
      <c r="E775" s="522">
        <v>201611</v>
      </c>
      <c r="F775" s="431">
        <v>-3524.91</v>
      </c>
      <c r="G775" s="386" t="s">
        <v>449</v>
      </c>
      <c r="H775" s="386" t="s">
        <v>450</v>
      </c>
    </row>
    <row r="776" spans="1:8">
      <c r="A776" s="521" t="s">
        <v>346</v>
      </c>
      <c r="B776" s="522" t="s">
        <v>355</v>
      </c>
      <c r="C776" s="522"/>
      <c r="D776" s="521" t="s">
        <v>356</v>
      </c>
      <c r="E776" s="522">
        <v>201611</v>
      </c>
      <c r="F776" s="523">
        <v>74335.39</v>
      </c>
      <c r="G776" s="386" t="s">
        <v>449</v>
      </c>
      <c r="H776" s="386" t="s">
        <v>450</v>
      </c>
    </row>
    <row r="777" spans="1:8">
      <c r="A777" s="521" t="s">
        <v>346</v>
      </c>
      <c r="B777" s="522" t="s">
        <v>878</v>
      </c>
      <c r="C777" s="522"/>
      <c r="D777" s="521" t="s">
        <v>879</v>
      </c>
      <c r="E777" s="522">
        <v>201612</v>
      </c>
      <c r="F777" s="523">
        <v>-717.19</v>
      </c>
      <c r="G777" s="386" t="s">
        <v>449</v>
      </c>
      <c r="H777" s="386" t="s">
        <v>450</v>
      </c>
    </row>
    <row r="778" spans="1:8">
      <c r="A778" s="521" t="s">
        <v>346</v>
      </c>
      <c r="B778" s="522" t="s">
        <v>1114</v>
      </c>
      <c r="C778" s="522"/>
      <c r="D778" s="521" t="s">
        <v>1115</v>
      </c>
      <c r="E778" s="522">
        <v>201612</v>
      </c>
      <c r="F778" s="523">
        <v>100041.53</v>
      </c>
      <c r="G778" s="386" t="s">
        <v>449</v>
      </c>
      <c r="H778" s="386" t="s">
        <v>450</v>
      </c>
    </row>
    <row r="779" spans="1:8">
      <c r="A779" s="399" t="s">
        <v>346</v>
      </c>
      <c r="B779" s="522" t="s">
        <v>1043</v>
      </c>
      <c r="C779" s="522"/>
      <c r="D779" s="399" t="s">
        <v>1044</v>
      </c>
      <c r="E779" s="522">
        <v>201612</v>
      </c>
      <c r="F779" s="431">
        <v>-1.02</v>
      </c>
      <c r="G779" s="386" t="s">
        <v>449</v>
      </c>
      <c r="H779" s="386" t="s">
        <v>450</v>
      </c>
    </row>
    <row r="780" spans="1:8">
      <c r="A780" s="521" t="s">
        <v>346</v>
      </c>
      <c r="B780" s="522" t="s">
        <v>1057</v>
      </c>
      <c r="C780" s="522"/>
      <c r="D780" s="399" t="s">
        <v>1058</v>
      </c>
      <c r="E780" s="522">
        <v>201612</v>
      </c>
      <c r="F780" s="431">
        <v>743.1</v>
      </c>
      <c r="G780" s="386" t="s">
        <v>449</v>
      </c>
      <c r="H780" s="386" t="s">
        <v>545</v>
      </c>
    </row>
    <row r="781" spans="1:8">
      <c r="A781" s="521" t="s">
        <v>346</v>
      </c>
      <c r="B781" s="522" t="s">
        <v>856</v>
      </c>
      <c r="C781" s="522"/>
      <c r="D781" s="521" t="s">
        <v>857</v>
      </c>
      <c r="E781" s="522">
        <v>201612</v>
      </c>
      <c r="F781" s="523">
        <v>-96997.75</v>
      </c>
      <c r="G781" s="386" t="s">
        <v>449</v>
      </c>
      <c r="H781" s="386" t="s">
        <v>450</v>
      </c>
    </row>
    <row r="782" spans="1:8">
      <c r="A782" s="521" t="s">
        <v>346</v>
      </c>
      <c r="B782" s="522" t="s">
        <v>862</v>
      </c>
      <c r="C782" s="522"/>
      <c r="D782" s="521" t="s">
        <v>863</v>
      </c>
      <c r="E782" s="522">
        <v>201612</v>
      </c>
      <c r="F782" s="523">
        <v>-256209.41</v>
      </c>
      <c r="G782" s="386" t="s">
        <v>449</v>
      </c>
      <c r="H782" s="386" t="s">
        <v>450</v>
      </c>
    </row>
    <row r="783" spans="1:8">
      <c r="A783" s="399" t="s">
        <v>346</v>
      </c>
      <c r="B783" s="522" t="s">
        <v>880</v>
      </c>
      <c r="C783" s="522"/>
      <c r="D783" s="399" t="s">
        <v>881</v>
      </c>
      <c r="E783" s="522">
        <v>201612</v>
      </c>
      <c r="F783" s="431">
        <v>740.14</v>
      </c>
      <c r="G783" s="386" t="s">
        <v>449</v>
      </c>
      <c r="H783" s="386" t="s">
        <v>450</v>
      </c>
    </row>
    <row r="784" spans="1:8">
      <c r="A784" s="521" t="s">
        <v>346</v>
      </c>
      <c r="B784" s="522" t="s">
        <v>872</v>
      </c>
      <c r="C784" s="522"/>
      <c r="D784" s="399" t="s">
        <v>873</v>
      </c>
      <c r="E784" s="522">
        <v>201612</v>
      </c>
      <c r="F784" s="431">
        <v>-54.3</v>
      </c>
      <c r="G784" s="386" t="s">
        <v>449</v>
      </c>
      <c r="H784" s="386" t="s">
        <v>450</v>
      </c>
    </row>
    <row r="785" spans="1:8">
      <c r="A785" s="521" t="s">
        <v>346</v>
      </c>
      <c r="B785" s="522" t="s">
        <v>834</v>
      </c>
      <c r="C785" s="522"/>
      <c r="D785" s="521" t="s">
        <v>835</v>
      </c>
      <c r="E785" s="522">
        <v>201612</v>
      </c>
      <c r="F785" s="523">
        <v>271653.49</v>
      </c>
      <c r="G785" s="386" t="s">
        <v>449</v>
      </c>
      <c r="H785" s="386" t="s">
        <v>450</v>
      </c>
    </row>
    <row r="786" spans="1:8">
      <c r="A786" s="521" t="s">
        <v>346</v>
      </c>
      <c r="B786" s="522" t="s">
        <v>379</v>
      </c>
      <c r="C786" s="522"/>
      <c r="D786" s="521" t="s">
        <v>380</v>
      </c>
      <c r="E786" s="522">
        <v>201612</v>
      </c>
      <c r="F786" s="523">
        <v>1025.3699999999999</v>
      </c>
      <c r="G786" s="386" t="s">
        <v>449</v>
      </c>
      <c r="H786" s="386" t="s">
        <v>450</v>
      </c>
    </row>
    <row r="787" spans="1:8">
      <c r="A787" s="399" t="s">
        <v>346</v>
      </c>
      <c r="B787" s="522" t="s">
        <v>365</v>
      </c>
      <c r="C787" s="522"/>
      <c r="D787" s="399" t="s">
        <v>366</v>
      </c>
      <c r="E787" s="522">
        <v>201612</v>
      </c>
      <c r="F787" s="431">
        <v>-531.98</v>
      </c>
      <c r="G787" s="386" t="s">
        <v>449</v>
      </c>
      <c r="H787" s="386" t="s">
        <v>450</v>
      </c>
    </row>
    <row r="788" spans="1:8">
      <c r="A788" s="521" t="s">
        <v>346</v>
      </c>
      <c r="B788" s="522" t="s">
        <v>822</v>
      </c>
      <c r="C788" s="522"/>
      <c r="D788" s="399" t="s">
        <v>823</v>
      </c>
      <c r="E788" s="522">
        <v>201612</v>
      </c>
      <c r="F788" s="431">
        <v>-27.23</v>
      </c>
      <c r="G788" s="386" t="s">
        <v>449</v>
      </c>
      <c r="H788" s="386" t="s">
        <v>450</v>
      </c>
    </row>
    <row r="789" spans="1:8">
      <c r="A789" s="521" t="s">
        <v>346</v>
      </c>
      <c r="B789" s="522" t="s">
        <v>361</v>
      </c>
      <c r="C789" s="522"/>
      <c r="D789" s="521" t="s">
        <v>362</v>
      </c>
      <c r="E789" s="522">
        <v>201612</v>
      </c>
      <c r="F789" s="523">
        <v>849.77</v>
      </c>
      <c r="G789" s="386" t="s">
        <v>449</v>
      </c>
      <c r="H789" s="386" t="s">
        <v>450</v>
      </c>
    </row>
    <row r="790" spans="1:8">
      <c r="A790" s="521" t="s">
        <v>346</v>
      </c>
      <c r="B790" s="522" t="s">
        <v>347</v>
      </c>
      <c r="C790" s="522"/>
      <c r="D790" s="521" t="s">
        <v>348</v>
      </c>
      <c r="E790" s="522">
        <v>201612</v>
      </c>
      <c r="F790" s="523">
        <v>855867.63</v>
      </c>
      <c r="G790" s="386" t="s">
        <v>449</v>
      </c>
      <c r="H790" s="386" t="s">
        <v>450</v>
      </c>
    </row>
    <row r="791" spans="1:8">
      <c r="A791" s="399" t="s">
        <v>346</v>
      </c>
      <c r="B791" s="522" t="s">
        <v>731</v>
      </c>
      <c r="C791" s="522"/>
      <c r="D791" s="399" t="s">
        <v>732</v>
      </c>
      <c r="E791" s="522">
        <v>201612</v>
      </c>
      <c r="F791" s="431">
        <v>932.75</v>
      </c>
      <c r="G791" s="386" t="s">
        <v>449</v>
      </c>
      <c r="H791" s="386" t="s">
        <v>450</v>
      </c>
    </row>
    <row r="792" spans="1:8">
      <c r="A792" s="521" t="s">
        <v>346</v>
      </c>
      <c r="B792" s="522" t="s">
        <v>1116</v>
      </c>
      <c r="C792" s="522"/>
      <c r="D792" s="399" t="s">
        <v>1117</v>
      </c>
      <c r="E792" s="522">
        <v>201612</v>
      </c>
      <c r="F792" s="431">
        <v>10122.799999999999</v>
      </c>
      <c r="G792" s="386" t="s">
        <v>449</v>
      </c>
      <c r="H792" s="386" t="s">
        <v>450</v>
      </c>
    </row>
    <row r="793" spans="1:8">
      <c r="A793" s="521" t="s">
        <v>346</v>
      </c>
      <c r="B793" s="522" t="s">
        <v>1039</v>
      </c>
      <c r="C793" s="522"/>
      <c r="D793" s="521" t="s">
        <v>1040</v>
      </c>
      <c r="E793" s="522">
        <v>201612</v>
      </c>
      <c r="F793" s="523">
        <v>1439.87</v>
      </c>
      <c r="G793" s="386" t="s">
        <v>449</v>
      </c>
      <c r="H793" s="386" t="s">
        <v>450</v>
      </c>
    </row>
    <row r="794" spans="1:8">
      <c r="A794" s="521" t="s">
        <v>346</v>
      </c>
      <c r="B794" s="522" t="s">
        <v>993</v>
      </c>
      <c r="C794" s="522"/>
      <c r="D794" s="521" t="s">
        <v>994</v>
      </c>
      <c r="E794" s="522">
        <v>201612</v>
      </c>
      <c r="F794" s="523">
        <v>136.18</v>
      </c>
      <c r="G794" s="386" t="s">
        <v>449</v>
      </c>
      <c r="H794" s="386" t="s">
        <v>450</v>
      </c>
    </row>
    <row r="795" spans="1:8">
      <c r="A795" s="399" t="s">
        <v>346</v>
      </c>
      <c r="B795" s="522" t="s">
        <v>953</v>
      </c>
      <c r="C795" s="522"/>
      <c r="D795" s="399" t="s">
        <v>954</v>
      </c>
      <c r="E795" s="522">
        <v>201612</v>
      </c>
      <c r="F795" s="431">
        <v>-126629.14</v>
      </c>
      <c r="G795" s="386" t="s">
        <v>449</v>
      </c>
      <c r="H795" s="386" t="s">
        <v>450</v>
      </c>
    </row>
    <row r="796" spans="1:8">
      <c r="A796" s="521" t="s">
        <v>346</v>
      </c>
      <c r="B796" s="522" t="s">
        <v>1055</v>
      </c>
      <c r="C796" s="522"/>
      <c r="D796" s="399" t="s">
        <v>1056</v>
      </c>
      <c r="E796" s="522">
        <v>201612</v>
      </c>
      <c r="F796" s="431">
        <v>-1.21</v>
      </c>
      <c r="G796" s="386" t="s">
        <v>449</v>
      </c>
      <c r="H796" s="386" t="s">
        <v>450</v>
      </c>
    </row>
    <row r="797" spans="1:8">
      <c r="A797" s="521" t="s">
        <v>346</v>
      </c>
      <c r="B797" s="522" t="s">
        <v>862</v>
      </c>
      <c r="C797" s="522"/>
      <c r="D797" s="521" t="s">
        <v>863</v>
      </c>
      <c r="E797" s="522">
        <v>201612</v>
      </c>
      <c r="F797" s="523">
        <v>209466.97</v>
      </c>
      <c r="G797" s="386" t="s">
        <v>449</v>
      </c>
      <c r="H797" s="386" t="s">
        <v>450</v>
      </c>
    </row>
    <row r="798" spans="1:8">
      <c r="A798" s="521" t="s">
        <v>346</v>
      </c>
      <c r="B798" s="522" t="s">
        <v>391</v>
      </c>
      <c r="C798" s="522"/>
      <c r="D798" s="521" t="s">
        <v>392</v>
      </c>
      <c r="E798" s="522">
        <v>201612</v>
      </c>
      <c r="F798" s="523">
        <v>141.19999999999999</v>
      </c>
      <c r="G798" s="386" t="s">
        <v>449</v>
      </c>
      <c r="H798" s="386" t="s">
        <v>450</v>
      </c>
    </row>
    <row r="799" spans="1:8">
      <c r="A799" s="399" t="s">
        <v>346</v>
      </c>
      <c r="B799" s="522" t="s">
        <v>377</v>
      </c>
      <c r="C799" s="522"/>
      <c r="D799" s="399" t="s">
        <v>378</v>
      </c>
      <c r="E799" s="522">
        <v>201612</v>
      </c>
      <c r="F799" s="431">
        <v>91879.39</v>
      </c>
      <c r="G799" s="386" t="s">
        <v>449</v>
      </c>
      <c r="H799" s="386" t="s">
        <v>450</v>
      </c>
    </row>
    <row r="800" spans="1:8">
      <c r="A800" s="521" t="s">
        <v>346</v>
      </c>
      <c r="B800" s="522" t="s">
        <v>371</v>
      </c>
      <c r="C800" s="522"/>
      <c r="D800" s="399" t="s">
        <v>372</v>
      </c>
      <c r="E800" s="522">
        <v>201612</v>
      </c>
      <c r="F800" s="431">
        <v>25.94</v>
      </c>
      <c r="G800" s="386" t="s">
        <v>449</v>
      </c>
      <c r="H800" s="386" t="s">
        <v>450</v>
      </c>
    </row>
    <row r="801" spans="1:8">
      <c r="A801" s="521" t="s">
        <v>346</v>
      </c>
      <c r="B801" s="522" t="s">
        <v>1045</v>
      </c>
      <c r="C801" s="522"/>
      <c r="D801" s="521" t="s">
        <v>1046</v>
      </c>
      <c r="E801" s="522">
        <v>201612</v>
      </c>
      <c r="F801" s="523">
        <v>-89.07</v>
      </c>
      <c r="G801" s="386" t="s">
        <v>449</v>
      </c>
      <c r="H801" s="386" t="s">
        <v>450</v>
      </c>
    </row>
    <row r="802" spans="1:8">
      <c r="A802" s="521" t="s">
        <v>346</v>
      </c>
      <c r="B802" s="522" t="s">
        <v>996</v>
      </c>
      <c r="C802" s="522"/>
      <c r="D802" s="521" t="s">
        <v>997</v>
      </c>
      <c r="E802" s="522">
        <v>201612</v>
      </c>
      <c r="F802" s="523">
        <v>2164.46</v>
      </c>
      <c r="G802" s="386" t="s">
        <v>449</v>
      </c>
      <c r="H802" s="386" t="s">
        <v>450</v>
      </c>
    </row>
    <row r="803" spans="1:8">
      <c r="A803" s="521" t="s">
        <v>346</v>
      </c>
      <c r="B803" s="522" t="s">
        <v>985</v>
      </c>
      <c r="C803" s="522"/>
      <c r="D803" s="521" t="s">
        <v>986</v>
      </c>
      <c r="E803" s="522">
        <v>201612</v>
      </c>
      <c r="F803" s="523">
        <v>2033.7</v>
      </c>
      <c r="G803" s="386" t="s">
        <v>449</v>
      </c>
      <c r="H803" s="386" t="s">
        <v>450</v>
      </c>
    </row>
    <row r="804" spans="1:8">
      <c r="A804" s="399" t="s">
        <v>346</v>
      </c>
      <c r="B804" s="522" t="s">
        <v>979</v>
      </c>
      <c r="C804" s="522"/>
      <c r="D804" s="399" t="s">
        <v>980</v>
      </c>
      <c r="E804" s="522">
        <v>201612</v>
      </c>
      <c r="F804" s="431">
        <v>2758.35</v>
      </c>
      <c r="G804" s="386" t="s">
        <v>449</v>
      </c>
      <c r="H804" s="386" t="s">
        <v>450</v>
      </c>
    </row>
    <row r="805" spans="1:8">
      <c r="A805" s="521" t="s">
        <v>346</v>
      </c>
      <c r="B805" s="522" t="s">
        <v>951</v>
      </c>
      <c r="C805" s="522"/>
      <c r="D805" s="399" t="s">
        <v>952</v>
      </c>
      <c r="E805" s="522">
        <v>201612</v>
      </c>
      <c r="F805" s="431">
        <v>-146.88</v>
      </c>
      <c r="G805" s="386" t="s">
        <v>449</v>
      </c>
      <c r="H805" s="386" t="s">
        <v>450</v>
      </c>
    </row>
    <row r="806" spans="1:8">
      <c r="A806" s="521" t="s">
        <v>346</v>
      </c>
      <c r="B806" s="522" t="s">
        <v>805</v>
      </c>
      <c r="C806" s="522"/>
      <c r="D806" s="521" t="s">
        <v>806</v>
      </c>
      <c r="E806" s="522">
        <v>201612</v>
      </c>
      <c r="F806" s="523">
        <v>1.34</v>
      </c>
      <c r="G806" s="386" t="s">
        <v>449</v>
      </c>
      <c r="H806" s="386" t="s">
        <v>450</v>
      </c>
    </row>
    <row r="807" spans="1:8">
      <c r="A807" s="521" t="s">
        <v>346</v>
      </c>
      <c r="B807" s="522" t="s">
        <v>803</v>
      </c>
      <c r="C807" s="522"/>
      <c r="D807" s="399" t="s">
        <v>804</v>
      </c>
      <c r="E807" s="522">
        <v>201612</v>
      </c>
      <c r="F807" s="431">
        <v>-75.89</v>
      </c>
      <c r="G807" s="386" t="s">
        <v>449</v>
      </c>
      <c r="H807" s="386" t="s">
        <v>450</v>
      </c>
    </row>
    <row r="808" spans="1:8">
      <c r="A808" s="521" t="s">
        <v>346</v>
      </c>
      <c r="B808" s="522" t="s">
        <v>385</v>
      </c>
      <c r="C808" s="522"/>
      <c r="D808" s="521" t="s">
        <v>386</v>
      </c>
      <c r="E808" s="522">
        <v>201612</v>
      </c>
      <c r="F808" s="523">
        <v>215340.92</v>
      </c>
      <c r="G808" s="386" t="s">
        <v>449</v>
      </c>
      <c r="H808" s="386" t="s">
        <v>450</v>
      </c>
    </row>
    <row r="809" spans="1:8">
      <c r="A809" s="521" t="s">
        <v>346</v>
      </c>
      <c r="B809" s="522" t="s">
        <v>349</v>
      </c>
      <c r="C809" s="522"/>
      <c r="D809" s="521" t="s">
        <v>350</v>
      </c>
      <c r="E809" s="522">
        <v>201612</v>
      </c>
      <c r="F809" s="523">
        <v>5569.28</v>
      </c>
      <c r="G809" s="386" t="s">
        <v>449</v>
      </c>
      <c r="H809" s="386" t="s">
        <v>450</v>
      </c>
    </row>
    <row r="810" spans="1:8">
      <c r="A810" s="521" t="s">
        <v>346</v>
      </c>
      <c r="B810" s="522" t="s">
        <v>854</v>
      </c>
      <c r="C810" s="522"/>
      <c r="D810" s="521" t="s">
        <v>855</v>
      </c>
      <c r="E810" s="522">
        <v>201612</v>
      </c>
      <c r="F810" s="523">
        <v>169857.13</v>
      </c>
      <c r="G810" s="386" t="s">
        <v>449</v>
      </c>
      <c r="H810" s="386" t="s">
        <v>450</v>
      </c>
    </row>
    <row r="811" spans="1:8">
      <c r="A811" s="399" t="s">
        <v>346</v>
      </c>
      <c r="B811" s="522" t="s">
        <v>899</v>
      </c>
      <c r="C811" s="522"/>
      <c r="D811" s="399" t="s">
        <v>900</v>
      </c>
      <c r="E811" s="522">
        <v>201612</v>
      </c>
      <c r="F811" s="431">
        <v>2125.7399999999998</v>
      </c>
      <c r="G811" s="386" t="s">
        <v>449</v>
      </c>
      <c r="H811" s="386" t="s">
        <v>450</v>
      </c>
    </row>
    <row r="812" spans="1:8">
      <c r="A812" s="521" t="s">
        <v>346</v>
      </c>
      <c r="B812" s="522" t="s">
        <v>856</v>
      </c>
      <c r="C812" s="522"/>
      <c r="D812" s="521" t="s">
        <v>857</v>
      </c>
      <c r="E812" s="522">
        <v>201612</v>
      </c>
      <c r="F812" s="523">
        <v>0.3</v>
      </c>
      <c r="G812" s="386" t="s">
        <v>449</v>
      </c>
      <c r="H812" s="386" t="s">
        <v>450</v>
      </c>
    </row>
    <row r="813" spans="1:8">
      <c r="A813" s="521" t="s">
        <v>346</v>
      </c>
      <c r="B813" s="522" t="s">
        <v>1118</v>
      </c>
      <c r="C813" s="522"/>
      <c r="D813" s="521" t="s">
        <v>1119</v>
      </c>
      <c r="E813" s="522">
        <v>201612</v>
      </c>
      <c r="F813" s="523">
        <v>28110.13</v>
      </c>
      <c r="G813" s="386" t="s">
        <v>449</v>
      </c>
      <c r="H813" s="386" t="s">
        <v>450</v>
      </c>
    </row>
    <row r="814" spans="1:8">
      <c r="A814" s="521" t="s">
        <v>346</v>
      </c>
      <c r="B814" s="522" t="s">
        <v>1110</v>
      </c>
      <c r="C814" s="522"/>
      <c r="D814" s="521" t="s">
        <v>1111</v>
      </c>
      <c r="E814" s="522">
        <v>201612</v>
      </c>
      <c r="F814" s="523">
        <v>137988.35</v>
      </c>
      <c r="G814" s="386" t="s">
        <v>449</v>
      </c>
      <c r="H814" s="386" t="s">
        <v>450</v>
      </c>
    </row>
    <row r="815" spans="1:8">
      <c r="A815" s="521" t="s">
        <v>346</v>
      </c>
      <c r="B815" s="522" t="s">
        <v>967</v>
      </c>
      <c r="C815" s="522"/>
      <c r="D815" s="521" t="s">
        <v>968</v>
      </c>
      <c r="E815" s="522">
        <v>201612</v>
      </c>
      <c r="F815" s="523">
        <v>141.36000000000001</v>
      </c>
      <c r="G815" s="386" t="s">
        <v>449</v>
      </c>
      <c r="H815" s="386" t="s">
        <v>450</v>
      </c>
    </row>
    <row r="816" spans="1:8">
      <c r="A816" s="521" t="s">
        <v>346</v>
      </c>
      <c r="B816" s="522" t="s">
        <v>983</v>
      </c>
      <c r="C816" s="522"/>
      <c r="D816" s="521" t="s">
        <v>984</v>
      </c>
      <c r="E816" s="522">
        <v>201612</v>
      </c>
      <c r="F816" s="523">
        <v>110.14</v>
      </c>
      <c r="G816" s="386" t="s">
        <v>449</v>
      </c>
      <c r="H816" s="386" t="s">
        <v>450</v>
      </c>
    </row>
    <row r="817" spans="1:8">
      <c r="A817" s="521" t="s">
        <v>346</v>
      </c>
      <c r="B817" s="522" t="s">
        <v>981</v>
      </c>
      <c r="C817" s="522"/>
      <c r="D817" s="521" t="s">
        <v>1014</v>
      </c>
      <c r="E817" s="522">
        <v>201612</v>
      </c>
      <c r="F817" s="523">
        <v>548.98</v>
      </c>
      <c r="G817" s="386" t="s">
        <v>449</v>
      </c>
      <c r="H817" s="386" t="s">
        <v>450</v>
      </c>
    </row>
    <row r="818" spans="1:8">
      <c r="A818" s="399" t="s">
        <v>346</v>
      </c>
      <c r="B818" s="522" t="s">
        <v>977</v>
      </c>
      <c r="C818" s="522"/>
      <c r="D818" s="399" t="s">
        <v>978</v>
      </c>
      <c r="E818" s="522">
        <v>201612</v>
      </c>
      <c r="F818" s="431">
        <v>7.43</v>
      </c>
      <c r="G818" s="386" t="s">
        <v>449</v>
      </c>
      <c r="H818" s="386" t="s">
        <v>450</v>
      </c>
    </row>
    <row r="819" spans="1:8">
      <c r="A819" s="521" t="s">
        <v>346</v>
      </c>
      <c r="B819" s="522" t="s">
        <v>1004</v>
      </c>
      <c r="C819" s="522"/>
      <c r="D819" s="399" t="s">
        <v>1005</v>
      </c>
      <c r="E819" s="522">
        <v>201612</v>
      </c>
      <c r="F819" s="431">
        <v>-733.77</v>
      </c>
      <c r="G819" s="386" t="s">
        <v>449</v>
      </c>
      <c r="H819" s="386" t="s">
        <v>450</v>
      </c>
    </row>
    <row r="820" spans="1:8">
      <c r="A820" s="521" t="s">
        <v>346</v>
      </c>
      <c r="B820" s="522" t="s">
        <v>1079</v>
      </c>
      <c r="C820" s="522"/>
      <c r="D820" s="521" t="s">
        <v>1080</v>
      </c>
      <c r="E820" s="522">
        <v>201612</v>
      </c>
      <c r="F820" s="523">
        <v>2234.33</v>
      </c>
      <c r="G820" s="386" t="s">
        <v>449</v>
      </c>
      <c r="H820" s="386" t="s">
        <v>450</v>
      </c>
    </row>
    <row r="821" spans="1:8">
      <c r="A821" s="521" t="s">
        <v>346</v>
      </c>
      <c r="B821" s="522" t="s">
        <v>1077</v>
      </c>
      <c r="C821" s="522"/>
      <c r="D821" s="521" t="s">
        <v>1078</v>
      </c>
      <c r="E821" s="522">
        <v>201612</v>
      </c>
      <c r="F821" s="523">
        <v>456.09</v>
      </c>
      <c r="G821" s="386" t="s">
        <v>449</v>
      </c>
      <c r="H821" s="386" t="s">
        <v>450</v>
      </c>
    </row>
    <row r="822" spans="1:8">
      <c r="A822" s="521" t="s">
        <v>346</v>
      </c>
      <c r="B822" s="522" t="s">
        <v>800</v>
      </c>
      <c r="C822" s="522"/>
      <c r="D822" s="521" t="s">
        <v>830</v>
      </c>
      <c r="E822" s="522">
        <v>201612</v>
      </c>
      <c r="F822" s="523">
        <v>-3775.97</v>
      </c>
      <c r="G822" s="386" t="s">
        <v>449</v>
      </c>
      <c r="H822" s="386" t="s">
        <v>450</v>
      </c>
    </row>
    <row r="823" spans="1:8">
      <c r="A823" s="521" t="s">
        <v>346</v>
      </c>
      <c r="B823" s="522" t="s">
        <v>874</v>
      </c>
      <c r="C823" s="522"/>
      <c r="D823" s="521" t="s">
        <v>875</v>
      </c>
      <c r="E823" s="522">
        <v>201612</v>
      </c>
      <c r="F823" s="523">
        <v>106.87</v>
      </c>
      <c r="G823" s="386" t="s">
        <v>449</v>
      </c>
      <c r="H823" s="386" t="s">
        <v>450</v>
      </c>
    </row>
    <row r="824" spans="1:8">
      <c r="A824" s="521" t="s">
        <v>346</v>
      </c>
      <c r="B824" s="522" t="s">
        <v>800</v>
      </c>
      <c r="C824" s="522"/>
      <c r="D824" s="521" t="s">
        <v>830</v>
      </c>
      <c r="E824" s="522">
        <v>201612</v>
      </c>
      <c r="F824" s="523">
        <v>10212.290000000001</v>
      </c>
      <c r="G824" s="386" t="s">
        <v>449</v>
      </c>
      <c r="H824" s="386" t="s">
        <v>450</v>
      </c>
    </row>
    <row r="825" spans="1:8">
      <c r="A825" s="521" t="s">
        <v>346</v>
      </c>
      <c r="B825" s="522" t="s">
        <v>393</v>
      </c>
      <c r="C825" s="522"/>
      <c r="D825" s="399" t="s">
        <v>394</v>
      </c>
      <c r="E825" s="522">
        <v>201612</v>
      </c>
      <c r="F825" s="431">
        <v>-9944.59</v>
      </c>
      <c r="G825" s="386" t="s">
        <v>449</v>
      </c>
      <c r="H825" s="386" t="s">
        <v>450</v>
      </c>
    </row>
    <row r="826" spans="1:8">
      <c r="A826" s="521" t="s">
        <v>346</v>
      </c>
      <c r="B826" s="522" t="s">
        <v>383</v>
      </c>
      <c r="C826" s="522"/>
      <c r="D826" s="521" t="s">
        <v>384</v>
      </c>
      <c r="E826" s="522">
        <v>201612</v>
      </c>
      <c r="F826" s="523">
        <v>-600</v>
      </c>
      <c r="G826" s="386" t="s">
        <v>449</v>
      </c>
      <c r="H826" s="386" t="s">
        <v>450</v>
      </c>
    </row>
    <row r="827" spans="1:8">
      <c r="A827" s="521" t="s">
        <v>346</v>
      </c>
      <c r="B827" s="522" t="s">
        <v>375</v>
      </c>
      <c r="C827" s="522"/>
      <c r="D827" s="399" t="s">
        <v>376</v>
      </c>
      <c r="E827" s="522">
        <v>201612</v>
      </c>
      <c r="F827" s="431">
        <v>-9195.1299999999992</v>
      </c>
      <c r="G827" s="386" t="s">
        <v>449</v>
      </c>
      <c r="H827" s="386" t="s">
        <v>450</v>
      </c>
    </row>
    <row r="828" spans="1:8">
      <c r="A828" s="521" t="s">
        <v>346</v>
      </c>
      <c r="B828" s="522" t="s">
        <v>367</v>
      </c>
      <c r="C828" s="522"/>
      <c r="D828" s="521" t="s">
        <v>368</v>
      </c>
      <c r="E828" s="522">
        <v>201612</v>
      </c>
      <c r="F828" s="523">
        <v>4530.68</v>
      </c>
      <c r="G828" s="386" t="s">
        <v>449</v>
      </c>
      <c r="H828" s="386" t="s">
        <v>450</v>
      </c>
    </row>
    <row r="829" spans="1:8">
      <c r="A829" s="521" t="s">
        <v>346</v>
      </c>
      <c r="B829" s="522" t="s">
        <v>801</v>
      </c>
      <c r="C829" s="522"/>
      <c r="D829" s="399" t="s">
        <v>802</v>
      </c>
      <c r="E829" s="522">
        <v>201612</v>
      </c>
      <c r="F829" s="431">
        <v>-22.46</v>
      </c>
      <c r="G829" s="386" t="s">
        <v>449</v>
      </c>
      <c r="H829" s="386" t="s">
        <v>450</v>
      </c>
    </row>
    <row r="830" spans="1:8">
      <c r="A830" s="521" t="s">
        <v>346</v>
      </c>
      <c r="B830" s="522" t="s">
        <v>359</v>
      </c>
      <c r="C830" s="522"/>
      <c r="D830" s="521" t="s">
        <v>360</v>
      </c>
      <c r="E830" s="522">
        <v>201612</v>
      </c>
      <c r="F830" s="523">
        <v>-2.63</v>
      </c>
      <c r="G830" s="386" t="s">
        <v>449</v>
      </c>
      <c r="H830" s="386" t="s">
        <v>450</v>
      </c>
    </row>
    <row r="831" spans="1:8">
      <c r="A831" s="399" t="s">
        <v>346</v>
      </c>
      <c r="B831" s="522" t="s">
        <v>1033</v>
      </c>
      <c r="C831" s="522"/>
      <c r="D831" s="399" t="s">
        <v>1034</v>
      </c>
      <c r="E831" s="522">
        <v>201612</v>
      </c>
      <c r="F831" s="431">
        <v>1114.1300000000001</v>
      </c>
      <c r="G831" s="386" t="s">
        <v>449</v>
      </c>
      <c r="H831" s="386" t="s">
        <v>450</v>
      </c>
    </row>
    <row r="832" spans="1:8">
      <c r="A832" s="521" t="s">
        <v>346</v>
      </c>
      <c r="B832" s="522" t="s">
        <v>989</v>
      </c>
      <c r="C832" s="522"/>
      <c r="D832" s="399" t="s">
        <v>990</v>
      </c>
      <c r="E832" s="522">
        <v>201612</v>
      </c>
      <c r="F832" s="431">
        <v>-20.399999999999999</v>
      </c>
      <c r="G832" s="386" t="s">
        <v>449</v>
      </c>
      <c r="H832" s="386" t="s">
        <v>450</v>
      </c>
    </row>
    <row r="833" spans="1:8">
      <c r="A833" s="521" t="s">
        <v>346</v>
      </c>
      <c r="B833" s="522" t="s">
        <v>1049</v>
      </c>
      <c r="C833" s="522"/>
      <c r="D833" s="521" t="s">
        <v>1050</v>
      </c>
      <c r="E833" s="522">
        <v>201612</v>
      </c>
      <c r="F833" s="523">
        <v>25.84</v>
      </c>
      <c r="G833" s="386" t="s">
        <v>449</v>
      </c>
      <c r="H833" s="386" t="s">
        <v>450</v>
      </c>
    </row>
    <row r="834" spans="1:8">
      <c r="A834" s="521" t="s">
        <v>346</v>
      </c>
      <c r="B834" s="522" t="s">
        <v>682</v>
      </c>
      <c r="C834" s="522"/>
      <c r="D834" s="521" t="s">
        <v>683</v>
      </c>
      <c r="E834" s="522">
        <v>201612</v>
      </c>
      <c r="F834" s="523">
        <v>5885.7</v>
      </c>
      <c r="G834" s="386" t="s">
        <v>449</v>
      </c>
      <c r="H834" s="386" t="s">
        <v>450</v>
      </c>
    </row>
    <row r="835" spans="1:8">
      <c r="A835" s="521" t="s">
        <v>346</v>
      </c>
      <c r="B835" s="522" t="s">
        <v>856</v>
      </c>
      <c r="C835" s="522"/>
      <c r="D835" s="521" t="s">
        <v>857</v>
      </c>
      <c r="E835" s="522">
        <v>201612</v>
      </c>
      <c r="F835" s="523">
        <v>35988.43</v>
      </c>
      <c r="G835" s="386" t="s">
        <v>449</v>
      </c>
      <c r="H835" s="386" t="s">
        <v>450</v>
      </c>
    </row>
    <row r="836" spans="1:8">
      <c r="A836" s="521" t="s">
        <v>346</v>
      </c>
      <c r="B836" s="522" t="s">
        <v>814</v>
      </c>
      <c r="C836" s="522"/>
      <c r="D836" s="521" t="s">
        <v>815</v>
      </c>
      <c r="E836" s="522">
        <v>201612</v>
      </c>
      <c r="F836" s="523">
        <v>185594.94</v>
      </c>
      <c r="G836" s="386" t="s">
        <v>449</v>
      </c>
      <c r="H836" s="386" t="s">
        <v>450</v>
      </c>
    </row>
    <row r="837" spans="1:8">
      <c r="A837" s="521" t="s">
        <v>346</v>
      </c>
      <c r="B837" s="522" t="s">
        <v>891</v>
      </c>
      <c r="C837" s="522"/>
      <c r="D837" s="521" t="s">
        <v>892</v>
      </c>
      <c r="E837" s="522">
        <v>201612</v>
      </c>
      <c r="F837" s="523">
        <v>11.29</v>
      </c>
      <c r="G837" s="386" t="s">
        <v>449</v>
      </c>
      <c r="H837" s="386" t="s">
        <v>450</v>
      </c>
    </row>
    <row r="838" spans="1:8">
      <c r="A838" s="521" t="s">
        <v>346</v>
      </c>
      <c r="B838" s="522" t="s">
        <v>373</v>
      </c>
      <c r="C838" s="522"/>
      <c r="D838" s="521" t="s">
        <v>374</v>
      </c>
      <c r="E838" s="522">
        <v>201612</v>
      </c>
      <c r="F838" s="523">
        <v>-960</v>
      </c>
      <c r="G838" s="386" t="s">
        <v>449</v>
      </c>
      <c r="H838" s="386" t="s">
        <v>450</v>
      </c>
    </row>
    <row r="839" spans="1:8">
      <c r="A839" s="521" t="s">
        <v>346</v>
      </c>
      <c r="B839" s="522" t="s">
        <v>868</v>
      </c>
      <c r="C839" s="522"/>
      <c r="D839" s="521" t="s">
        <v>869</v>
      </c>
      <c r="E839" s="522">
        <v>201612</v>
      </c>
      <c r="F839" s="523">
        <v>235.62</v>
      </c>
      <c r="G839" s="386" t="s">
        <v>449</v>
      </c>
      <c r="H839" s="386" t="s">
        <v>450</v>
      </c>
    </row>
    <row r="840" spans="1:8">
      <c r="A840" s="521" t="s">
        <v>346</v>
      </c>
      <c r="B840" s="522" t="s">
        <v>355</v>
      </c>
      <c r="C840" s="522"/>
      <c r="D840" s="521" t="s">
        <v>356</v>
      </c>
      <c r="E840" s="522">
        <v>201612</v>
      </c>
      <c r="F840" s="523">
        <v>43366.26</v>
      </c>
      <c r="G840" s="386" t="s">
        <v>449</v>
      </c>
      <c r="H840" s="386" t="s">
        <v>450</v>
      </c>
    </row>
    <row r="841" spans="1:8">
      <c r="A841" s="521" t="s">
        <v>346</v>
      </c>
      <c r="B841" s="522" t="s">
        <v>1106</v>
      </c>
      <c r="C841" s="522"/>
      <c r="D841" s="521" t="s">
        <v>1107</v>
      </c>
      <c r="E841" s="522">
        <v>201612</v>
      </c>
      <c r="F841" s="523">
        <v>84369.95</v>
      </c>
      <c r="G841" s="386" t="s">
        <v>449</v>
      </c>
      <c r="H841" s="386" t="s">
        <v>450</v>
      </c>
    </row>
    <row r="842" spans="1:8">
      <c r="A842" s="521" t="s">
        <v>346</v>
      </c>
      <c r="B842" s="522" t="s">
        <v>963</v>
      </c>
      <c r="C842" s="522"/>
      <c r="D842" s="521" t="s">
        <v>964</v>
      </c>
      <c r="E842" s="522">
        <v>201612</v>
      </c>
      <c r="F842" s="523">
        <v>28.65</v>
      </c>
      <c r="G842" s="386" t="s">
        <v>449</v>
      </c>
      <c r="H842" s="386" t="s">
        <v>450</v>
      </c>
    </row>
    <row r="843" spans="1:8">
      <c r="A843" s="521" t="s">
        <v>346</v>
      </c>
      <c r="B843" s="522" t="s">
        <v>961</v>
      </c>
      <c r="C843" s="522"/>
      <c r="D843" s="521" t="s">
        <v>962</v>
      </c>
      <c r="E843" s="522">
        <v>201612</v>
      </c>
      <c r="F843" s="523">
        <v>-89.13</v>
      </c>
      <c r="G843" s="386" t="s">
        <v>449</v>
      </c>
      <c r="H843" s="386" t="s">
        <v>450</v>
      </c>
    </row>
    <row r="844" spans="1:8">
      <c r="A844" s="521" t="s">
        <v>346</v>
      </c>
      <c r="B844" s="522" t="s">
        <v>975</v>
      </c>
      <c r="C844" s="522"/>
      <c r="D844" s="399" t="s">
        <v>976</v>
      </c>
      <c r="E844" s="522">
        <v>201612</v>
      </c>
      <c r="F844" s="431">
        <v>-223.84</v>
      </c>
      <c r="G844" s="386" t="s">
        <v>449</v>
      </c>
      <c r="H844" s="386" t="s">
        <v>450</v>
      </c>
    </row>
    <row r="845" spans="1:8">
      <c r="A845" s="399" t="s">
        <v>346</v>
      </c>
      <c r="B845" s="522" t="s">
        <v>973</v>
      </c>
      <c r="C845" s="522"/>
      <c r="D845" s="399" t="s">
        <v>974</v>
      </c>
      <c r="E845" s="522">
        <v>201612</v>
      </c>
      <c r="F845" s="431">
        <v>1688.9</v>
      </c>
      <c r="G845" s="386" t="s">
        <v>449</v>
      </c>
      <c r="H845" s="386" t="s">
        <v>450</v>
      </c>
    </row>
    <row r="846" spans="1:8">
      <c r="A846" s="521" t="s">
        <v>346</v>
      </c>
      <c r="B846" s="522" t="s">
        <v>947</v>
      </c>
      <c r="C846" s="522"/>
      <c r="D846" s="521" t="s">
        <v>948</v>
      </c>
      <c r="E846" s="522">
        <v>201612</v>
      </c>
      <c r="F846" s="523">
        <v>175.99</v>
      </c>
      <c r="G846" s="386" t="s">
        <v>449</v>
      </c>
      <c r="H846" s="386" t="s">
        <v>450</v>
      </c>
    </row>
    <row r="847" spans="1:8">
      <c r="A847" s="521" t="s">
        <v>346</v>
      </c>
      <c r="B847" s="522" t="s">
        <v>814</v>
      </c>
      <c r="C847" s="522"/>
      <c r="D847" s="521" t="s">
        <v>815</v>
      </c>
      <c r="E847" s="522">
        <v>201612</v>
      </c>
      <c r="F847" s="523">
        <v>-263663.53000000003</v>
      </c>
      <c r="G847" s="386" t="s">
        <v>449</v>
      </c>
      <c r="H847" s="386" t="s">
        <v>450</v>
      </c>
    </row>
    <row r="848" spans="1:8">
      <c r="A848" s="521" t="s">
        <v>346</v>
      </c>
      <c r="B848" s="522" t="s">
        <v>1004</v>
      </c>
      <c r="C848" s="522"/>
      <c r="D848" s="521" t="s">
        <v>1005</v>
      </c>
      <c r="E848" s="522">
        <v>201612</v>
      </c>
      <c r="F848" s="523">
        <v>755.48</v>
      </c>
      <c r="G848" s="386" t="s">
        <v>449</v>
      </c>
      <c r="H848" s="386" t="s">
        <v>450</v>
      </c>
    </row>
    <row r="849" spans="1:8">
      <c r="A849" s="521" t="s">
        <v>346</v>
      </c>
      <c r="B849" s="522" t="s">
        <v>991</v>
      </c>
      <c r="C849" s="522"/>
      <c r="D849" s="521" t="s">
        <v>992</v>
      </c>
      <c r="E849" s="522">
        <v>201612</v>
      </c>
      <c r="F849" s="523">
        <v>30.94</v>
      </c>
      <c r="G849" s="386" t="s">
        <v>449</v>
      </c>
      <c r="H849" s="386" t="s">
        <v>450</v>
      </c>
    </row>
    <row r="850" spans="1:8">
      <c r="A850" s="521" t="s">
        <v>346</v>
      </c>
      <c r="B850" s="522" t="s">
        <v>387</v>
      </c>
      <c r="C850" s="522"/>
      <c r="D850" s="521" t="s">
        <v>388</v>
      </c>
      <c r="E850" s="522">
        <v>201612</v>
      </c>
      <c r="F850" s="523">
        <v>320133.75</v>
      </c>
      <c r="G850" s="386" t="s">
        <v>449</v>
      </c>
      <c r="H850" s="386" t="s">
        <v>450</v>
      </c>
    </row>
    <row r="851" spans="1:8">
      <c r="A851" s="521" t="s">
        <v>346</v>
      </c>
      <c r="B851" s="522" t="s">
        <v>395</v>
      </c>
      <c r="C851" s="522"/>
      <c r="D851" s="521" t="s">
        <v>396</v>
      </c>
      <c r="E851" s="522">
        <v>201612</v>
      </c>
      <c r="F851" s="523">
        <v>-43778.89</v>
      </c>
      <c r="G851" s="386" t="s">
        <v>449</v>
      </c>
      <c r="H851" s="386" t="s">
        <v>450</v>
      </c>
    </row>
    <row r="852" spans="1:8">
      <c r="A852" s="521" t="s">
        <v>346</v>
      </c>
      <c r="B852" s="522" t="s">
        <v>889</v>
      </c>
      <c r="C852" s="522"/>
      <c r="D852" s="521" t="s">
        <v>890</v>
      </c>
      <c r="E852" s="522">
        <v>201612</v>
      </c>
      <c r="F852" s="523">
        <v>-0.96</v>
      </c>
      <c r="G852" s="386" t="s">
        <v>449</v>
      </c>
      <c r="H852" s="386" t="s">
        <v>450</v>
      </c>
    </row>
    <row r="853" spans="1:8">
      <c r="A853" s="521" t="s">
        <v>346</v>
      </c>
      <c r="B853" s="522" t="s">
        <v>1108</v>
      </c>
      <c r="C853" s="522"/>
      <c r="D853" s="521" t="s">
        <v>1109</v>
      </c>
      <c r="E853" s="522">
        <v>201612</v>
      </c>
      <c r="F853" s="523">
        <v>253058.79</v>
      </c>
      <c r="G853" s="386" t="s">
        <v>449</v>
      </c>
      <c r="H853" s="386" t="s">
        <v>450</v>
      </c>
    </row>
    <row r="854" spans="1:8">
      <c r="A854" s="521" t="s">
        <v>346</v>
      </c>
      <c r="B854" s="522" t="s">
        <v>369</v>
      </c>
      <c r="C854" s="522"/>
      <c r="D854" s="521" t="s">
        <v>370</v>
      </c>
      <c r="E854" s="522">
        <v>201612</v>
      </c>
      <c r="F854" s="523">
        <v>-6105.08</v>
      </c>
      <c r="G854" s="386" t="s">
        <v>449</v>
      </c>
      <c r="H854" s="386" t="s">
        <v>450</v>
      </c>
    </row>
    <row r="855" spans="1:8">
      <c r="A855" s="521" t="s">
        <v>346</v>
      </c>
      <c r="B855" s="522" t="s">
        <v>1006</v>
      </c>
      <c r="C855" s="522"/>
      <c r="D855" s="521" t="s">
        <v>1007</v>
      </c>
      <c r="E855" s="522">
        <v>201612</v>
      </c>
      <c r="F855" s="523">
        <v>7.63</v>
      </c>
      <c r="G855" s="386" t="s">
        <v>449</v>
      </c>
      <c r="H855" s="386" t="s">
        <v>450</v>
      </c>
    </row>
    <row r="856" spans="1:8">
      <c r="A856" s="521" t="s">
        <v>346</v>
      </c>
      <c r="B856" s="522" t="s">
        <v>661</v>
      </c>
      <c r="C856" s="522"/>
      <c r="D856" s="521" t="s">
        <v>662</v>
      </c>
      <c r="E856" s="522">
        <v>201612</v>
      </c>
      <c r="F856" s="523">
        <v>-43.24</v>
      </c>
      <c r="G856" s="386" t="s">
        <v>449</v>
      </c>
      <c r="H856" s="386" t="s">
        <v>450</v>
      </c>
    </row>
    <row r="857" spans="1:8">
      <c r="A857" s="521" t="s">
        <v>346</v>
      </c>
      <c r="B857" s="522" t="s">
        <v>800</v>
      </c>
      <c r="C857" s="522"/>
      <c r="D857" s="521" t="s">
        <v>830</v>
      </c>
      <c r="E857" s="522">
        <v>201612</v>
      </c>
      <c r="F857" s="523">
        <v>-1496.2</v>
      </c>
      <c r="G857" s="386" t="s">
        <v>449</v>
      </c>
      <c r="H857" s="386" t="s">
        <v>450</v>
      </c>
    </row>
    <row r="858" spans="1:8">
      <c r="A858" s="521" t="s">
        <v>346</v>
      </c>
      <c r="B858" s="522" t="s">
        <v>870</v>
      </c>
      <c r="C858" s="522"/>
      <c r="D858" s="521" t="s">
        <v>871</v>
      </c>
      <c r="E858" s="522">
        <v>201612</v>
      </c>
      <c r="F858" s="523">
        <v>-128.26</v>
      </c>
      <c r="G858" s="386" t="s">
        <v>449</v>
      </c>
      <c r="H858" s="386" t="s">
        <v>450</v>
      </c>
    </row>
    <row r="859" spans="1:8">
      <c r="A859" s="521" t="s">
        <v>346</v>
      </c>
      <c r="B859" s="522" t="s">
        <v>852</v>
      </c>
      <c r="C859" s="522"/>
      <c r="D859" s="521" t="s">
        <v>853</v>
      </c>
      <c r="E859" s="522">
        <v>201612</v>
      </c>
      <c r="F859" s="523">
        <v>192.61</v>
      </c>
      <c r="G859" s="386" t="s">
        <v>449</v>
      </c>
      <c r="H859" s="386" t="s">
        <v>450</v>
      </c>
    </row>
    <row r="860" spans="1:8">
      <c r="A860" s="521" t="s">
        <v>346</v>
      </c>
      <c r="B860" s="522" t="s">
        <v>846</v>
      </c>
      <c r="C860" s="522"/>
      <c r="D860" s="521" t="s">
        <v>847</v>
      </c>
      <c r="E860" s="522">
        <v>201612</v>
      </c>
      <c r="F860" s="523">
        <v>227.85</v>
      </c>
      <c r="G860" s="386" t="s">
        <v>449</v>
      </c>
      <c r="H860" s="386" t="s">
        <v>450</v>
      </c>
    </row>
    <row r="861" spans="1:8">
      <c r="A861" s="521" t="s">
        <v>346</v>
      </c>
      <c r="B861" s="522" t="s">
        <v>838</v>
      </c>
      <c r="C861" s="522"/>
      <c r="D861" s="521" t="s">
        <v>1015</v>
      </c>
      <c r="E861" s="522">
        <v>201612</v>
      </c>
      <c r="F861" s="523">
        <v>-111283.31</v>
      </c>
      <c r="G861" s="386" t="s">
        <v>449</v>
      </c>
      <c r="H861" s="386" t="s">
        <v>450</v>
      </c>
    </row>
    <row r="862" spans="1:8">
      <c r="A862" s="521" t="s">
        <v>346</v>
      </c>
      <c r="B862" s="522" t="s">
        <v>389</v>
      </c>
      <c r="C862" s="522"/>
      <c r="D862" s="521" t="s">
        <v>390</v>
      </c>
      <c r="E862" s="522">
        <v>201612</v>
      </c>
      <c r="F862" s="523">
        <v>-1.29</v>
      </c>
      <c r="G862" s="386" t="s">
        <v>449</v>
      </c>
      <c r="H862" s="386" t="s">
        <v>450</v>
      </c>
    </row>
    <row r="863" spans="1:8">
      <c r="A863" s="521" t="s">
        <v>346</v>
      </c>
      <c r="B863" s="522" t="s">
        <v>953</v>
      </c>
      <c r="C863" s="522"/>
      <c r="D863" s="521" t="s">
        <v>954</v>
      </c>
      <c r="E863" s="522">
        <v>201612</v>
      </c>
      <c r="F863" s="523">
        <v>114952.87</v>
      </c>
      <c r="G863" s="386" t="s">
        <v>449</v>
      </c>
      <c r="H863" s="386" t="s">
        <v>450</v>
      </c>
    </row>
    <row r="864" spans="1:8">
      <c r="A864" s="521" t="s">
        <v>346</v>
      </c>
      <c r="B864" s="522" t="s">
        <v>369</v>
      </c>
      <c r="C864" s="522"/>
      <c r="D864" s="521" t="s">
        <v>370</v>
      </c>
      <c r="E864" s="522">
        <v>201612</v>
      </c>
      <c r="F864" s="523">
        <v>26147.82</v>
      </c>
      <c r="G864" s="386" t="s">
        <v>449</v>
      </c>
      <c r="H864" s="386" t="s">
        <v>450</v>
      </c>
    </row>
    <row r="865" spans="1:8">
      <c r="A865" s="521" t="s">
        <v>346</v>
      </c>
      <c r="B865" s="522" t="s">
        <v>353</v>
      </c>
      <c r="C865" s="522"/>
      <c r="D865" s="521" t="s">
        <v>354</v>
      </c>
      <c r="E865" s="522">
        <v>201612</v>
      </c>
      <c r="F865" s="523">
        <v>-1450</v>
      </c>
      <c r="G865" s="386" t="s">
        <v>449</v>
      </c>
      <c r="H865" s="386" t="s">
        <v>450</v>
      </c>
    </row>
    <row r="866" spans="1:8">
      <c r="A866" s="521" t="s">
        <v>346</v>
      </c>
      <c r="B866" s="522" t="s">
        <v>351</v>
      </c>
      <c r="C866" s="522"/>
      <c r="D866" s="521" t="s">
        <v>352</v>
      </c>
      <c r="E866" s="522">
        <v>201612</v>
      </c>
      <c r="F866" s="523">
        <v>20555.490000000002</v>
      </c>
      <c r="G866" s="386" t="s">
        <v>449</v>
      </c>
      <c r="H866" s="386" t="s">
        <v>450</v>
      </c>
    </row>
    <row r="867" spans="1:8">
      <c r="A867" s="521" t="s">
        <v>346</v>
      </c>
      <c r="B867" s="522" t="s">
        <v>629</v>
      </c>
      <c r="C867" s="522"/>
      <c r="D867" s="521" t="s">
        <v>630</v>
      </c>
      <c r="E867" s="522">
        <v>201612</v>
      </c>
      <c r="F867" s="523">
        <v>22.89</v>
      </c>
      <c r="G867" s="386" t="s">
        <v>449</v>
      </c>
      <c r="H867" s="386" t="s">
        <v>450</v>
      </c>
    </row>
    <row r="868" spans="1:8">
      <c r="A868" s="521" t="s">
        <v>346</v>
      </c>
      <c r="B868" s="522" t="s">
        <v>882</v>
      </c>
      <c r="C868" s="522"/>
      <c r="D868" s="521" t="s">
        <v>995</v>
      </c>
      <c r="E868" s="522">
        <v>201612</v>
      </c>
      <c r="F868" s="523">
        <v>-30154.45</v>
      </c>
      <c r="G868" s="386" t="s">
        <v>449</v>
      </c>
      <c r="H868" s="386" t="s">
        <v>450</v>
      </c>
    </row>
    <row r="869" spans="1:8">
      <c r="A869" s="521" t="s">
        <v>346</v>
      </c>
      <c r="B869" s="522" t="s">
        <v>876</v>
      </c>
      <c r="C869" s="522"/>
      <c r="D869" s="521" t="s">
        <v>877</v>
      </c>
      <c r="E869" s="522">
        <v>201612</v>
      </c>
      <c r="F869" s="523">
        <v>-20.91</v>
      </c>
      <c r="G869" s="386" t="s">
        <v>449</v>
      </c>
      <c r="H869" s="386" t="s">
        <v>450</v>
      </c>
    </row>
    <row r="870" spans="1:8">
      <c r="A870" s="521" t="s">
        <v>346</v>
      </c>
      <c r="B870" s="522" t="s">
        <v>1112</v>
      </c>
      <c r="C870" s="522"/>
      <c r="D870" s="521" t="s">
        <v>1113</v>
      </c>
      <c r="E870" s="522">
        <v>201612</v>
      </c>
      <c r="F870" s="523">
        <v>40653.26</v>
      </c>
      <c r="G870" s="386" t="s">
        <v>449</v>
      </c>
      <c r="H870" s="386" t="s">
        <v>450</v>
      </c>
    </row>
    <row r="871" spans="1:8">
      <c r="A871" s="521" t="s">
        <v>346</v>
      </c>
      <c r="B871" s="522" t="s">
        <v>1041</v>
      </c>
      <c r="C871" s="522"/>
      <c r="D871" s="521" t="s">
        <v>1042</v>
      </c>
      <c r="E871" s="522">
        <v>201612</v>
      </c>
      <c r="F871" s="523">
        <v>-93.87</v>
      </c>
      <c r="G871" s="386" t="s">
        <v>449</v>
      </c>
      <c r="H871" s="386" t="s">
        <v>450</v>
      </c>
    </row>
    <row r="872" spans="1:8">
      <c r="A872" s="521" t="s">
        <v>346</v>
      </c>
      <c r="B872" s="522" t="s">
        <v>987</v>
      </c>
      <c r="C872" s="522"/>
      <c r="D872" s="521" t="s">
        <v>988</v>
      </c>
      <c r="E872" s="522">
        <v>201612</v>
      </c>
      <c r="F872" s="523">
        <v>-1.64</v>
      </c>
      <c r="G872" s="386" t="s">
        <v>449</v>
      </c>
      <c r="H872" s="386" t="s">
        <v>450</v>
      </c>
    </row>
    <row r="873" spans="1:8">
      <c r="A873" s="521" t="s">
        <v>346</v>
      </c>
      <c r="B873" s="522" t="s">
        <v>955</v>
      </c>
      <c r="C873" s="522"/>
      <c r="D873" s="399" t="s">
        <v>956</v>
      </c>
      <c r="E873" s="522">
        <v>201612</v>
      </c>
      <c r="F873" s="431">
        <v>21.75</v>
      </c>
      <c r="G873" s="386" t="s">
        <v>449</v>
      </c>
      <c r="H873" s="386" t="s">
        <v>450</v>
      </c>
    </row>
    <row r="874" spans="1:8">
      <c r="A874" s="521" t="s">
        <v>346</v>
      </c>
      <c r="B874" s="522" t="s">
        <v>854</v>
      </c>
      <c r="C874" s="522"/>
      <c r="D874" s="521" t="s">
        <v>855</v>
      </c>
      <c r="E874" s="522">
        <v>201612</v>
      </c>
      <c r="F874" s="523">
        <v>-215411.89</v>
      </c>
      <c r="G874" s="386" t="s">
        <v>449</v>
      </c>
      <c r="H874" s="386" t="s">
        <v>450</v>
      </c>
    </row>
    <row r="875" spans="1:8">
      <c r="A875" s="521" t="s">
        <v>346</v>
      </c>
      <c r="B875" s="522" t="s">
        <v>842</v>
      </c>
      <c r="C875" s="522"/>
      <c r="D875" s="521" t="s">
        <v>843</v>
      </c>
      <c r="E875" s="522">
        <v>201612</v>
      </c>
      <c r="F875" s="523">
        <v>-201.29</v>
      </c>
      <c r="G875" s="386" t="s">
        <v>449</v>
      </c>
      <c r="H875" s="386" t="s">
        <v>450</v>
      </c>
    </row>
    <row r="876" spans="1:8">
      <c r="A876" s="521" t="s">
        <v>346</v>
      </c>
      <c r="B876" s="522" t="s">
        <v>882</v>
      </c>
      <c r="C876" s="522"/>
      <c r="D876" s="521" t="s">
        <v>995</v>
      </c>
      <c r="E876" s="522">
        <v>201612</v>
      </c>
      <c r="F876" s="523">
        <v>33148.54</v>
      </c>
      <c r="G876" s="386" t="s">
        <v>449</v>
      </c>
      <c r="H876" s="386" t="s">
        <v>450</v>
      </c>
    </row>
    <row r="877" spans="1:8">
      <c r="A877" s="521" t="s">
        <v>346</v>
      </c>
      <c r="B877" s="522" t="s">
        <v>357</v>
      </c>
      <c r="C877" s="522"/>
      <c r="D877" s="521" t="s">
        <v>358</v>
      </c>
      <c r="E877" s="522">
        <v>201612</v>
      </c>
      <c r="F877" s="523">
        <v>5871.93</v>
      </c>
      <c r="G877" s="386" t="s">
        <v>449</v>
      </c>
      <c r="H877" s="386" t="s">
        <v>450</v>
      </c>
    </row>
    <row r="878" spans="1:8">
      <c r="A878" s="521" t="s">
        <v>346</v>
      </c>
      <c r="B878" s="522">
        <v>900889</v>
      </c>
      <c r="C878" s="522"/>
      <c r="D878" s="521" t="s">
        <v>1126</v>
      </c>
      <c r="E878" s="522">
        <v>201612</v>
      </c>
      <c r="F878" s="523">
        <v>-6376.85</v>
      </c>
      <c r="G878" s="386" t="s">
        <v>449</v>
      </c>
      <c r="H878" s="386" t="s">
        <v>450</v>
      </c>
    </row>
    <row r="879" spans="1:8">
      <c r="A879" s="863" t="s">
        <v>346</v>
      </c>
      <c r="B879" s="864" t="s">
        <v>731</v>
      </c>
      <c r="C879" s="864"/>
      <c r="D879" s="863" t="s">
        <v>732</v>
      </c>
      <c r="E879" s="864">
        <v>201701</v>
      </c>
      <c r="F879" s="865">
        <v>117.75</v>
      </c>
      <c r="G879" s="386" t="s">
        <v>449</v>
      </c>
      <c r="H879" s="386" t="s">
        <v>450</v>
      </c>
    </row>
    <row r="880" spans="1:8">
      <c r="A880" s="863" t="s">
        <v>346</v>
      </c>
      <c r="B880" s="864" t="s">
        <v>347</v>
      </c>
      <c r="C880" s="864"/>
      <c r="D880" s="863" t="s">
        <v>348</v>
      </c>
      <c r="E880" s="864">
        <v>201701</v>
      </c>
      <c r="F880" s="865">
        <v>974249.49</v>
      </c>
      <c r="G880" s="386" t="s">
        <v>449</v>
      </c>
      <c r="H880" s="386" t="s">
        <v>450</v>
      </c>
    </row>
    <row r="881" spans="1:8">
      <c r="A881" s="863" t="s">
        <v>346</v>
      </c>
      <c r="B881" s="864" t="s">
        <v>349</v>
      </c>
      <c r="C881" s="864"/>
      <c r="D881" s="863" t="s">
        <v>350</v>
      </c>
      <c r="E881" s="864">
        <v>201701</v>
      </c>
      <c r="F881" s="865">
        <v>2037.33</v>
      </c>
      <c r="G881" s="386" t="s">
        <v>449</v>
      </c>
      <c r="H881" s="386" t="s">
        <v>450</v>
      </c>
    </row>
    <row r="882" spans="1:8">
      <c r="A882" s="863" t="s">
        <v>346</v>
      </c>
      <c r="B882" s="864" t="s">
        <v>351</v>
      </c>
      <c r="C882" s="864"/>
      <c r="D882" s="863" t="s">
        <v>352</v>
      </c>
      <c r="E882" s="864">
        <v>201701</v>
      </c>
      <c r="F882" s="865">
        <v>-5386.35</v>
      </c>
      <c r="G882" s="386" t="s">
        <v>449</v>
      </c>
      <c r="H882" s="386" t="s">
        <v>450</v>
      </c>
    </row>
    <row r="883" spans="1:8">
      <c r="A883" s="863" t="s">
        <v>346</v>
      </c>
      <c r="B883" s="864" t="s">
        <v>353</v>
      </c>
      <c r="C883" s="864"/>
      <c r="D883" s="863" t="s">
        <v>354</v>
      </c>
      <c r="E883" s="864">
        <v>201701</v>
      </c>
      <c r="F883" s="865">
        <v>-125</v>
      </c>
      <c r="G883" s="386" t="s">
        <v>449</v>
      </c>
      <c r="H883" s="386" t="s">
        <v>450</v>
      </c>
    </row>
    <row r="884" spans="1:8">
      <c r="A884" s="863" t="s">
        <v>346</v>
      </c>
      <c r="B884" s="864" t="s">
        <v>355</v>
      </c>
      <c r="C884" s="864"/>
      <c r="D884" s="863" t="s">
        <v>356</v>
      </c>
      <c r="E884" s="864">
        <v>201701</v>
      </c>
      <c r="F884" s="865">
        <v>62607.38</v>
      </c>
      <c r="G884" s="386" t="s">
        <v>449</v>
      </c>
      <c r="H884" s="386" t="s">
        <v>450</v>
      </c>
    </row>
    <row r="885" spans="1:8">
      <c r="A885" s="863" t="s">
        <v>346</v>
      </c>
      <c r="B885" s="864" t="s">
        <v>357</v>
      </c>
      <c r="C885" s="864"/>
      <c r="D885" s="863" t="s">
        <v>358</v>
      </c>
      <c r="E885" s="864">
        <v>201701</v>
      </c>
      <c r="F885" s="865">
        <v>3896.32</v>
      </c>
      <c r="G885" s="386" t="s">
        <v>449</v>
      </c>
      <c r="H885" s="386" t="s">
        <v>450</v>
      </c>
    </row>
    <row r="886" spans="1:8">
      <c r="A886" s="863" t="s">
        <v>346</v>
      </c>
      <c r="B886" s="864" t="s">
        <v>359</v>
      </c>
      <c r="C886" s="864"/>
      <c r="D886" s="863" t="s">
        <v>360</v>
      </c>
      <c r="E886" s="864">
        <v>201701</v>
      </c>
      <c r="F886" s="865">
        <v>-1.1100000000000001</v>
      </c>
      <c r="G886" s="386" t="s">
        <v>449</v>
      </c>
      <c r="H886" s="386" t="s">
        <v>450</v>
      </c>
    </row>
    <row r="887" spans="1:8">
      <c r="A887" s="863" t="s">
        <v>346</v>
      </c>
      <c r="B887" s="864" t="s">
        <v>361</v>
      </c>
      <c r="C887" s="864"/>
      <c r="D887" s="863" t="s">
        <v>362</v>
      </c>
      <c r="E887" s="864">
        <v>201701</v>
      </c>
      <c r="F887" s="865">
        <v>949.83</v>
      </c>
      <c r="G887" s="386" t="s">
        <v>449</v>
      </c>
      <c r="H887" s="386" t="s">
        <v>450</v>
      </c>
    </row>
    <row r="888" spans="1:8">
      <c r="A888" s="863" t="s">
        <v>346</v>
      </c>
      <c r="B888" s="864" t="s">
        <v>365</v>
      </c>
      <c r="C888" s="864"/>
      <c r="D888" s="863" t="s">
        <v>366</v>
      </c>
      <c r="E888" s="864">
        <v>201701</v>
      </c>
      <c r="F888" s="865">
        <v>-530.41</v>
      </c>
      <c r="G888" s="386" t="s">
        <v>449</v>
      </c>
      <c r="H888" s="386" t="s">
        <v>450</v>
      </c>
    </row>
    <row r="889" spans="1:8">
      <c r="A889" s="863" t="s">
        <v>346</v>
      </c>
      <c r="B889" s="864" t="s">
        <v>367</v>
      </c>
      <c r="C889" s="864"/>
      <c r="D889" s="863" t="s">
        <v>368</v>
      </c>
      <c r="E889" s="864">
        <v>201701</v>
      </c>
      <c r="F889" s="865">
        <v>9103.39</v>
      </c>
      <c r="G889" s="386" t="s">
        <v>449</v>
      </c>
      <c r="H889" s="386" t="s">
        <v>450</v>
      </c>
    </row>
    <row r="890" spans="1:8">
      <c r="A890" s="863" t="s">
        <v>346</v>
      </c>
      <c r="B890" s="864" t="s">
        <v>585</v>
      </c>
      <c r="C890" s="864"/>
      <c r="D890" s="863" t="s">
        <v>586</v>
      </c>
      <c r="E890" s="864">
        <v>201701</v>
      </c>
      <c r="F890" s="865">
        <v>7257.37</v>
      </c>
      <c r="G890" s="386" t="s">
        <v>449</v>
      </c>
      <c r="H890" s="386" t="s">
        <v>450</v>
      </c>
    </row>
    <row r="891" spans="1:8">
      <c r="A891" s="863" t="s">
        <v>346</v>
      </c>
      <c r="B891" s="864" t="s">
        <v>369</v>
      </c>
      <c r="C891" s="864"/>
      <c r="D891" s="863" t="s">
        <v>370</v>
      </c>
      <c r="E891" s="864">
        <v>201701</v>
      </c>
      <c r="F891" s="865">
        <v>7795.95</v>
      </c>
      <c r="G891" s="386" t="s">
        <v>449</v>
      </c>
      <c r="H891" s="386" t="s">
        <v>450</v>
      </c>
    </row>
    <row r="892" spans="1:8">
      <c r="A892" s="863" t="s">
        <v>346</v>
      </c>
      <c r="B892" s="864" t="s">
        <v>371</v>
      </c>
      <c r="C892" s="864"/>
      <c r="D892" s="863" t="s">
        <v>372</v>
      </c>
      <c r="E892" s="864">
        <v>201701</v>
      </c>
      <c r="F892" s="865">
        <v>-4.16</v>
      </c>
      <c r="G892" s="386" t="s">
        <v>449</v>
      </c>
      <c r="H892" s="386" t="s">
        <v>450</v>
      </c>
    </row>
    <row r="893" spans="1:8">
      <c r="A893" s="863" t="s">
        <v>346</v>
      </c>
      <c r="B893" s="864" t="s">
        <v>375</v>
      </c>
      <c r="C893" s="864"/>
      <c r="D893" s="863" t="s">
        <v>376</v>
      </c>
      <c r="E893" s="864">
        <v>201701</v>
      </c>
      <c r="F893" s="865">
        <v>-6566.09</v>
      </c>
      <c r="G893" s="386" t="s">
        <v>449</v>
      </c>
      <c r="H893" s="386" t="s">
        <v>450</v>
      </c>
    </row>
    <row r="894" spans="1:8">
      <c r="A894" s="863" t="s">
        <v>346</v>
      </c>
      <c r="B894" s="864" t="s">
        <v>377</v>
      </c>
      <c r="C894" s="864"/>
      <c r="D894" s="863" t="s">
        <v>378</v>
      </c>
      <c r="E894" s="864">
        <v>201701</v>
      </c>
      <c r="F894" s="865">
        <v>100461.71</v>
      </c>
      <c r="G894" s="386" t="s">
        <v>449</v>
      </c>
      <c r="H894" s="386" t="s">
        <v>450</v>
      </c>
    </row>
    <row r="895" spans="1:8">
      <c r="A895" s="863" t="s">
        <v>346</v>
      </c>
      <c r="B895" s="864" t="s">
        <v>379</v>
      </c>
      <c r="C895" s="864"/>
      <c r="D895" s="863" t="s">
        <v>380</v>
      </c>
      <c r="E895" s="864">
        <v>201701</v>
      </c>
      <c r="F895" s="865">
        <v>866.53</v>
      </c>
      <c r="G895" s="386" t="s">
        <v>449</v>
      </c>
      <c r="H895" s="386" t="s">
        <v>450</v>
      </c>
    </row>
    <row r="896" spans="1:8">
      <c r="A896" s="863" t="s">
        <v>346</v>
      </c>
      <c r="B896" s="864" t="s">
        <v>383</v>
      </c>
      <c r="C896" s="864"/>
      <c r="D896" s="863" t="s">
        <v>384</v>
      </c>
      <c r="E896" s="864">
        <v>201701</v>
      </c>
      <c r="F896" s="865">
        <v>420</v>
      </c>
      <c r="G896" s="386" t="s">
        <v>449</v>
      </c>
      <c r="H896" s="386" t="s">
        <v>450</v>
      </c>
    </row>
    <row r="897" spans="1:8">
      <c r="A897" s="863" t="s">
        <v>346</v>
      </c>
      <c r="B897" s="864" t="s">
        <v>385</v>
      </c>
      <c r="C897" s="864"/>
      <c r="D897" s="863" t="s">
        <v>386</v>
      </c>
      <c r="E897" s="864">
        <v>201701</v>
      </c>
      <c r="F897" s="865">
        <v>282620.09999999998</v>
      </c>
      <c r="G897" s="386" t="s">
        <v>449</v>
      </c>
      <c r="H897" s="386" t="s">
        <v>450</v>
      </c>
    </row>
    <row r="898" spans="1:8">
      <c r="A898" s="863" t="s">
        <v>346</v>
      </c>
      <c r="B898" s="864" t="s">
        <v>387</v>
      </c>
      <c r="C898" s="864"/>
      <c r="D898" s="863" t="s">
        <v>388</v>
      </c>
      <c r="E898" s="864">
        <v>201701</v>
      </c>
      <c r="F898" s="865">
        <v>58379.44</v>
      </c>
      <c r="G898" s="386" t="s">
        <v>449</v>
      </c>
      <c r="H898" s="386" t="s">
        <v>450</v>
      </c>
    </row>
    <row r="899" spans="1:8">
      <c r="A899" s="863" t="s">
        <v>346</v>
      </c>
      <c r="B899" s="864" t="s">
        <v>389</v>
      </c>
      <c r="C899" s="864"/>
      <c r="D899" s="863" t="s">
        <v>390</v>
      </c>
      <c r="E899" s="864">
        <v>201701</v>
      </c>
      <c r="F899" s="865">
        <v>-0.28999999999999998</v>
      </c>
      <c r="G899" s="386" t="s">
        <v>449</v>
      </c>
      <c r="H899" s="386" t="s">
        <v>450</v>
      </c>
    </row>
    <row r="900" spans="1:8">
      <c r="A900" s="863" t="s">
        <v>346</v>
      </c>
      <c r="B900" s="864" t="s">
        <v>391</v>
      </c>
      <c r="C900" s="864"/>
      <c r="D900" s="863" t="s">
        <v>392</v>
      </c>
      <c r="E900" s="864">
        <v>201701</v>
      </c>
      <c r="F900" s="865">
        <v>-297.89999999999998</v>
      </c>
      <c r="G900" s="386" t="s">
        <v>449</v>
      </c>
      <c r="H900" s="386" t="s">
        <v>450</v>
      </c>
    </row>
    <row r="901" spans="1:8">
      <c r="A901" s="863" t="s">
        <v>346</v>
      </c>
      <c r="B901" s="864" t="s">
        <v>393</v>
      </c>
      <c r="C901" s="864"/>
      <c r="D901" s="863" t="s">
        <v>394</v>
      </c>
      <c r="E901" s="864">
        <v>201701</v>
      </c>
      <c r="F901" s="865">
        <v>-11476.9</v>
      </c>
      <c r="G901" s="386" t="s">
        <v>449</v>
      </c>
      <c r="H901" s="386" t="s">
        <v>450</v>
      </c>
    </row>
    <row r="902" spans="1:8">
      <c r="A902" s="863" t="s">
        <v>346</v>
      </c>
      <c r="B902" s="864" t="s">
        <v>395</v>
      </c>
      <c r="C902" s="864"/>
      <c r="D902" s="863" t="s">
        <v>396</v>
      </c>
      <c r="E902" s="864">
        <v>201701</v>
      </c>
      <c r="F902" s="865">
        <v>-48033.35</v>
      </c>
      <c r="G902" s="386" t="s">
        <v>449</v>
      </c>
      <c r="H902" s="386" t="s">
        <v>450</v>
      </c>
    </row>
    <row r="903" spans="1:8">
      <c r="A903" s="863" t="s">
        <v>346</v>
      </c>
      <c r="B903" s="864" t="s">
        <v>856</v>
      </c>
      <c r="C903" s="864"/>
      <c r="D903" s="863" t="s">
        <v>857</v>
      </c>
      <c r="E903" s="864">
        <v>201701</v>
      </c>
      <c r="F903" s="865">
        <v>-234.06</v>
      </c>
      <c r="G903" s="386" t="s">
        <v>449</v>
      </c>
      <c r="H903" s="386" t="s">
        <v>450</v>
      </c>
    </row>
    <row r="904" spans="1:8">
      <c r="A904" s="863" t="s">
        <v>346</v>
      </c>
      <c r="B904" s="864" t="s">
        <v>800</v>
      </c>
      <c r="C904" s="864"/>
      <c r="D904" s="863" t="s">
        <v>830</v>
      </c>
      <c r="E904" s="864">
        <v>201701</v>
      </c>
      <c r="F904" s="865">
        <v>-19.55</v>
      </c>
      <c r="G904" s="386" t="s">
        <v>449</v>
      </c>
      <c r="H904" s="386" t="s">
        <v>450</v>
      </c>
    </row>
    <row r="905" spans="1:8">
      <c r="A905" s="863" t="s">
        <v>346</v>
      </c>
      <c r="B905" s="864" t="s">
        <v>629</v>
      </c>
      <c r="C905" s="864"/>
      <c r="D905" s="863" t="s">
        <v>630</v>
      </c>
      <c r="E905" s="864">
        <v>201701</v>
      </c>
      <c r="F905" s="865">
        <v>26.2</v>
      </c>
      <c r="G905" s="386" t="s">
        <v>449</v>
      </c>
      <c r="H905" s="386" t="s">
        <v>450</v>
      </c>
    </row>
    <row r="906" spans="1:8">
      <c r="A906" s="863" t="s">
        <v>346</v>
      </c>
      <c r="B906" s="864" t="s">
        <v>838</v>
      </c>
      <c r="C906" s="864"/>
      <c r="D906" s="863" t="s">
        <v>1015</v>
      </c>
      <c r="E906" s="864">
        <v>201701</v>
      </c>
      <c r="F906" s="865">
        <v>0.04</v>
      </c>
      <c r="G906" s="386" t="s">
        <v>449</v>
      </c>
      <c r="H906" s="386" t="s">
        <v>450</v>
      </c>
    </row>
    <row r="907" spans="1:8">
      <c r="A907" s="863" t="s">
        <v>346</v>
      </c>
      <c r="B907" s="864" t="s">
        <v>661</v>
      </c>
      <c r="C907" s="864"/>
      <c r="D907" s="863" t="s">
        <v>662</v>
      </c>
      <c r="E907" s="864">
        <v>201701</v>
      </c>
      <c r="F907" s="865">
        <v>1.77</v>
      </c>
      <c r="G907" s="386" t="s">
        <v>449</v>
      </c>
      <c r="H907" s="386" t="s">
        <v>450</v>
      </c>
    </row>
    <row r="908" spans="1:8">
      <c r="A908" s="863" t="s">
        <v>346</v>
      </c>
      <c r="B908" s="864" t="s">
        <v>801</v>
      </c>
      <c r="C908" s="864"/>
      <c r="D908" s="863" t="s">
        <v>802</v>
      </c>
      <c r="E908" s="864">
        <v>201701</v>
      </c>
      <c r="F908" s="865">
        <v>0.48</v>
      </c>
      <c r="G908" s="386" t="s">
        <v>449</v>
      </c>
      <c r="H908" s="386" t="s">
        <v>450</v>
      </c>
    </row>
    <row r="909" spans="1:8">
      <c r="A909" s="863" t="s">
        <v>346</v>
      </c>
      <c r="B909" s="864" t="s">
        <v>803</v>
      </c>
      <c r="C909" s="864"/>
      <c r="D909" s="863" t="s">
        <v>804</v>
      </c>
      <c r="E909" s="864">
        <v>201701</v>
      </c>
      <c r="F909" s="865">
        <v>3.02</v>
      </c>
      <c r="G909" s="386" t="s">
        <v>449</v>
      </c>
      <c r="H909" s="386" t="s">
        <v>450</v>
      </c>
    </row>
    <row r="910" spans="1:8">
      <c r="A910" s="863" t="s">
        <v>346</v>
      </c>
      <c r="B910" s="864" t="s">
        <v>805</v>
      </c>
      <c r="C910" s="864"/>
      <c r="D910" s="863" t="s">
        <v>806</v>
      </c>
      <c r="E910" s="864">
        <v>201701</v>
      </c>
      <c r="F910" s="865">
        <v>-0.1</v>
      </c>
      <c r="G910" s="386" t="s">
        <v>449</v>
      </c>
      <c r="H910" s="386" t="s">
        <v>450</v>
      </c>
    </row>
    <row r="911" spans="1:8">
      <c r="A911" s="863" t="s">
        <v>346</v>
      </c>
      <c r="B911" s="864" t="s">
        <v>1033</v>
      </c>
      <c r="C911" s="864"/>
      <c r="D911" s="863" t="s">
        <v>1034</v>
      </c>
      <c r="E911" s="864">
        <v>201701</v>
      </c>
      <c r="F911" s="865">
        <v>1277.68</v>
      </c>
      <c r="G911" s="386" t="s">
        <v>449</v>
      </c>
      <c r="H911" s="386" t="s">
        <v>450</v>
      </c>
    </row>
    <row r="912" spans="1:8">
      <c r="A912" s="863" t="s">
        <v>346</v>
      </c>
      <c r="B912" s="864" t="s">
        <v>1132</v>
      </c>
      <c r="C912" s="864"/>
      <c r="D912" s="863" t="s">
        <v>1133</v>
      </c>
      <c r="E912" s="864">
        <v>201701</v>
      </c>
      <c r="F912" s="865">
        <v>123.92</v>
      </c>
      <c r="G912" s="386" t="s">
        <v>449</v>
      </c>
      <c r="H912" s="386" t="s">
        <v>450</v>
      </c>
    </row>
    <row r="913" spans="1:8">
      <c r="A913" s="863" t="s">
        <v>346</v>
      </c>
      <c r="B913" s="864" t="s">
        <v>832</v>
      </c>
      <c r="C913" s="864"/>
      <c r="D913" s="863" t="s">
        <v>833</v>
      </c>
      <c r="E913" s="864">
        <v>201701</v>
      </c>
      <c r="F913" s="865">
        <v>8183.28</v>
      </c>
      <c r="G913" s="386" t="s">
        <v>449</v>
      </c>
      <c r="H913" s="386" t="s">
        <v>450</v>
      </c>
    </row>
    <row r="914" spans="1:8">
      <c r="A914" s="863" t="s">
        <v>346</v>
      </c>
      <c r="B914" s="864" t="s">
        <v>947</v>
      </c>
      <c r="C914" s="864"/>
      <c r="D914" s="863" t="s">
        <v>948</v>
      </c>
      <c r="E914" s="864">
        <v>201701</v>
      </c>
      <c r="F914" s="865">
        <v>-56528.71</v>
      </c>
      <c r="G914" s="386" t="s">
        <v>449</v>
      </c>
      <c r="H914" s="386" t="s">
        <v>450</v>
      </c>
    </row>
    <row r="915" spans="1:8">
      <c r="A915" s="863" t="s">
        <v>346</v>
      </c>
      <c r="B915" s="864" t="s">
        <v>949</v>
      </c>
      <c r="C915" s="864"/>
      <c r="D915" s="863" t="s">
        <v>950</v>
      </c>
      <c r="E915" s="864">
        <v>201701</v>
      </c>
      <c r="F915" s="865">
        <v>11733.77</v>
      </c>
      <c r="G915" s="386" t="s">
        <v>449</v>
      </c>
      <c r="H915" s="386" t="s">
        <v>450</v>
      </c>
    </row>
    <row r="916" spans="1:8">
      <c r="A916" s="863" t="s">
        <v>346</v>
      </c>
      <c r="B916" s="864" t="s">
        <v>951</v>
      </c>
      <c r="C916" s="864"/>
      <c r="D916" s="863" t="s">
        <v>952</v>
      </c>
      <c r="E916" s="864">
        <v>201701</v>
      </c>
      <c r="F916" s="865">
        <v>39235.300000000003</v>
      </c>
      <c r="G916" s="386" t="s">
        <v>449</v>
      </c>
      <c r="H916" s="386" t="s">
        <v>450</v>
      </c>
    </row>
    <row r="917" spans="1:8">
      <c r="A917" s="863" t="s">
        <v>346</v>
      </c>
      <c r="B917" s="864" t="s">
        <v>955</v>
      </c>
      <c r="C917" s="864"/>
      <c r="D917" s="863" t="s">
        <v>956</v>
      </c>
      <c r="E917" s="864">
        <v>201701</v>
      </c>
      <c r="F917" s="865">
        <v>-4119.91</v>
      </c>
      <c r="G917" s="386" t="s">
        <v>449</v>
      </c>
      <c r="H917" s="386" t="s">
        <v>450</v>
      </c>
    </row>
    <row r="918" spans="1:8">
      <c r="A918" s="863" t="s">
        <v>346</v>
      </c>
      <c r="B918" s="864" t="s">
        <v>893</v>
      </c>
      <c r="C918" s="864"/>
      <c r="D918" s="863" t="s">
        <v>894</v>
      </c>
      <c r="E918" s="864">
        <v>201701</v>
      </c>
      <c r="F918" s="865">
        <v>10.85</v>
      </c>
      <c r="G918" s="386" t="s">
        <v>449</v>
      </c>
      <c r="H918" s="386" t="s">
        <v>450</v>
      </c>
    </row>
    <row r="919" spans="1:8">
      <c r="A919" s="863" t="s">
        <v>346</v>
      </c>
      <c r="B919" s="864" t="s">
        <v>840</v>
      </c>
      <c r="C919" s="864"/>
      <c r="D919" s="863" t="s">
        <v>841</v>
      </c>
      <c r="E919" s="864">
        <v>201701</v>
      </c>
      <c r="F919" s="865">
        <v>6726.98</v>
      </c>
      <c r="G919" s="386" t="s">
        <v>449</v>
      </c>
      <c r="H919" s="386" t="s">
        <v>450</v>
      </c>
    </row>
    <row r="920" spans="1:8">
      <c r="A920" s="863" t="s">
        <v>346</v>
      </c>
      <c r="B920" s="864" t="s">
        <v>961</v>
      </c>
      <c r="C920" s="864"/>
      <c r="D920" s="863" t="s">
        <v>962</v>
      </c>
      <c r="E920" s="864">
        <v>201701</v>
      </c>
      <c r="F920" s="865">
        <v>42209.41</v>
      </c>
      <c r="G920" s="386" t="s">
        <v>449</v>
      </c>
      <c r="H920" s="386" t="s">
        <v>450</v>
      </c>
    </row>
    <row r="921" spans="1:8">
      <c r="A921" s="863" t="s">
        <v>346</v>
      </c>
      <c r="B921" s="864" t="s">
        <v>963</v>
      </c>
      <c r="C921" s="864"/>
      <c r="D921" s="863" t="s">
        <v>964</v>
      </c>
      <c r="E921" s="864">
        <v>201701</v>
      </c>
      <c r="F921" s="865">
        <v>24.76</v>
      </c>
      <c r="G921" s="386" t="s">
        <v>449</v>
      </c>
      <c r="H921" s="386" t="s">
        <v>450</v>
      </c>
    </row>
    <row r="922" spans="1:8">
      <c r="A922" s="863" t="s">
        <v>346</v>
      </c>
      <c r="B922" s="864" t="s">
        <v>967</v>
      </c>
      <c r="C922" s="864"/>
      <c r="D922" s="863" t="s">
        <v>968</v>
      </c>
      <c r="E922" s="864">
        <v>201701</v>
      </c>
      <c r="F922" s="865">
        <v>-5.94</v>
      </c>
      <c r="G922" s="386" t="s">
        <v>449</v>
      </c>
      <c r="H922" s="386" t="s">
        <v>450</v>
      </c>
    </row>
    <row r="923" spans="1:8">
      <c r="A923" s="863" t="s">
        <v>346</v>
      </c>
      <c r="B923" s="864" t="s">
        <v>682</v>
      </c>
      <c r="C923" s="864"/>
      <c r="D923" s="863" t="s">
        <v>683</v>
      </c>
      <c r="E923" s="864">
        <v>201701</v>
      </c>
      <c r="F923" s="865">
        <v>4098.62</v>
      </c>
      <c r="G923" s="386" t="s">
        <v>449</v>
      </c>
      <c r="H923" s="386" t="s">
        <v>450</v>
      </c>
    </row>
    <row r="924" spans="1:8">
      <c r="A924" s="863" t="s">
        <v>346</v>
      </c>
      <c r="B924" s="864" t="s">
        <v>1106</v>
      </c>
      <c r="C924" s="864"/>
      <c r="D924" s="863" t="s">
        <v>1107</v>
      </c>
      <c r="E924" s="864">
        <v>201701</v>
      </c>
      <c r="F924" s="865">
        <v>2964.76</v>
      </c>
      <c r="G924" s="386" t="s">
        <v>449</v>
      </c>
      <c r="H924" s="386" t="s">
        <v>450</v>
      </c>
    </row>
    <row r="925" spans="1:8">
      <c r="A925" s="863" t="s">
        <v>346</v>
      </c>
      <c r="B925" s="864" t="s">
        <v>822</v>
      </c>
      <c r="C925" s="864"/>
      <c r="D925" s="863" t="s">
        <v>823</v>
      </c>
      <c r="E925" s="864">
        <v>201701</v>
      </c>
      <c r="F925" s="865">
        <v>0.57999999999999996</v>
      </c>
      <c r="G925" s="386" t="s">
        <v>449</v>
      </c>
      <c r="H925" s="386" t="s">
        <v>450</v>
      </c>
    </row>
    <row r="926" spans="1:8">
      <c r="A926" s="863" t="s">
        <v>346</v>
      </c>
      <c r="B926" s="864" t="s">
        <v>973</v>
      </c>
      <c r="C926" s="864"/>
      <c r="D926" s="863" t="s">
        <v>974</v>
      </c>
      <c r="E926" s="864">
        <v>201701</v>
      </c>
      <c r="F926" s="865">
        <v>151.32</v>
      </c>
      <c r="G926" s="386" t="s">
        <v>449</v>
      </c>
      <c r="H926" s="386" t="s">
        <v>450</v>
      </c>
    </row>
    <row r="927" spans="1:8">
      <c r="A927" s="863" t="s">
        <v>346</v>
      </c>
      <c r="B927" s="864" t="s">
        <v>868</v>
      </c>
      <c r="C927" s="864"/>
      <c r="D927" s="863" t="s">
        <v>869</v>
      </c>
      <c r="E927" s="864">
        <v>201701</v>
      </c>
      <c r="F927" s="865">
        <v>-0.11</v>
      </c>
      <c r="G927" s="386" t="s">
        <v>449</v>
      </c>
      <c r="H927" s="386" t="s">
        <v>450</v>
      </c>
    </row>
    <row r="928" spans="1:8">
      <c r="A928" s="863" t="s">
        <v>346</v>
      </c>
      <c r="B928" s="864" t="s">
        <v>1108</v>
      </c>
      <c r="C928" s="864"/>
      <c r="D928" s="863" t="s">
        <v>1109</v>
      </c>
      <c r="E928" s="864">
        <v>201701</v>
      </c>
      <c r="F928" s="865">
        <v>9413.68</v>
      </c>
      <c r="G928" s="386" t="s">
        <v>449</v>
      </c>
      <c r="H928" s="386" t="s">
        <v>450</v>
      </c>
    </row>
    <row r="929" spans="1:8">
      <c r="A929" s="863" t="s">
        <v>346</v>
      </c>
      <c r="B929" s="864" t="s">
        <v>975</v>
      </c>
      <c r="C929" s="864"/>
      <c r="D929" s="863" t="s">
        <v>976</v>
      </c>
      <c r="E929" s="864">
        <v>201701</v>
      </c>
      <c r="F929" s="865">
        <v>66.75</v>
      </c>
      <c r="G929" s="386" t="s">
        <v>449</v>
      </c>
      <c r="H929" s="386" t="s">
        <v>450</v>
      </c>
    </row>
    <row r="930" spans="1:8">
      <c r="A930" s="863" t="s">
        <v>346</v>
      </c>
      <c r="B930" s="864" t="s">
        <v>870</v>
      </c>
      <c r="C930" s="864"/>
      <c r="D930" s="863" t="s">
        <v>871</v>
      </c>
      <c r="E930" s="864">
        <v>201701</v>
      </c>
      <c r="F930" s="865">
        <v>-124.77</v>
      </c>
      <c r="G930" s="386" t="s">
        <v>449</v>
      </c>
      <c r="H930" s="386" t="s">
        <v>450</v>
      </c>
    </row>
    <row r="931" spans="1:8">
      <c r="A931" s="863" t="s">
        <v>346</v>
      </c>
      <c r="B931" s="864" t="s">
        <v>1039</v>
      </c>
      <c r="C931" s="864"/>
      <c r="D931" s="863" t="s">
        <v>1040</v>
      </c>
      <c r="E931" s="864">
        <v>201701</v>
      </c>
      <c r="F931" s="865">
        <v>3692.51</v>
      </c>
      <c r="G931" s="386" t="s">
        <v>449</v>
      </c>
      <c r="H931" s="386" t="s">
        <v>450</v>
      </c>
    </row>
    <row r="932" spans="1:8">
      <c r="A932" s="863" t="s">
        <v>346</v>
      </c>
      <c r="B932" s="864" t="s">
        <v>872</v>
      </c>
      <c r="C932" s="864"/>
      <c r="D932" s="863" t="s">
        <v>873</v>
      </c>
      <c r="E932" s="864">
        <v>201701</v>
      </c>
      <c r="F932" s="865">
        <v>13.33</v>
      </c>
      <c r="G932" s="386" t="s">
        <v>449</v>
      </c>
      <c r="H932" s="386" t="s">
        <v>450</v>
      </c>
    </row>
    <row r="933" spans="1:8">
      <c r="A933" s="863" t="s">
        <v>346</v>
      </c>
      <c r="B933" s="864" t="s">
        <v>977</v>
      </c>
      <c r="C933" s="864"/>
      <c r="D933" s="863" t="s">
        <v>978</v>
      </c>
      <c r="E933" s="864">
        <v>201701</v>
      </c>
      <c r="F933" s="865">
        <v>142.06</v>
      </c>
      <c r="G933" s="386" t="s">
        <v>449</v>
      </c>
      <c r="H933" s="386" t="s">
        <v>450</v>
      </c>
    </row>
    <row r="934" spans="1:8">
      <c r="A934" s="863" t="s">
        <v>346</v>
      </c>
      <c r="B934" s="864" t="s">
        <v>1041</v>
      </c>
      <c r="C934" s="864"/>
      <c r="D934" s="863" t="s">
        <v>1042</v>
      </c>
      <c r="E934" s="864">
        <v>201701</v>
      </c>
      <c r="F934" s="865">
        <v>-14.41</v>
      </c>
      <c r="G934" s="386" t="s">
        <v>449</v>
      </c>
      <c r="H934" s="386" t="s">
        <v>450</v>
      </c>
    </row>
    <row r="935" spans="1:8">
      <c r="A935" s="863" t="s">
        <v>346</v>
      </c>
      <c r="B935" s="864" t="s">
        <v>979</v>
      </c>
      <c r="C935" s="864"/>
      <c r="D935" s="863" t="s">
        <v>980</v>
      </c>
      <c r="E935" s="864">
        <v>201701</v>
      </c>
      <c r="F935" s="865">
        <v>57.65</v>
      </c>
      <c r="G935" s="386" t="s">
        <v>449</v>
      </c>
      <c r="H935" s="386" t="s">
        <v>450</v>
      </c>
    </row>
    <row r="936" spans="1:8">
      <c r="A936" s="863" t="s">
        <v>346</v>
      </c>
      <c r="B936" s="864" t="s">
        <v>981</v>
      </c>
      <c r="C936" s="864"/>
      <c r="D936" s="863" t="s">
        <v>1014</v>
      </c>
      <c r="E936" s="864">
        <v>201701</v>
      </c>
      <c r="F936" s="865">
        <v>1051.6199999999999</v>
      </c>
      <c r="G936" s="386" t="s">
        <v>449</v>
      </c>
      <c r="H936" s="386" t="s">
        <v>450</v>
      </c>
    </row>
    <row r="937" spans="1:8">
      <c r="A937" s="863" t="s">
        <v>346</v>
      </c>
      <c r="B937" s="864" t="s">
        <v>983</v>
      </c>
      <c r="C937" s="864"/>
      <c r="D937" s="863" t="s">
        <v>984</v>
      </c>
      <c r="E937" s="864">
        <v>201701</v>
      </c>
      <c r="F937" s="865">
        <v>51.49</v>
      </c>
      <c r="G937" s="386" t="s">
        <v>449</v>
      </c>
      <c r="H937" s="386" t="s">
        <v>450</v>
      </c>
    </row>
    <row r="938" spans="1:8">
      <c r="A938" s="863" t="s">
        <v>346</v>
      </c>
      <c r="B938" s="864" t="s">
        <v>1043</v>
      </c>
      <c r="C938" s="864"/>
      <c r="D938" s="863" t="s">
        <v>1044</v>
      </c>
      <c r="E938" s="864">
        <v>201701</v>
      </c>
      <c r="F938" s="865">
        <v>-1.19</v>
      </c>
      <c r="G938" s="386" t="s">
        <v>449</v>
      </c>
      <c r="H938" s="386" t="s">
        <v>450</v>
      </c>
    </row>
    <row r="939" spans="1:8">
      <c r="A939" s="863" t="s">
        <v>346</v>
      </c>
      <c r="B939" s="864" t="s">
        <v>876</v>
      </c>
      <c r="C939" s="864"/>
      <c r="D939" s="863" t="s">
        <v>877</v>
      </c>
      <c r="E939" s="864">
        <v>201701</v>
      </c>
      <c r="F939" s="865">
        <v>-1.3</v>
      </c>
      <c r="G939" s="386" t="s">
        <v>449</v>
      </c>
      <c r="H939" s="386" t="s">
        <v>450</v>
      </c>
    </row>
    <row r="940" spans="1:8">
      <c r="A940" s="863" t="s">
        <v>346</v>
      </c>
      <c r="B940" s="864" t="s">
        <v>1045</v>
      </c>
      <c r="C940" s="864"/>
      <c r="D940" s="863" t="s">
        <v>1046</v>
      </c>
      <c r="E940" s="864">
        <v>201701</v>
      </c>
      <c r="F940" s="865">
        <v>-3.44</v>
      </c>
      <c r="G940" s="386" t="s">
        <v>449</v>
      </c>
      <c r="H940" s="386" t="s">
        <v>450</v>
      </c>
    </row>
    <row r="941" spans="1:8">
      <c r="A941" s="863" t="s">
        <v>346</v>
      </c>
      <c r="B941" s="864" t="s">
        <v>878</v>
      </c>
      <c r="C941" s="864"/>
      <c r="D941" s="863" t="s">
        <v>879</v>
      </c>
      <c r="E941" s="864">
        <v>201701</v>
      </c>
      <c r="F941" s="865">
        <v>-17373.240000000002</v>
      </c>
      <c r="G941" s="386" t="s">
        <v>449</v>
      </c>
      <c r="H941" s="386" t="s">
        <v>450</v>
      </c>
    </row>
    <row r="942" spans="1:8">
      <c r="A942" s="863" t="s">
        <v>346</v>
      </c>
      <c r="B942" s="864" t="s">
        <v>987</v>
      </c>
      <c r="C942" s="864"/>
      <c r="D942" s="863" t="s">
        <v>988</v>
      </c>
      <c r="E942" s="864">
        <v>201701</v>
      </c>
      <c r="F942" s="865">
        <v>-4021.8</v>
      </c>
      <c r="G942" s="386" t="s">
        <v>449</v>
      </c>
      <c r="H942" s="386" t="s">
        <v>450</v>
      </c>
    </row>
    <row r="943" spans="1:8">
      <c r="A943" s="863" t="s">
        <v>346</v>
      </c>
      <c r="B943" s="864" t="s">
        <v>989</v>
      </c>
      <c r="C943" s="864"/>
      <c r="D943" s="863" t="s">
        <v>990</v>
      </c>
      <c r="E943" s="864">
        <v>201701</v>
      </c>
      <c r="F943" s="865">
        <v>0.92</v>
      </c>
      <c r="G943" s="386" t="s">
        <v>449</v>
      </c>
      <c r="H943" s="386" t="s">
        <v>450</v>
      </c>
    </row>
    <row r="944" spans="1:8">
      <c r="A944" s="863" t="s">
        <v>346</v>
      </c>
      <c r="B944" s="864" t="s">
        <v>880</v>
      </c>
      <c r="C944" s="864"/>
      <c r="D944" s="863" t="s">
        <v>881</v>
      </c>
      <c r="E944" s="864">
        <v>201701</v>
      </c>
      <c r="F944" s="865">
        <v>-16.510000000000002</v>
      </c>
      <c r="G944" s="386" t="s">
        <v>449</v>
      </c>
      <c r="H944" s="386" t="s">
        <v>450</v>
      </c>
    </row>
    <row r="945" spans="1:8">
      <c r="A945" s="863" t="s">
        <v>346</v>
      </c>
      <c r="B945" s="864" t="s">
        <v>993</v>
      </c>
      <c r="C945" s="864"/>
      <c r="D945" s="863" t="s">
        <v>994</v>
      </c>
      <c r="E945" s="864">
        <v>201701</v>
      </c>
      <c r="F945" s="865">
        <v>37.76</v>
      </c>
      <c r="G945" s="386" t="s">
        <v>449</v>
      </c>
      <c r="H945" s="386" t="s">
        <v>450</v>
      </c>
    </row>
    <row r="946" spans="1:8">
      <c r="A946" s="863" t="s">
        <v>346</v>
      </c>
      <c r="B946" s="864" t="s">
        <v>996</v>
      </c>
      <c r="C946" s="864"/>
      <c r="D946" s="863" t="s">
        <v>997</v>
      </c>
      <c r="E946" s="864">
        <v>201701</v>
      </c>
      <c r="F946" s="865">
        <v>330.57</v>
      </c>
      <c r="G946" s="386" t="s">
        <v>449</v>
      </c>
      <c r="H946" s="386" t="s">
        <v>450</v>
      </c>
    </row>
    <row r="947" spans="1:8">
      <c r="A947" s="863" t="s">
        <v>346</v>
      </c>
      <c r="B947" s="864" t="s">
        <v>1055</v>
      </c>
      <c r="C947" s="864"/>
      <c r="D947" s="863" t="s">
        <v>1056</v>
      </c>
      <c r="E947" s="864">
        <v>201701</v>
      </c>
      <c r="F947" s="865">
        <v>7.97</v>
      </c>
      <c r="G947" s="386" t="s">
        <v>449</v>
      </c>
      <c r="H947" s="386" t="s">
        <v>450</v>
      </c>
    </row>
    <row r="948" spans="1:8">
      <c r="A948" s="863" t="s">
        <v>346</v>
      </c>
      <c r="B948" s="864" t="s">
        <v>1110</v>
      </c>
      <c r="C948" s="864"/>
      <c r="D948" s="863" t="s">
        <v>1111</v>
      </c>
      <c r="E948" s="864">
        <v>201701</v>
      </c>
      <c r="F948" s="865">
        <v>1373.36</v>
      </c>
      <c r="G948" s="386" t="s">
        <v>449</v>
      </c>
      <c r="H948" s="386" t="s">
        <v>450</v>
      </c>
    </row>
    <row r="949" spans="1:8">
      <c r="A949" s="863" t="s">
        <v>346</v>
      </c>
      <c r="B949" s="864" t="s">
        <v>1112</v>
      </c>
      <c r="C949" s="864"/>
      <c r="D949" s="863" t="s">
        <v>1113</v>
      </c>
      <c r="E949" s="864">
        <v>201701</v>
      </c>
      <c r="F949" s="865">
        <v>111.22</v>
      </c>
      <c r="G949" s="386" t="s">
        <v>449</v>
      </c>
      <c r="H949" s="386" t="s">
        <v>450</v>
      </c>
    </row>
    <row r="950" spans="1:8">
      <c r="A950" s="863" t="s">
        <v>346</v>
      </c>
      <c r="B950" s="864" t="s">
        <v>1114</v>
      </c>
      <c r="C950" s="864"/>
      <c r="D950" s="863" t="s">
        <v>1115</v>
      </c>
      <c r="E950" s="864">
        <v>201701</v>
      </c>
      <c r="F950" s="865">
        <v>55.81</v>
      </c>
      <c r="G950" s="386" t="s">
        <v>449</v>
      </c>
      <c r="H950" s="386" t="s">
        <v>450</v>
      </c>
    </row>
    <row r="951" spans="1:8">
      <c r="A951" s="863" t="s">
        <v>346</v>
      </c>
      <c r="B951" s="864" t="s">
        <v>1116</v>
      </c>
      <c r="C951" s="864"/>
      <c r="D951" s="863" t="s">
        <v>1117</v>
      </c>
      <c r="E951" s="864">
        <v>201701</v>
      </c>
      <c r="F951" s="865">
        <v>549.54</v>
      </c>
      <c r="G951" s="386" t="s">
        <v>449</v>
      </c>
      <c r="H951" s="386" t="s">
        <v>450</v>
      </c>
    </row>
    <row r="952" spans="1:8">
      <c r="A952" s="863" t="s">
        <v>346</v>
      </c>
      <c r="B952" s="864" t="s">
        <v>889</v>
      </c>
      <c r="C952" s="864"/>
      <c r="D952" s="863" t="s">
        <v>890</v>
      </c>
      <c r="E952" s="864">
        <v>201701</v>
      </c>
      <c r="F952" s="865">
        <v>0.04</v>
      </c>
      <c r="G952" s="386" t="s">
        <v>449</v>
      </c>
      <c r="H952" s="386" t="s">
        <v>450</v>
      </c>
    </row>
    <row r="953" spans="1:8">
      <c r="A953" s="863" t="s">
        <v>346</v>
      </c>
      <c r="B953" s="864" t="s">
        <v>1006</v>
      </c>
      <c r="C953" s="864"/>
      <c r="D953" s="863" t="s">
        <v>1007</v>
      </c>
      <c r="E953" s="864">
        <v>201701</v>
      </c>
      <c r="F953" s="865">
        <v>-0.67</v>
      </c>
      <c r="G953" s="386" t="s">
        <v>449</v>
      </c>
      <c r="H953" s="386" t="s">
        <v>450</v>
      </c>
    </row>
    <row r="954" spans="1:8">
      <c r="A954" s="863" t="s">
        <v>346</v>
      </c>
      <c r="B954" s="864" t="s">
        <v>1057</v>
      </c>
      <c r="C954" s="864"/>
      <c r="D954" s="863" t="s">
        <v>1058</v>
      </c>
      <c r="E954" s="864">
        <v>201701</v>
      </c>
      <c r="F954" s="865">
        <v>846.26</v>
      </c>
      <c r="G954" s="386" t="s">
        <v>449</v>
      </c>
      <c r="H954" s="386" t="s">
        <v>545</v>
      </c>
    </row>
    <row r="955" spans="1:8">
      <c r="A955" s="863" t="s">
        <v>346</v>
      </c>
      <c r="B955" s="864" t="s">
        <v>1049</v>
      </c>
      <c r="C955" s="864"/>
      <c r="D955" s="863" t="s">
        <v>1050</v>
      </c>
      <c r="E955" s="864">
        <v>201701</v>
      </c>
      <c r="F955" s="865">
        <v>14.58</v>
      </c>
      <c r="G955" s="386" t="s">
        <v>449</v>
      </c>
      <c r="H955" s="386" t="s">
        <v>450</v>
      </c>
    </row>
    <row r="956" spans="1:8">
      <c r="A956" s="863" t="s">
        <v>346</v>
      </c>
      <c r="B956" s="864" t="s">
        <v>1077</v>
      </c>
      <c r="C956" s="864"/>
      <c r="D956" s="863" t="s">
        <v>1078</v>
      </c>
      <c r="E956" s="864">
        <v>201701</v>
      </c>
      <c r="F956" s="865">
        <v>552.29</v>
      </c>
      <c r="G956" s="386" t="s">
        <v>449</v>
      </c>
      <c r="H956" s="386" t="s">
        <v>450</v>
      </c>
    </row>
    <row r="957" spans="1:8">
      <c r="A957" s="863" t="s">
        <v>346</v>
      </c>
      <c r="B957" s="864" t="s">
        <v>1079</v>
      </c>
      <c r="C957" s="864"/>
      <c r="D957" s="863" t="s">
        <v>1080</v>
      </c>
      <c r="E957" s="864">
        <v>201701</v>
      </c>
      <c r="F957" s="865">
        <v>2527.4499999999998</v>
      </c>
      <c r="G957" s="386" t="s">
        <v>449</v>
      </c>
      <c r="H957" s="386" t="s">
        <v>450</v>
      </c>
    </row>
    <row r="958" spans="1:8">
      <c r="A958" s="863" t="s">
        <v>346</v>
      </c>
      <c r="B958" s="864" t="s">
        <v>1118</v>
      </c>
      <c r="C958" s="864"/>
      <c r="D958" s="863" t="s">
        <v>1119</v>
      </c>
      <c r="E958" s="864">
        <v>201701</v>
      </c>
      <c r="F958" s="865">
        <v>4439.05</v>
      </c>
      <c r="G958" s="386" t="s">
        <v>449</v>
      </c>
      <c r="H958" s="386" t="s">
        <v>450</v>
      </c>
    </row>
    <row r="959" spans="1:8">
      <c r="A959" s="863" t="s">
        <v>346</v>
      </c>
      <c r="B959" s="864" t="s">
        <v>1140</v>
      </c>
      <c r="C959" s="864"/>
      <c r="D959" s="863" t="s">
        <v>1141</v>
      </c>
      <c r="E959" s="864">
        <v>201701</v>
      </c>
      <c r="F959" s="865">
        <v>7907.97</v>
      </c>
      <c r="G959" s="386" t="s">
        <v>449</v>
      </c>
      <c r="H959" s="386" t="s">
        <v>450</v>
      </c>
    </row>
    <row r="960" spans="1:8">
      <c r="A960" s="863"/>
      <c r="B960" s="864"/>
      <c r="C960" s="864"/>
      <c r="D960" s="863"/>
      <c r="E960" s="864"/>
      <c r="F960" s="865"/>
      <c r="G960" s="386"/>
      <c r="H960" s="386"/>
    </row>
    <row r="961" spans="1:9">
      <c r="A961" s="521"/>
      <c r="B961" s="522"/>
      <c r="C961" s="522"/>
      <c r="D961" s="521"/>
      <c r="E961" s="522"/>
      <c r="F961" s="523"/>
      <c r="G961" s="386" t="s">
        <v>449</v>
      </c>
      <c r="H961" s="386" t="s">
        <v>450</v>
      </c>
    </row>
    <row r="962" spans="1:9">
      <c r="A962" s="481"/>
      <c r="B962" s="485"/>
      <c r="C962" s="485"/>
      <c r="D962" s="481"/>
      <c r="E962" s="485"/>
      <c r="F962" s="759"/>
      <c r="G962" s="386"/>
      <c r="H962" s="386"/>
      <c r="I962" s="758"/>
    </row>
    <row r="963" spans="1:9">
      <c r="A963" s="426"/>
      <c r="B963" s="579"/>
      <c r="C963" s="435"/>
      <c r="D963" s="598" t="s">
        <v>1024</v>
      </c>
      <c r="E963" s="435">
        <v>201701</v>
      </c>
      <c r="F963" s="760">
        <v>0</v>
      </c>
      <c r="G963" s="386" t="s">
        <v>449</v>
      </c>
      <c r="H963" s="386" t="s">
        <v>545</v>
      </c>
      <c r="I963" s="758"/>
    </row>
    <row r="964" spans="1:9">
      <c r="A964" s="426"/>
      <c r="B964" s="579"/>
      <c r="C964" s="435"/>
      <c r="D964" s="598" t="s">
        <v>1024</v>
      </c>
      <c r="E964" s="435">
        <v>201702</v>
      </c>
      <c r="F964" s="760">
        <v>1550000</v>
      </c>
      <c r="G964" s="386" t="s">
        <v>449</v>
      </c>
      <c r="H964" s="386" t="s">
        <v>545</v>
      </c>
      <c r="I964" s="758"/>
    </row>
    <row r="965" spans="1:9">
      <c r="A965" s="754"/>
      <c r="B965" s="754"/>
      <c r="C965" s="754"/>
      <c r="D965" s="754"/>
      <c r="E965" s="164"/>
      <c r="F965" s="103"/>
      <c r="G965" s="757"/>
      <c r="H965" s="757"/>
      <c r="I965" s="758"/>
    </row>
    <row r="966" spans="1:9" ht="13.5" thickBot="1">
      <c r="A966" s="102"/>
      <c r="B966" s="102"/>
      <c r="C966" s="102"/>
      <c r="D966" s="102"/>
      <c r="E966" s="73" t="s">
        <v>107</v>
      </c>
      <c r="F966" s="130">
        <v>15249664.139999991</v>
      </c>
      <c r="G966" s="757"/>
      <c r="H966" s="757"/>
      <c r="I966" s="758"/>
    </row>
    <row r="967" spans="1:9" ht="13.5" thickTop="1">
      <c r="A967" s="102"/>
      <c r="B967" s="102"/>
      <c r="C967" s="102"/>
      <c r="D967" s="102"/>
      <c r="E967" s="73"/>
      <c r="F967" s="103"/>
      <c r="G967" s="757"/>
      <c r="H967" s="757"/>
      <c r="I967" s="758"/>
    </row>
    <row r="968" spans="1:9">
      <c r="A968" s="69"/>
      <c r="B968" s="559"/>
      <c r="C968" s="559"/>
      <c r="D968" s="102"/>
      <c r="E968" s="152"/>
      <c r="F968" s="171"/>
      <c r="G968" s="757"/>
      <c r="H968" s="757"/>
      <c r="I968" s="758"/>
    </row>
    <row r="969" spans="1:9" ht="13.5" thickBot="1">
      <c r="A969" s="69" t="s">
        <v>110</v>
      </c>
      <c r="B969" s="102"/>
      <c r="C969" s="102"/>
      <c r="D969" s="102"/>
      <c r="E969" s="73"/>
      <c r="F969" s="130">
        <v>15643116.289999992</v>
      </c>
      <c r="G969" s="757"/>
      <c r="H969" s="757"/>
      <c r="I969" s="758"/>
    </row>
    <row r="970" spans="1:9" ht="13.5" thickTop="1">
      <c r="A970" s="102"/>
      <c r="B970" s="102"/>
      <c r="C970" s="102"/>
      <c r="D970" s="102"/>
      <c r="E970" s="152"/>
      <c r="F970" s="123"/>
      <c r="G970" s="757"/>
      <c r="H970" s="757"/>
      <c r="I970" s="758"/>
    </row>
    <row r="971" spans="1:9">
      <c r="A971" s="95" t="s">
        <v>111</v>
      </c>
      <c r="B971" s="102"/>
      <c r="C971" s="102"/>
      <c r="D971" s="102"/>
      <c r="E971" s="152"/>
      <c r="F971" s="123"/>
      <c r="G971" s="757"/>
      <c r="H971" s="757"/>
      <c r="I971" s="758"/>
    </row>
    <row r="972" spans="1:9">
      <c r="A972" s="102"/>
      <c r="B972" s="102"/>
      <c r="C972" s="102"/>
      <c r="D972" s="102"/>
      <c r="E972" s="152"/>
      <c r="F972" s="123"/>
      <c r="G972" s="757"/>
      <c r="H972" s="757"/>
      <c r="I972" s="758"/>
    </row>
    <row r="973" spans="1:9">
      <c r="A973" s="88" t="s">
        <v>411</v>
      </c>
      <c r="B973" s="102"/>
      <c r="C973" s="102"/>
      <c r="D973" s="102"/>
      <c r="E973" s="152"/>
      <c r="F973" s="123"/>
      <c r="G973" s="757"/>
      <c r="H973" s="757"/>
      <c r="I973" s="758"/>
    </row>
    <row r="974" spans="1:9">
      <c r="A974" s="102"/>
      <c r="B974" s="102"/>
      <c r="C974" s="102"/>
      <c r="D974" s="102"/>
      <c r="E974" s="152"/>
      <c r="F974" s="123"/>
      <c r="G974" s="757"/>
      <c r="H974" s="757"/>
      <c r="I974" s="758"/>
    </row>
    <row r="975" spans="1:9">
      <c r="A975" s="81" t="s">
        <v>86</v>
      </c>
      <c r="B975" s="81" t="s">
        <v>87</v>
      </c>
      <c r="C975" s="81" t="s">
        <v>88</v>
      </c>
      <c r="D975" s="81"/>
      <c r="E975" s="146" t="s">
        <v>89</v>
      </c>
      <c r="F975" s="761" t="s">
        <v>90</v>
      </c>
      <c r="G975" s="386"/>
      <c r="H975" s="386"/>
      <c r="I975" s="758"/>
    </row>
    <row r="976" spans="1:9">
      <c r="A976" s="86" t="s">
        <v>94</v>
      </c>
      <c r="B976" s="86" t="s">
        <v>95</v>
      </c>
      <c r="C976" s="86" t="s">
        <v>96</v>
      </c>
      <c r="D976" s="86" t="s">
        <v>97</v>
      </c>
      <c r="E976" s="148" t="s">
        <v>98</v>
      </c>
      <c r="F976" s="762" t="s">
        <v>99</v>
      </c>
      <c r="G976" s="386"/>
      <c r="H976" s="386"/>
      <c r="I976" s="758"/>
    </row>
    <row r="977" spans="1:9">
      <c r="A977" s="481"/>
      <c r="B977" s="485"/>
      <c r="C977" s="485"/>
      <c r="D977" s="481"/>
      <c r="E977" s="485"/>
      <c r="F977" s="759"/>
      <c r="G977" s="386"/>
      <c r="H977" s="386"/>
      <c r="I977" s="758"/>
    </row>
    <row r="978" spans="1:9">
      <c r="A978" s="749"/>
      <c r="B978" s="750"/>
      <c r="C978" s="750"/>
      <c r="D978" s="750"/>
      <c r="E978" s="750"/>
      <c r="F978" s="763"/>
      <c r="G978" s="386"/>
      <c r="H978" s="386"/>
      <c r="I978" s="758"/>
    </row>
    <row r="979" spans="1:9">
      <c r="A979" s="481"/>
      <c r="B979" s="485"/>
      <c r="C979" s="485"/>
      <c r="D979" s="481"/>
      <c r="E979" s="485"/>
      <c r="F979" s="759"/>
      <c r="G979" s="386"/>
      <c r="H979" s="386"/>
      <c r="I979" s="758"/>
    </row>
    <row r="980" spans="1:9">
      <c r="A980" s="481"/>
      <c r="B980" s="485"/>
      <c r="C980" s="485"/>
      <c r="D980" s="481"/>
      <c r="E980" s="485"/>
      <c r="F980" s="759"/>
      <c r="G980" s="386"/>
      <c r="H980" s="386"/>
      <c r="I980" s="758"/>
    </row>
    <row r="981" spans="1:9">
      <c r="A981" s="481"/>
      <c r="B981" s="485"/>
      <c r="C981" s="485"/>
      <c r="D981" s="481"/>
      <c r="E981" s="485"/>
      <c r="F981" s="401"/>
      <c r="G981" s="386"/>
      <c r="H981" s="386"/>
      <c r="I981" s="758"/>
    </row>
    <row r="982" spans="1:9">
      <c r="A982" s="481"/>
      <c r="B982" s="485"/>
      <c r="C982" s="485"/>
      <c r="D982" s="481"/>
      <c r="E982" s="485"/>
      <c r="F982" s="401"/>
      <c r="G982" s="386"/>
      <c r="H982" s="386"/>
      <c r="I982" s="758"/>
    </row>
    <row r="983" spans="1:9">
      <c r="A983" s="481"/>
      <c r="B983" s="485"/>
      <c r="C983" s="485"/>
      <c r="D983" s="481"/>
      <c r="E983" s="485"/>
      <c r="F983" s="401"/>
      <c r="G983" s="386"/>
      <c r="H983" s="386"/>
      <c r="I983" s="758"/>
    </row>
    <row r="984" spans="1:9">
      <c r="A984" s="481"/>
      <c r="B984" s="485"/>
      <c r="C984" s="485"/>
      <c r="D984" s="481"/>
      <c r="E984" s="485"/>
      <c r="F984" s="401"/>
      <c r="G984" s="386"/>
      <c r="H984" s="386"/>
      <c r="I984" s="758"/>
    </row>
    <row r="985" spans="1:9">
      <c r="A985" s="481"/>
      <c r="B985" s="485"/>
      <c r="C985" s="485"/>
      <c r="D985" s="481"/>
      <c r="E985" s="485"/>
      <c r="F985" s="759"/>
      <c r="G985" s="386"/>
      <c r="H985" s="386"/>
      <c r="I985" s="758"/>
    </row>
    <row r="986" spans="1:9">
      <c r="A986" s="481"/>
      <c r="B986" s="485"/>
      <c r="C986" s="485"/>
      <c r="D986" s="481"/>
      <c r="E986" s="485"/>
      <c r="F986" s="759"/>
      <c r="G986" s="386"/>
      <c r="H986" s="386"/>
      <c r="I986" s="758"/>
    </row>
    <row r="987" spans="1:9">
      <c r="A987" s="426"/>
      <c r="B987" s="579"/>
      <c r="C987" s="435"/>
      <c r="D987" s="426"/>
      <c r="E987" s="435"/>
      <c r="F987" s="760"/>
      <c r="G987" s="386"/>
      <c r="H987" s="386"/>
      <c r="I987" s="758"/>
    </row>
    <row r="988" spans="1:9">
      <c r="A988" s="426"/>
      <c r="B988" s="579"/>
      <c r="C988" s="435"/>
      <c r="D988" s="426"/>
      <c r="E988" s="435"/>
      <c r="F988" s="760"/>
      <c r="G988" s="386"/>
      <c r="H988" s="386"/>
      <c r="I988" s="758"/>
    </row>
    <row r="989" spans="1:9">
      <c r="A989" s="754"/>
      <c r="B989" s="754"/>
      <c r="C989" s="754"/>
      <c r="D989" s="754"/>
      <c r="E989" s="164"/>
      <c r="F989" s="129"/>
      <c r="G989" s="757"/>
      <c r="H989" s="757"/>
      <c r="I989" s="758"/>
    </row>
    <row r="990" spans="1:9" ht="13.5" thickBot="1">
      <c r="A990" s="102"/>
      <c r="B990" s="102"/>
      <c r="C990" s="102"/>
      <c r="D990" s="102"/>
      <c r="E990" s="73" t="s">
        <v>107</v>
      </c>
      <c r="F990" s="130">
        <v>0</v>
      </c>
      <c r="G990" s="757"/>
      <c r="H990" s="757"/>
      <c r="I990" s="758"/>
    </row>
    <row r="991" spans="1:9" ht="13.5" thickTop="1">
      <c r="A991" s="102"/>
      <c r="B991" s="102"/>
      <c r="C991" s="102"/>
      <c r="D991" s="102"/>
      <c r="E991" s="152"/>
      <c r="F991" s="123"/>
      <c r="G991" s="757"/>
      <c r="H991" s="757"/>
      <c r="I991" s="758"/>
    </row>
    <row r="992" spans="1:9">
      <c r="A992" s="88" t="s">
        <v>409</v>
      </c>
      <c r="B992" s="102"/>
      <c r="C992" s="102"/>
      <c r="D992" s="102"/>
      <c r="E992" s="152"/>
      <c r="F992" s="123"/>
      <c r="G992" s="757"/>
      <c r="H992" s="757"/>
      <c r="I992" s="758"/>
    </row>
    <row r="993" spans="1:9">
      <c r="A993" s="102"/>
      <c r="B993" s="102"/>
      <c r="C993" s="102"/>
      <c r="D993" s="102"/>
      <c r="E993" s="152"/>
      <c r="F993" s="123"/>
      <c r="G993" s="757"/>
      <c r="H993" s="757"/>
      <c r="I993" s="758"/>
    </row>
    <row r="994" spans="1:9">
      <c r="A994" s="81" t="s">
        <v>86</v>
      </c>
      <c r="B994" s="81" t="s">
        <v>87</v>
      </c>
      <c r="C994" s="81" t="s">
        <v>88</v>
      </c>
      <c r="D994" s="81"/>
      <c r="E994" s="146" t="s">
        <v>89</v>
      </c>
      <c r="F994" s="761" t="s">
        <v>90</v>
      </c>
      <c r="G994" s="386"/>
      <c r="H994" s="386"/>
      <c r="I994" s="758"/>
    </row>
    <row r="995" spans="1:9">
      <c r="A995" s="86" t="s">
        <v>94</v>
      </c>
      <c r="B995" s="86" t="s">
        <v>95</v>
      </c>
      <c r="C995" s="86" t="s">
        <v>96</v>
      </c>
      <c r="D995" s="86" t="s">
        <v>97</v>
      </c>
      <c r="E995" s="148" t="s">
        <v>98</v>
      </c>
      <c r="F995" s="762" t="s">
        <v>99</v>
      </c>
      <c r="G995" s="386"/>
      <c r="H995" s="386"/>
      <c r="I995" s="758"/>
    </row>
    <row r="996" spans="1:9">
      <c r="A996" s="521"/>
      <c r="B996" s="485"/>
      <c r="C996" s="485"/>
      <c r="D996" s="521"/>
      <c r="E996" s="522"/>
      <c r="F996" s="484"/>
      <c r="G996" s="386" t="s">
        <v>449</v>
      </c>
      <c r="H996" s="386" t="s">
        <v>1025</v>
      </c>
      <c r="I996" s="758"/>
    </row>
    <row r="997" spans="1:9">
      <c r="A997" s="521"/>
      <c r="B997" s="522"/>
      <c r="C997" s="522"/>
      <c r="D997" s="521"/>
      <c r="E997" s="522"/>
      <c r="F997" s="764"/>
      <c r="G997" s="386"/>
      <c r="H997" s="386"/>
      <c r="I997" s="758"/>
    </row>
    <row r="998" spans="1:9">
      <c r="A998" s="521"/>
      <c r="B998" s="522"/>
      <c r="C998" s="522"/>
      <c r="D998" s="521"/>
      <c r="E998" s="522"/>
      <c r="F998" s="764"/>
      <c r="G998" s="386"/>
      <c r="H998" s="386"/>
      <c r="I998" s="758"/>
    </row>
    <row r="999" spans="1:9">
      <c r="A999" s="521"/>
      <c r="B999" s="522"/>
      <c r="C999" s="522"/>
      <c r="D999" s="521"/>
      <c r="E999" s="522"/>
      <c r="F999" s="764"/>
      <c r="G999" s="386"/>
      <c r="H999" s="386"/>
      <c r="I999" s="758"/>
    </row>
    <row r="1000" spans="1:9">
      <c r="A1000" s="521"/>
      <c r="B1000" s="522"/>
      <c r="C1000" s="522"/>
      <c r="D1000" s="521"/>
      <c r="E1000" s="522"/>
      <c r="F1000" s="764"/>
      <c r="G1000" s="386"/>
      <c r="H1000" s="386"/>
      <c r="I1000" s="758"/>
    </row>
    <row r="1001" spans="1:9">
      <c r="A1001" s="481"/>
      <c r="B1001" s="485"/>
      <c r="C1001" s="485"/>
      <c r="D1001" s="481"/>
      <c r="E1001" s="485"/>
      <c r="F1001" s="759"/>
      <c r="G1001" s="386"/>
      <c r="H1001" s="386"/>
      <c r="I1001" s="758"/>
    </row>
    <row r="1002" spans="1:9">
      <c r="A1002" s="521"/>
      <c r="B1002" s="522"/>
      <c r="C1002" s="522"/>
      <c r="D1002" s="521"/>
      <c r="E1002" s="522"/>
      <c r="F1002" s="764"/>
      <c r="G1002" s="386"/>
      <c r="H1002" s="386"/>
      <c r="I1002" s="758"/>
    </row>
    <row r="1003" spans="1:9">
      <c r="A1003" s="521"/>
      <c r="B1003" s="522"/>
      <c r="C1003" s="522"/>
      <c r="D1003" s="521"/>
      <c r="E1003" s="522"/>
      <c r="F1003" s="764"/>
      <c r="G1003" s="386"/>
      <c r="H1003" s="386"/>
      <c r="I1003" s="758"/>
    </row>
    <row r="1004" spans="1:9">
      <c r="A1004" s="521"/>
      <c r="B1004" s="522"/>
      <c r="C1004" s="522"/>
      <c r="D1004" s="521"/>
      <c r="E1004" s="522"/>
      <c r="F1004" s="764"/>
      <c r="G1004" s="386"/>
      <c r="H1004" s="386"/>
      <c r="I1004" s="758"/>
    </row>
    <row r="1005" spans="1:9">
      <c r="A1005" s="426"/>
      <c r="B1005" s="579"/>
      <c r="C1005" s="435"/>
      <c r="D1005" s="426"/>
      <c r="E1005" s="435"/>
      <c r="F1005" s="760"/>
      <c r="G1005" s="386"/>
      <c r="H1005" s="386"/>
      <c r="I1005" s="758"/>
    </row>
    <row r="1006" spans="1:9">
      <c r="A1006" s="426"/>
      <c r="B1006" s="579"/>
      <c r="C1006" s="435"/>
      <c r="D1006" s="426"/>
      <c r="E1006" s="435"/>
      <c r="F1006" s="760"/>
      <c r="G1006" s="386"/>
      <c r="H1006" s="386"/>
      <c r="I1006" s="758"/>
    </row>
    <row r="1007" spans="1:9">
      <c r="A1007" s="754"/>
      <c r="B1007" s="754"/>
      <c r="C1007" s="754"/>
      <c r="D1007" s="754"/>
      <c r="E1007" s="164"/>
      <c r="F1007" s="103"/>
      <c r="G1007" s="757"/>
      <c r="H1007" s="757"/>
      <c r="I1007" s="758"/>
    </row>
    <row r="1008" spans="1:9" ht="13.5" thickBot="1">
      <c r="A1008" s="102"/>
      <c r="B1008" s="102"/>
      <c r="C1008" s="102"/>
      <c r="D1008" s="102"/>
      <c r="E1008" s="73" t="s">
        <v>107</v>
      </c>
      <c r="F1008" s="130">
        <v>-252.76</v>
      </c>
      <c r="G1008" s="757"/>
      <c r="H1008" s="757"/>
      <c r="I1008" s="758"/>
    </row>
    <row r="1009" spans="1:9" ht="13.5" thickTop="1">
      <c r="A1009" s="102"/>
      <c r="B1009" s="102"/>
      <c r="C1009" s="102"/>
      <c r="D1009" s="102"/>
      <c r="E1009" s="152"/>
      <c r="F1009" s="123"/>
      <c r="G1009" s="757"/>
      <c r="H1009" s="757"/>
      <c r="I1009" s="758"/>
    </row>
    <row r="1010" spans="1:9">
      <c r="A1010" s="102"/>
      <c r="B1010" s="102"/>
      <c r="C1010" s="102"/>
      <c r="D1010" s="102"/>
      <c r="E1010" s="152"/>
      <c r="F1010" s="123"/>
      <c r="G1010" s="757"/>
      <c r="H1010" s="757"/>
      <c r="I1010" s="758"/>
    </row>
    <row r="1011" spans="1:9" ht="13.5" thickBot="1">
      <c r="A1011" s="95" t="s">
        <v>112</v>
      </c>
      <c r="B1011" s="102"/>
      <c r="C1011" s="102"/>
      <c r="D1011" s="102"/>
      <c r="E1011" s="152"/>
      <c r="F1011" s="130">
        <v>-252.76</v>
      </c>
      <c r="G1011" s="757"/>
      <c r="H1011" s="757"/>
      <c r="I1011" s="758"/>
    </row>
    <row r="1012" spans="1:9" ht="13.5" thickTop="1">
      <c r="A1012" s="102"/>
      <c r="B1012" s="102"/>
      <c r="C1012" s="102"/>
      <c r="D1012" s="102"/>
      <c r="E1012" s="152"/>
      <c r="F1012" s="123"/>
      <c r="G1012" s="757"/>
      <c r="H1012" s="757"/>
      <c r="I1012" s="758"/>
    </row>
    <row r="1013" spans="1:9">
      <c r="A1013" s="69" t="s">
        <v>113</v>
      </c>
      <c r="B1013" s="559"/>
      <c r="C1013" s="559"/>
      <c r="D1013" s="102"/>
      <c r="E1013" s="152"/>
      <c r="F1013" s="498"/>
      <c r="G1013" s="757"/>
      <c r="H1013" s="757"/>
      <c r="I1013" s="758"/>
    </row>
    <row r="1014" spans="1:9">
      <c r="A1014" s="559"/>
      <c r="B1014" s="559"/>
      <c r="C1014" s="559"/>
      <c r="D1014" s="102"/>
      <c r="E1014" s="152"/>
      <c r="F1014" s="559"/>
      <c r="G1014" s="757"/>
      <c r="H1014" s="757"/>
      <c r="I1014" s="758"/>
    </row>
    <row r="1015" spans="1:9">
      <c r="A1015" s="81" t="s">
        <v>86</v>
      </c>
      <c r="B1015" s="81" t="s">
        <v>87</v>
      </c>
      <c r="C1015" s="81" t="s">
        <v>88</v>
      </c>
      <c r="D1015" s="81"/>
      <c r="E1015" s="146" t="s">
        <v>89</v>
      </c>
      <c r="F1015" s="761" t="s">
        <v>90</v>
      </c>
      <c r="G1015" s="386"/>
      <c r="H1015" s="386"/>
      <c r="I1015" s="758"/>
    </row>
    <row r="1016" spans="1:9">
      <c r="A1016" s="86" t="s">
        <v>94</v>
      </c>
      <c r="B1016" s="86" t="s">
        <v>95</v>
      </c>
      <c r="C1016" s="86" t="s">
        <v>96</v>
      </c>
      <c r="D1016" s="86" t="s">
        <v>97</v>
      </c>
      <c r="E1016" s="148" t="s">
        <v>98</v>
      </c>
      <c r="F1016" s="762" t="s">
        <v>99</v>
      </c>
      <c r="G1016" s="386"/>
      <c r="H1016" s="386"/>
      <c r="I1016" s="758"/>
    </row>
    <row r="1017" spans="1:9" ht="15">
      <c r="A1017" s="521" t="s">
        <v>322</v>
      </c>
      <c r="B1017" s="522" t="s">
        <v>943</v>
      </c>
      <c r="C1017" s="424" t="s">
        <v>331</v>
      </c>
      <c r="D1017" s="521" t="s">
        <v>944</v>
      </c>
      <c r="E1017" s="522">
        <v>201611</v>
      </c>
      <c r="F1017" s="523">
        <v>14.29</v>
      </c>
      <c r="G1017" s="416" t="s">
        <v>535</v>
      </c>
      <c r="H1017" s="416" t="s">
        <v>223</v>
      </c>
    </row>
    <row r="1018" spans="1:9">
      <c r="A1018" s="521" t="s">
        <v>322</v>
      </c>
      <c r="B1018" s="522" t="s">
        <v>943</v>
      </c>
      <c r="C1018" s="423" t="s">
        <v>331</v>
      </c>
      <c r="D1018" s="521" t="s">
        <v>944</v>
      </c>
      <c r="E1018" s="522">
        <v>201611</v>
      </c>
      <c r="F1018" s="523">
        <v>48.86</v>
      </c>
      <c r="G1018" s="416" t="s">
        <v>535</v>
      </c>
      <c r="H1018" s="416" t="s">
        <v>223</v>
      </c>
    </row>
    <row r="1019" spans="1:9">
      <c r="A1019" s="521" t="s">
        <v>318</v>
      </c>
      <c r="B1019" s="522" t="s">
        <v>891</v>
      </c>
      <c r="C1019" s="423" t="s">
        <v>331</v>
      </c>
      <c r="D1019" s="521" t="s">
        <v>892</v>
      </c>
      <c r="E1019" s="522">
        <v>201611</v>
      </c>
      <c r="F1019" s="523">
        <v>-21836.07</v>
      </c>
      <c r="G1019" s="416" t="s">
        <v>535</v>
      </c>
      <c r="H1019" s="416" t="s">
        <v>223</v>
      </c>
    </row>
    <row r="1020" spans="1:9">
      <c r="A1020" s="521" t="s">
        <v>318</v>
      </c>
      <c r="B1020" s="522" t="s">
        <v>891</v>
      </c>
      <c r="C1020" s="423" t="s">
        <v>331</v>
      </c>
      <c r="D1020" s="521" t="s">
        <v>892</v>
      </c>
      <c r="E1020" s="522">
        <v>201611</v>
      </c>
      <c r="F1020" s="523">
        <v>14181.41</v>
      </c>
      <c r="G1020" s="416" t="s">
        <v>535</v>
      </c>
      <c r="H1020" s="416" t="s">
        <v>223</v>
      </c>
    </row>
    <row r="1021" spans="1:9">
      <c r="A1021" s="521" t="s">
        <v>322</v>
      </c>
      <c r="B1021" s="522" t="s">
        <v>1055</v>
      </c>
      <c r="C1021" s="423" t="s">
        <v>331</v>
      </c>
      <c r="D1021" s="521" t="s">
        <v>1056</v>
      </c>
      <c r="E1021" s="522">
        <v>201611</v>
      </c>
      <c r="F1021" s="523">
        <v>9.75</v>
      </c>
      <c r="G1021" s="416" t="s">
        <v>535</v>
      </c>
      <c r="H1021" s="416" t="s">
        <v>223</v>
      </c>
    </row>
    <row r="1022" spans="1:9">
      <c r="A1022" s="521" t="s">
        <v>322</v>
      </c>
      <c r="B1022" s="522" t="s">
        <v>1055</v>
      </c>
      <c r="C1022" s="423" t="s">
        <v>331</v>
      </c>
      <c r="D1022" s="521" t="s">
        <v>1056</v>
      </c>
      <c r="E1022" s="522">
        <v>201611</v>
      </c>
      <c r="F1022" s="523">
        <v>194.01</v>
      </c>
      <c r="G1022" s="416" t="s">
        <v>535</v>
      </c>
      <c r="H1022" s="416" t="s">
        <v>223</v>
      </c>
    </row>
    <row r="1023" spans="1:9">
      <c r="A1023" s="521" t="s">
        <v>318</v>
      </c>
      <c r="B1023" s="522" t="s">
        <v>1055</v>
      </c>
      <c r="C1023" s="423" t="s">
        <v>331</v>
      </c>
      <c r="D1023" s="521" t="s">
        <v>1056</v>
      </c>
      <c r="E1023" s="522">
        <v>201611</v>
      </c>
      <c r="F1023" s="523">
        <v>84.8</v>
      </c>
      <c r="G1023" s="416" t="s">
        <v>535</v>
      </c>
      <c r="H1023" s="416" t="s">
        <v>223</v>
      </c>
    </row>
    <row r="1024" spans="1:9">
      <c r="A1024" s="521" t="s">
        <v>318</v>
      </c>
      <c r="B1024" s="522" t="s">
        <v>1081</v>
      </c>
      <c r="C1024" s="423" t="s">
        <v>331</v>
      </c>
      <c r="D1024" s="521" t="s">
        <v>1082</v>
      </c>
      <c r="E1024" s="522">
        <v>201611</v>
      </c>
      <c r="F1024" s="523">
        <v>-584.21</v>
      </c>
      <c r="G1024" s="416" t="s">
        <v>535</v>
      </c>
      <c r="H1024" s="416" t="s">
        <v>223</v>
      </c>
    </row>
    <row r="1025" spans="1:8">
      <c r="A1025" s="521" t="s">
        <v>318</v>
      </c>
      <c r="B1025" s="522" t="s">
        <v>1083</v>
      </c>
      <c r="C1025" s="423" t="s">
        <v>331</v>
      </c>
      <c r="D1025" s="521" t="s">
        <v>1084</v>
      </c>
      <c r="E1025" s="522">
        <v>201611</v>
      </c>
      <c r="F1025" s="523">
        <v>2729.79</v>
      </c>
      <c r="G1025" s="416" t="s">
        <v>535</v>
      </c>
      <c r="H1025" s="416" t="s">
        <v>223</v>
      </c>
    </row>
    <row r="1026" spans="1:8" ht="15">
      <c r="A1026" s="521" t="s">
        <v>318</v>
      </c>
      <c r="B1026" s="522" t="s">
        <v>1010</v>
      </c>
      <c r="C1026" s="424" t="s">
        <v>331</v>
      </c>
      <c r="D1026" s="521" t="s">
        <v>1011</v>
      </c>
      <c r="E1026" s="522">
        <v>201611</v>
      </c>
      <c r="F1026" s="523">
        <v>0.41</v>
      </c>
      <c r="G1026" s="416" t="s">
        <v>584</v>
      </c>
      <c r="H1026" s="416" t="s">
        <v>583</v>
      </c>
    </row>
    <row r="1027" spans="1:8" ht="15">
      <c r="A1027" s="521" t="s">
        <v>318</v>
      </c>
      <c r="B1027" s="522" t="s">
        <v>1010</v>
      </c>
      <c r="C1027" s="424" t="s">
        <v>331</v>
      </c>
      <c r="D1027" s="521" t="s">
        <v>1011</v>
      </c>
      <c r="E1027" s="522">
        <v>201611</v>
      </c>
      <c r="F1027" s="523">
        <v>5.27</v>
      </c>
      <c r="G1027" s="416" t="s">
        <v>584</v>
      </c>
      <c r="H1027" s="416" t="s">
        <v>583</v>
      </c>
    </row>
    <row r="1028" spans="1:8">
      <c r="A1028" s="521" t="s">
        <v>318</v>
      </c>
      <c r="B1028" s="522" t="s">
        <v>1057</v>
      </c>
      <c r="C1028" s="423" t="s">
        <v>331</v>
      </c>
      <c r="D1028" s="521" t="s">
        <v>1058</v>
      </c>
      <c r="E1028" s="522">
        <v>201611</v>
      </c>
      <c r="F1028" s="523">
        <v>204.29</v>
      </c>
      <c r="G1028" s="416" t="s">
        <v>584</v>
      </c>
      <c r="H1028" s="416" t="s">
        <v>583</v>
      </c>
    </row>
    <row r="1029" spans="1:8">
      <c r="A1029" s="521" t="s">
        <v>318</v>
      </c>
      <c r="B1029" s="522" t="s">
        <v>1057</v>
      </c>
      <c r="C1029" s="423" t="s">
        <v>331</v>
      </c>
      <c r="D1029" s="521" t="s">
        <v>1058</v>
      </c>
      <c r="E1029" s="522">
        <v>201611</v>
      </c>
      <c r="F1029" s="523">
        <v>3012.96</v>
      </c>
      <c r="G1029" s="416" t="s">
        <v>584</v>
      </c>
      <c r="H1029" s="416" t="s">
        <v>583</v>
      </c>
    </row>
    <row r="1030" spans="1:8">
      <c r="A1030" s="521" t="s">
        <v>318</v>
      </c>
      <c r="B1030" s="522" t="s">
        <v>1075</v>
      </c>
      <c r="C1030" s="423" t="s">
        <v>331</v>
      </c>
      <c r="D1030" s="521" t="s">
        <v>1076</v>
      </c>
      <c r="E1030" s="522">
        <v>201611</v>
      </c>
      <c r="F1030" s="523">
        <v>-5153.08</v>
      </c>
      <c r="G1030" s="416" t="s">
        <v>535</v>
      </c>
      <c r="H1030" s="416" t="s">
        <v>223</v>
      </c>
    </row>
    <row r="1031" spans="1:8">
      <c r="A1031" s="521" t="s">
        <v>318</v>
      </c>
      <c r="B1031" s="522" t="s">
        <v>1053</v>
      </c>
      <c r="C1031" s="423" t="s">
        <v>331</v>
      </c>
      <c r="D1031" s="521" t="s">
        <v>1054</v>
      </c>
      <c r="E1031" s="522">
        <v>201611</v>
      </c>
      <c r="F1031" s="523">
        <v>24.59</v>
      </c>
      <c r="G1031" s="416" t="s">
        <v>535</v>
      </c>
      <c r="H1031" s="416" t="s">
        <v>223</v>
      </c>
    </row>
    <row r="1032" spans="1:8">
      <c r="A1032" s="521" t="s">
        <v>322</v>
      </c>
      <c r="B1032" s="522" t="s">
        <v>943</v>
      </c>
      <c r="C1032" s="423" t="s">
        <v>331</v>
      </c>
      <c r="D1032" s="521" t="s">
        <v>944</v>
      </c>
      <c r="E1032" s="522">
        <v>201612</v>
      </c>
      <c r="F1032" s="523">
        <v>-327.88</v>
      </c>
      <c r="G1032" s="416" t="s">
        <v>535</v>
      </c>
      <c r="H1032" s="416" t="s">
        <v>223</v>
      </c>
    </row>
    <row r="1033" spans="1:8" ht="15">
      <c r="A1033" s="521" t="s">
        <v>322</v>
      </c>
      <c r="B1033" s="522" t="s">
        <v>943</v>
      </c>
      <c r="C1033" s="424" t="s">
        <v>331</v>
      </c>
      <c r="D1033" s="521" t="s">
        <v>944</v>
      </c>
      <c r="E1033" s="522">
        <v>201612</v>
      </c>
      <c r="F1033" s="523">
        <v>-95.91</v>
      </c>
      <c r="G1033" s="416" t="s">
        <v>535</v>
      </c>
      <c r="H1033" s="416" t="s">
        <v>223</v>
      </c>
    </row>
    <row r="1034" spans="1:8" ht="15">
      <c r="A1034" s="521" t="s">
        <v>322</v>
      </c>
      <c r="B1034" s="522" t="s">
        <v>1122</v>
      </c>
      <c r="C1034" s="424" t="s">
        <v>331</v>
      </c>
      <c r="D1034" s="521" t="s">
        <v>1123</v>
      </c>
      <c r="E1034" s="522">
        <v>201612</v>
      </c>
      <c r="F1034" s="523">
        <v>7176.99</v>
      </c>
      <c r="G1034" s="416" t="s">
        <v>535</v>
      </c>
      <c r="H1034" s="416" t="s">
        <v>223</v>
      </c>
    </row>
    <row r="1035" spans="1:8" ht="15">
      <c r="A1035" s="521" t="s">
        <v>322</v>
      </c>
      <c r="B1035" s="522" t="s">
        <v>1122</v>
      </c>
      <c r="C1035" s="424" t="s">
        <v>331</v>
      </c>
      <c r="D1035" s="521" t="s">
        <v>1123</v>
      </c>
      <c r="E1035" s="522">
        <v>201612</v>
      </c>
      <c r="F1035" s="523">
        <v>81125.009999999995</v>
      </c>
      <c r="G1035" s="416" t="s">
        <v>535</v>
      </c>
      <c r="H1035" s="416" t="s">
        <v>223</v>
      </c>
    </row>
    <row r="1036" spans="1:8" ht="15">
      <c r="A1036" s="521" t="s">
        <v>318</v>
      </c>
      <c r="B1036" s="522" t="s">
        <v>893</v>
      </c>
      <c r="C1036" s="424" t="s">
        <v>331</v>
      </c>
      <c r="D1036" s="521" t="s">
        <v>894</v>
      </c>
      <c r="E1036" s="522">
        <v>201612</v>
      </c>
      <c r="F1036" s="523">
        <v>8877.27</v>
      </c>
      <c r="G1036" s="416" t="s">
        <v>535</v>
      </c>
      <c r="H1036" s="416" t="s">
        <v>223</v>
      </c>
    </row>
    <row r="1037" spans="1:8">
      <c r="A1037" s="521" t="s">
        <v>318</v>
      </c>
      <c r="B1037" s="522" t="s">
        <v>969</v>
      </c>
      <c r="C1037" s="423" t="s">
        <v>331</v>
      </c>
      <c r="D1037" s="521" t="s">
        <v>970</v>
      </c>
      <c r="E1037" s="522">
        <v>201612</v>
      </c>
      <c r="F1037" s="523">
        <v>-8500.25</v>
      </c>
      <c r="G1037" s="416" t="s">
        <v>535</v>
      </c>
      <c r="H1037" s="416" t="s">
        <v>223</v>
      </c>
    </row>
    <row r="1038" spans="1:8">
      <c r="A1038" s="521" t="s">
        <v>318</v>
      </c>
      <c r="B1038" s="522" t="s">
        <v>969</v>
      </c>
      <c r="C1038" s="423" t="s">
        <v>331</v>
      </c>
      <c r="D1038" s="521" t="s">
        <v>970</v>
      </c>
      <c r="E1038" s="522">
        <v>201612</v>
      </c>
      <c r="F1038" s="523">
        <v>8500.25</v>
      </c>
      <c r="G1038" s="416" t="s">
        <v>535</v>
      </c>
      <c r="H1038" s="416" t="s">
        <v>223</v>
      </c>
    </row>
    <row r="1039" spans="1:8">
      <c r="A1039" s="521" t="s">
        <v>322</v>
      </c>
      <c r="B1039" s="522" t="s">
        <v>1124</v>
      </c>
      <c r="C1039" s="423" t="s">
        <v>331</v>
      </c>
      <c r="D1039" s="521" t="s">
        <v>1125</v>
      </c>
      <c r="E1039" s="522">
        <v>201612</v>
      </c>
      <c r="F1039" s="523">
        <v>426.74</v>
      </c>
      <c r="G1039" s="416" t="s">
        <v>535</v>
      </c>
      <c r="H1039" s="416" t="s">
        <v>223</v>
      </c>
    </row>
    <row r="1040" spans="1:8" ht="15">
      <c r="A1040" s="521" t="s">
        <v>322</v>
      </c>
      <c r="B1040" s="522" t="s">
        <v>1124</v>
      </c>
      <c r="C1040" s="424" t="s">
        <v>331</v>
      </c>
      <c r="D1040" s="521" t="s">
        <v>1125</v>
      </c>
      <c r="E1040" s="522">
        <v>201612</v>
      </c>
      <c r="F1040" s="523">
        <v>105619.29</v>
      </c>
      <c r="G1040" s="416" t="s">
        <v>535</v>
      </c>
      <c r="H1040" s="416" t="s">
        <v>223</v>
      </c>
    </row>
    <row r="1041" spans="1:8" ht="15">
      <c r="A1041" s="521" t="s">
        <v>318</v>
      </c>
      <c r="B1041" s="522" t="s">
        <v>899</v>
      </c>
      <c r="C1041" s="424" t="s">
        <v>331</v>
      </c>
      <c r="D1041" s="521" t="s">
        <v>900</v>
      </c>
      <c r="E1041" s="522">
        <v>201612</v>
      </c>
      <c r="F1041" s="523">
        <v>-78074.33</v>
      </c>
      <c r="G1041" s="416" t="s">
        <v>535</v>
      </c>
      <c r="H1041" s="416" t="s">
        <v>223</v>
      </c>
    </row>
    <row r="1042" spans="1:8">
      <c r="A1042" s="521" t="s">
        <v>318</v>
      </c>
      <c r="B1042" s="522" t="s">
        <v>899</v>
      </c>
      <c r="C1042" s="423" t="s">
        <v>331</v>
      </c>
      <c r="D1042" s="521" t="s">
        <v>900</v>
      </c>
      <c r="E1042" s="522">
        <v>201612</v>
      </c>
      <c r="F1042" s="523">
        <v>539.79</v>
      </c>
      <c r="G1042" s="416" t="s">
        <v>535</v>
      </c>
      <c r="H1042" s="416" t="s">
        <v>223</v>
      </c>
    </row>
    <row r="1043" spans="1:8">
      <c r="A1043" s="521" t="s">
        <v>318</v>
      </c>
      <c r="B1043" s="522" t="s">
        <v>899</v>
      </c>
      <c r="C1043" s="423" t="s">
        <v>331</v>
      </c>
      <c r="D1043" s="521" t="s">
        <v>900</v>
      </c>
      <c r="E1043" s="522">
        <v>201612</v>
      </c>
      <c r="F1043" s="523">
        <v>73798.64</v>
      </c>
      <c r="G1043" s="416" t="s">
        <v>535</v>
      </c>
      <c r="H1043" s="416" t="s">
        <v>223</v>
      </c>
    </row>
    <row r="1044" spans="1:8">
      <c r="A1044" s="521" t="s">
        <v>318</v>
      </c>
      <c r="B1044" s="522" t="s">
        <v>891</v>
      </c>
      <c r="C1044" s="423" t="s">
        <v>331</v>
      </c>
      <c r="D1044" s="521" t="s">
        <v>892</v>
      </c>
      <c r="E1044" s="522">
        <v>201612</v>
      </c>
      <c r="F1044" s="523">
        <v>21.1</v>
      </c>
      <c r="G1044" s="416" t="s">
        <v>535</v>
      </c>
      <c r="H1044" s="416" t="s">
        <v>223</v>
      </c>
    </row>
    <row r="1045" spans="1:8">
      <c r="A1045" s="521" t="s">
        <v>322</v>
      </c>
      <c r="B1045" s="522" t="s">
        <v>1055</v>
      </c>
      <c r="C1045" s="423" t="s">
        <v>331</v>
      </c>
      <c r="D1045" s="521" t="s">
        <v>1056</v>
      </c>
      <c r="E1045" s="522">
        <v>201612</v>
      </c>
      <c r="F1045" s="523">
        <v>-16.07</v>
      </c>
      <c r="G1045" s="416" t="s">
        <v>535</v>
      </c>
      <c r="H1045" s="416" t="s">
        <v>223</v>
      </c>
    </row>
    <row r="1046" spans="1:8" ht="15">
      <c r="A1046" s="481" t="s">
        <v>322</v>
      </c>
      <c r="B1046" s="485" t="s">
        <v>1055</v>
      </c>
      <c r="C1046" s="428" t="s">
        <v>331</v>
      </c>
      <c r="D1046" s="481" t="s">
        <v>1056</v>
      </c>
      <c r="E1046" s="485">
        <v>201612</v>
      </c>
      <c r="F1046" s="482">
        <v>-0.81</v>
      </c>
      <c r="G1046" s="416" t="s">
        <v>535</v>
      </c>
      <c r="H1046" s="416" t="s">
        <v>223</v>
      </c>
    </row>
    <row r="1047" spans="1:8">
      <c r="A1047" s="521" t="s">
        <v>318</v>
      </c>
      <c r="B1047" s="522" t="s">
        <v>1055</v>
      </c>
      <c r="C1047" s="423" t="s">
        <v>331</v>
      </c>
      <c r="D1047" s="521" t="s">
        <v>1056</v>
      </c>
      <c r="E1047" s="522">
        <v>201612</v>
      </c>
      <c r="F1047" s="523">
        <v>-7.02</v>
      </c>
      <c r="G1047" s="416" t="s">
        <v>535</v>
      </c>
      <c r="H1047" s="416" t="s">
        <v>223</v>
      </c>
    </row>
    <row r="1048" spans="1:8">
      <c r="A1048" s="521" t="s">
        <v>318</v>
      </c>
      <c r="B1048" s="522" t="s">
        <v>1000</v>
      </c>
      <c r="C1048" s="423" t="s">
        <v>343</v>
      </c>
      <c r="D1048" s="521" t="s">
        <v>1001</v>
      </c>
      <c r="E1048" s="522">
        <v>201612</v>
      </c>
      <c r="F1048" s="523">
        <v>-135.94999999999999</v>
      </c>
      <c r="G1048" s="416" t="s">
        <v>535</v>
      </c>
      <c r="H1048" s="416" t="s">
        <v>223</v>
      </c>
    </row>
    <row r="1049" spans="1:8" ht="15">
      <c r="A1049" s="521" t="s">
        <v>318</v>
      </c>
      <c r="B1049" s="522" t="s">
        <v>1000</v>
      </c>
      <c r="C1049" s="424" t="s">
        <v>343</v>
      </c>
      <c r="D1049" s="521" t="s">
        <v>1001</v>
      </c>
      <c r="E1049" s="522">
        <v>201612</v>
      </c>
      <c r="F1049" s="523">
        <v>-1.1499999999999999</v>
      </c>
      <c r="G1049" s="416" t="s">
        <v>535</v>
      </c>
      <c r="H1049" s="416" t="s">
        <v>223</v>
      </c>
    </row>
    <row r="1050" spans="1:8" ht="15">
      <c r="A1050" s="521" t="s">
        <v>318</v>
      </c>
      <c r="B1050" s="522" t="s">
        <v>1081</v>
      </c>
      <c r="C1050" s="424" t="s">
        <v>331</v>
      </c>
      <c r="D1050" s="521" t="s">
        <v>1082</v>
      </c>
      <c r="E1050" s="522">
        <v>201612</v>
      </c>
      <c r="F1050" s="523">
        <v>95.5</v>
      </c>
      <c r="G1050" s="416" t="s">
        <v>535</v>
      </c>
      <c r="H1050" s="416" t="s">
        <v>223</v>
      </c>
    </row>
    <row r="1051" spans="1:8" ht="15">
      <c r="A1051" s="481" t="s">
        <v>318</v>
      </c>
      <c r="B1051" s="485" t="s">
        <v>1008</v>
      </c>
      <c r="C1051" s="428" t="s">
        <v>331</v>
      </c>
      <c r="D1051" s="481" t="s">
        <v>1009</v>
      </c>
      <c r="E1051" s="485">
        <v>201612</v>
      </c>
      <c r="F1051" s="482">
        <v>-66.069999999999993</v>
      </c>
      <c r="G1051" s="416" t="s">
        <v>535</v>
      </c>
      <c r="H1051" s="416" t="s">
        <v>223</v>
      </c>
    </row>
    <row r="1052" spans="1:8" ht="15">
      <c r="A1052" s="481" t="s">
        <v>318</v>
      </c>
      <c r="B1052" s="485" t="s">
        <v>1083</v>
      </c>
      <c r="C1052" s="428" t="s">
        <v>331</v>
      </c>
      <c r="D1052" s="481" t="s">
        <v>1084</v>
      </c>
      <c r="E1052" s="485">
        <v>201612</v>
      </c>
      <c r="F1052" s="482">
        <v>215.03</v>
      </c>
      <c r="G1052" s="416" t="s">
        <v>535</v>
      </c>
      <c r="H1052" s="416" t="s">
        <v>223</v>
      </c>
    </row>
    <row r="1053" spans="1:8" ht="15">
      <c r="A1053" s="521" t="s">
        <v>318</v>
      </c>
      <c r="B1053" s="522" t="s">
        <v>1010</v>
      </c>
      <c r="C1053" s="424" t="s">
        <v>331</v>
      </c>
      <c r="D1053" s="521" t="s">
        <v>1011</v>
      </c>
      <c r="E1053" s="522">
        <v>201612</v>
      </c>
      <c r="F1053" s="523">
        <v>-2.58</v>
      </c>
      <c r="G1053" s="416" t="s">
        <v>584</v>
      </c>
      <c r="H1053" s="416" t="s">
        <v>583</v>
      </c>
    </row>
    <row r="1054" spans="1:8" ht="15">
      <c r="A1054" s="521" t="s">
        <v>318</v>
      </c>
      <c r="B1054" s="522" t="s">
        <v>1010</v>
      </c>
      <c r="C1054" s="424" t="s">
        <v>331</v>
      </c>
      <c r="D1054" s="521" t="s">
        <v>1011</v>
      </c>
      <c r="E1054" s="522">
        <v>201612</v>
      </c>
      <c r="F1054" s="523">
        <v>-0.2</v>
      </c>
      <c r="G1054" s="416" t="s">
        <v>584</v>
      </c>
      <c r="H1054" s="416" t="s">
        <v>583</v>
      </c>
    </row>
    <row r="1055" spans="1:8" ht="15">
      <c r="A1055" s="863" t="s">
        <v>318</v>
      </c>
      <c r="B1055" s="864" t="s">
        <v>1057</v>
      </c>
      <c r="C1055" s="424" t="s">
        <v>331</v>
      </c>
      <c r="D1055" s="863" t="s">
        <v>1058</v>
      </c>
      <c r="E1055" s="864">
        <v>201612</v>
      </c>
      <c r="F1055" s="865">
        <v>280.83</v>
      </c>
      <c r="G1055" s="416" t="s">
        <v>584</v>
      </c>
      <c r="H1055" s="416" t="s">
        <v>583</v>
      </c>
    </row>
    <row r="1056" spans="1:8" ht="15">
      <c r="A1056" s="863" t="s">
        <v>318</v>
      </c>
      <c r="B1056" s="864" t="s">
        <v>1057</v>
      </c>
      <c r="C1056" s="424" t="s">
        <v>331</v>
      </c>
      <c r="D1056" s="863" t="s">
        <v>1058</v>
      </c>
      <c r="E1056" s="864">
        <v>201612</v>
      </c>
      <c r="F1056" s="865">
        <v>4142.01</v>
      </c>
      <c r="G1056" s="416" t="s">
        <v>584</v>
      </c>
      <c r="H1056" s="416" t="s">
        <v>583</v>
      </c>
    </row>
    <row r="1057" spans="1:8" ht="15">
      <c r="A1057" s="863" t="s">
        <v>318</v>
      </c>
      <c r="B1057" s="864" t="s">
        <v>1075</v>
      </c>
      <c r="C1057" s="424" t="s">
        <v>331</v>
      </c>
      <c r="D1057" s="863" t="s">
        <v>1076</v>
      </c>
      <c r="E1057" s="864">
        <v>201612</v>
      </c>
      <c r="F1057" s="865">
        <v>2459.19</v>
      </c>
      <c r="G1057" s="416" t="s">
        <v>535</v>
      </c>
      <c r="H1057" s="416" t="s">
        <v>223</v>
      </c>
    </row>
    <row r="1058" spans="1:8" ht="15">
      <c r="A1058" s="863" t="s">
        <v>318</v>
      </c>
      <c r="B1058" s="864" t="s">
        <v>1053</v>
      </c>
      <c r="C1058" s="424" t="s">
        <v>331</v>
      </c>
      <c r="D1058" s="863" t="s">
        <v>1054</v>
      </c>
      <c r="E1058" s="864">
        <v>201612</v>
      </c>
      <c r="F1058" s="865">
        <v>-5.45</v>
      </c>
      <c r="G1058" s="416" t="s">
        <v>535</v>
      </c>
      <c r="H1058" s="416" t="s">
        <v>223</v>
      </c>
    </row>
    <row r="1059" spans="1:8" ht="15">
      <c r="A1059" s="863" t="s">
        <v>322</v>
      </c>
      <c r="B1059" s="864" t="s">
        <v>1144</v>
      </c>
      <c r="C1059" s="424" t="s">
        <v>331</v>
      </c>
      <c r="D1059" s="863" t="s">
        <v>1145</v>
      </c>
      <c r="E1059" s="864">
        <v>201701</v>
      </c>
      <c r="F1059" s="865">
        <v>389829.62</v>
      </c>
      <c r="G1059" s="416" t="s">
        <v>535</v>
      </c>
      <c r="H1059" s="416" t="s">
        <v>223</v>
      </c>
    </row>
    <row r="1060" spans="1:8" ht="15">
      <c r="A1060" s="863" t="s">
        <v>322</v>
      </c>
      <c r="B1060" s="864" t="s">
        <v>943</v>
      </c>
      <c r="C1060" s="424" t="s">
        <v>331</v>
      </c>
      <c r="D1060" s="863" t="s">
        <v>944</v>
      </c>
      <c r="E1060" s="864">
        <v>201701</v>
      </c>
      <c r="F1060" s="865">
        <v>11.67</v>
      </c>
      <c r="G1060" s="416" t="s">
        <v>535</v>
      </c>
      <c r="H1060" s="416" t="s">
        <v>223</v>
      </c>
    </row>
    <row r="1061" spans="1:8" ht="15">
      <c r="A1061" s="863" t="s">
        <v>322</v>
      </c>
      <c r="B1061" s="864" t="s">
        <v>943</v>
      </c>
      <c r="C1061" s="424" t="s">
        <v>331</v>
      </c>
      <c r="D1061" s="863" t="s">
        <v>944</v>
      </c>
      <c r="E1061" s="864">
        <v>201701</v>
      </c>
      <c r="F1061" s="865">
        <v>39.89</v>
      </c>
      <c r="G1061" s="416" t="s">
        <v>535</v>
      </c>
      <c r="H1061" s="416" t="s">
        <v>223</v>
      </c>
    </row>
    <row r="1062" spans="1:8" ht="15">
      <c r="A1062" s="863" t="s">
        <v>322</v>
      </c>
      <c r="B1062" s="864" t="s">
        <v>1122</v>
      </c>
      <c r="C1062" s="424" t="s">
        <v>331</v>
      </c>
      <c r="D1062" s="863" t="s">
        <v>1123</v>
      </c>
      <c r="E1062" s="864">
        <v>201701</v>
      </c>
      <c r="F1062" s="865">
        <v>452.76</v>
      </c>
      <c r="G1062" s="416" t="s">
        <v>535</v>
      </c>
      <c r="H1062" s="416" t="s">
        <v>223</v>
      </c>
    </row>
    <row r="1063" spans="1:8" ht="15">
      <c r="A1063" s="863" t="s">
        <v>322</v>
      </c>
      <c r="B1063" s="864" t="s">
        <v>1122</v>
      </c>
      <c r="C1063" s="424" t="s">
        <v>331</v>
      </c>
      <c r="D1063" s="863" t="s">
        <v>1123</v>
      </c>
      <c r="E1063" s="864">
        <v>201701</v>
      </c>
      <c r="F1063" s="865">
        <v>5117.8500000000004</v>
      </c>
      <c r="G1063" s="416" t="s">
        <v>535</v>
      </c>
      <c r="H1063" s="416" t="s">
        <v>223</v>
      </c>
    </row>
    <row r="1064" spans="1:8" ht="15">
      <c r="A1064" s="863" t="s">
        <v>318</v>
      </c>
      <c r="B1064" s="864" t="s">
        <v>893</v>
      </c>
      <c r="C1064" s="424" t="s">
        <v>331</v>
      </c>
      <c r="D1064" s="863" t="s">
        <v>894</v>
      </c>
      <c r="E1064" s="864">
        <v>201701</v>
      </c>
      <c r="F1064" s="865">
        <v>68.03</v>
      </c>
      <c r="G1064" s="416" t="s">
        <v>535</v>
      </c>
      <c r="H1064" s="416" t="s">
        <v>223</v>
      </c>
    </row>
    <row r="1065" spans="1:8" ht="15">
      <c r="A1065" s="863" t="s">
        <v>318</v>
      </c>
      <c r="B1065" s="864" t="s">
        <v>969</v>
      </c>
      <c r="C1065" s="424" t="s">
        <v>331</v>
      </c>
      <c r="D1065" s="863" t="s">
        <v>970</v>
      </c>
      <c r="E1065" s="864">
        <v>201701</v>
      </c>
      <c r="F1065" s="865">
        <v>57.5</v>
      </c>
      <c r="G1065" s="416" t="s">
        <v>535</v>
      </c>
      <c r="H1065" s="416" t="s">
        <v>223</v>
      </c>
    </row>
    <row r="1066" spans="1:8" ht="15">
      <c r="A1066" s="863" t="s">
        <v>322</v>
      </c>
      <c r="B1066" s="864" t="s">
        <v>1124</v>
      </c>
      <c r="C1066" s="424" t="s">
        <v>331</v>
      </c>
      <c r="D1066" s="863" t="s">
        <v>1125</v>
      </c>
      <c r="E1066" s="864">
        <v>201701</v>
      </c>
      <c r="F1066" s="865">
        <v>12.01</v>
      </c>
      <c r="G1066" s="416" t="s">
        <v>535</v>
      </c>
      <c r="H1066" s="416" t="s">
        <v>223</v>
      </c>
    </row>
    <row r="1067" spans="1:8" ht="15">
      <c r="A1067" s="863" t="s">
        <v>322</v>
      </c>
      <c r="B1067" s="864" t="s">
        <v>1124</v>
      </c>
      <c r="C1067" s="424" t="s">
        <v>331</v>
      </c>
      <c r="D1067" s="863" t="s">
        <v>1125</v>
      </c>
      <c r="E1067" s="864">
        <v>201701</v>
      </c>
      <c r="F1067" s="865">
        <v>2970.5</v>
      </c>
      <c r="G1067" s="416" t="s">
        <v>535</v>
      </c>
      <c r="H1067" s="416" t="s">
        <v>223</v>
      </c>
    </row>
    <row r="1068" spans="1:8" ht="15">
      <c r="A1068" s="863" t="s">
        <v>322</v>
      </c>
      <c r="B1068" s="864" t="s">
        <v>1055</v>
      </c>
      <c r="C1068" s="424" t="s">
        <v>331</v>
      </c>
      <c r="D1068" s="863" t="s">
        <v>1056</v>
      </c>
      <c r="E1068" s="864">
        <v>201701</v>
      </c>
      <c r="F1068" s="865">
        <v>5.34</v>
      </c>
      <c r="G1068" s="416" t="s">
        <v>535</v>
      </c>
      <c r="H1068" s="416" t="s">
        <v>223</v>
      </c>
    </row>
    <row r="1069" spans="1:8" ht="15">
      <c r="A1069" s="863" t="s">
        <v>318</v>
      </c>
      <c r="B1069" s="864" t="s">
        <v>1055</v>
      </c>
      <c r="C1069" s="424" t="s">
        <v>331</v>
      </c>
      <c r="D1069" s="863" t="s">
        <v>1056</v>
      </c>
      <c r="E1069" s="864">
        <v>201701</v>
      </c>
      <c r="F1069" s="865">
        <v>46.51</v>
      </c>
      <c r="G1069" s="416" t="s">
        <v>535</v>
      </c>
      <c r="H1069" s="416" t="s">
        <v>223</v>
      </c>
    </row>
    <row r="1070" spans="1:8" ht="15">
      <c r="A1070" s="863" t="s">
        <v>322</v>
      </c>
      <c r="B1070" s="864" t="s">
        <v>1055</v>
      </c>
      <c r="C1070" s="424" t="s">
        <v>331</v>
      </c>
      <c r="D1070" s="863" t="s">
        <v>1056</v>
      </c>
      <c r="E1070" s="864">
        <v>201701</v>
      </c>
      <c r="F1070" s="865">
        <v>106.39</v>
      </c>
      <c r="G1070" s="416" t="s">
        <v>535</v>
      </c>
      <c r="H1070" s="416" t="s">
        <v>223</v>
      </c>
    </row>
    <row r="1071" spans="1:8" ht="15">
      <c r="A1071" s="863" t="s">
        <v>318</v>
      </c>
      <c r="B1071" s="864" t="s">
        <v>1000</v>
      </c>
      <c r="C1071" s="424" t="s">
        <v>343</v>
      </c>
      <c r="D1071" s="863" t="s">
        <v>1001</v>
      </c>
      <c r="E1071" s="864">
        <v>201701</v>
      </c>
      <c r="F1071" s="865">
        <v>0.01</v>
      </c>
      <c r="G1071" s="416" t="s">
        <v>535</v>
      </c>
      <c r="H1071" s="416" t="s">
        <v>223</v>
      </c>
    </row>
    <row r="1072" spans="1:8" ht="15">
      <c r="A1072" s="863" t="s">
        <v>318</v>
      </c>
      <c r="B1072" s="864" t="s">
        <v>1000</v>
      </c>
      <c r="C1072" s="424" t="s">
        <v>343</v>
      </c>
      <c r="D1072" s="863" t="s">
        <v>1001</v>
      </c>
      <c r="E1072" s="864">
        <v>201701</v>
      </c>
      <c r="F1072" s="865">
        <v>0.82</v>
      </c>
      <c r="G1072" s="416" t="s">
        <v>535</v>
      </c>
      <c r="H1072" s="416" t="s">
        <v>223</v>
      </c>
    </row>
    <row r="1073" spans="1:8" ht="15">
      <c r="A1073" s="863" t="s">
        <v>318</v>
      </c>
      <c r="B1073" s="864" t="s">
        <v>1081</v>
      </c>
      <c r="C1073" s="424" t="s">
        <v>331</v>
      </c>
      <c r="D1073" s="863" t="s">
        <v>1082</v>
      </c>
      <c r="E1073" s="864">
        <v>201701</v>
      </c>
      <c r="F1073" s="865">
        <v>52.21</v>
      </c>
      <c r="G1073" s="416" t="s">
        <v>535</v>
      </c>
      <c r="H1073" s="416" t="s">
        <v>223</v>
      </c>
    </row>
    <row r="1074" spans="1:8" ht="15">
      <c r="A1074" s="863" t="s">
        <v>318</v>
      </c>
      <c r="B1074" s="864" t="s">
        <v>1083</v>
      </c>
      <c r="C1074" s="424" t="s">
        <v>331</v>
      </c>
      <c r="D1074" s="863" t="s">
        <v>1084</v>
      </c>
      <c r="E1074" s="864">
        <v>201701</v>
      </c>
      <c r="F1074" s="865">
        <v>700.92</v>
      </c>
      <c r="G1074" s="416" t="s">
        <v>535</v>
      </c>
      <c r="H1074" s="416" t="s">
        <v>223</v>
      </c>
    </row>
    <row r="1075" spans="1:8" ht="15">
      <c r="A1075" s="863" t="s">
        <v>318</v>
      </c>
      <c r="B1075" s="864" t="s">
        <v>1010</v>
      </c>
      <c r="C1075" s="424" t="s">
        <v>331</v>
      </c>
      <c r="D1075" s="863" t="s">
        <v>1011</v>
      </c>
      <c r="E1075" s="864">
        <v>201701</v>
      </c>
      <c r="F1075" s="865">
        <v>-1.26</v>
      </c>
      <c r="G1075" s="416" t="s">
        <v>584</v>
      </c>
      <c r="H1075" s="416" t="s">
        <v>583</v>
      </c>
    </row>
    <row r="1076" spans="1:8" ht="15">
      <c r="A1076" s="863" t="s">
        <v>318</v>
      </c>
      <c r="B1076" s="864" t="s">
        <v>1010</v>
      </c>
      <c r="C1076" s="424" t="s">
        <v>331</v>
      </c>
      <c r="D1076" s="863" t="s">
        <v>1011</v>
      </c>
      <c r="E1076" s="864">
        <v>201701</v>
      </c>
      <c r="F1076" s="865">
        <v>-0.09</v>
      </c>
      <c r="G1076" s="416" t="s">
        <v>584</v>
      </c>
      <c r="H1076" s="416" t="s">
        <v>583</v>
      </c>
    </row>
    <row r="1077" spans="1:8" ht="15">
      <c r="A1077" s="863" t="s">
        <v>318</v>
      </c>
      <c r="B1077" s="864" t="s">
        <v>1012</v>
      </c>
      <c r="C1077" s="424" t="s">
        <v>331</v>
      </c>
      <c r="D1077" s="863" t="s">
        <v>1013</v>
      </c>
      <c r="E1077" s="864">
        <v>201701</v>
      </c>
      <c r="F1077" s="865">
        <v>-1.66</v>
      </c>
      <c r="G1077" s="416" t="s">
        <v>584</v>
      </c>
      <c r="H1077" s="416" t="s">
        <v>583</v>
      </c>
    </row>
    <row r="1078" spans="1:8" ht="15">
      <c r="A1078" s="863" t="s">
        <v>318</v>
      </c>
      <c r="B1078" s="864" t="s">
        <v>1012</v>
      </c>
      <c r="C1078" s="424" t="s">
        <v>331</v>
      </c>
      <c r="D1078" s="863" t="s">
        <v>1013</v>
      </c>
      <c r="E1078" s="864">
        <v>201701</v>
      </c>
      <c r="F1078" s="865">
        <v>-0.12</v>
      </c>
      <c r="G1078" s="416" t="s">
        <v>584</v>
      </c>
      <c r="H1078" s="416" t="s">
        <v>583</v>
      </c>
    </row>
    <row r="1079" spans="1:8" ht="15">
      <c r="A1079" s="863" t="s">
        <v>318</v>
      </c>
      <c r="B1079" s="864" t="s">
        <v>1057</v>
      </c>
      <c r="C1079" s="424" t="s">
        <v>331</v>
      </c>
      <c r="D1079" s="863" t="s">
        <v>1058</v>
      </c>
      <c r="E1079" s="864">
        <v>201701</v>
      </c>
      <c r="F1079" s="865">
        <v>319.81</v>
      </c>
      <c r="G1079" s="416" t="s">
        <v>584</v>
      </c>
      <c r="H1079" s="416" t="s">
        <v>583</v>
      </c>
    </row>
    <row r="1080" spans="1:8" ht="15">
      <c r="A1080" s="863" t="s">
        <v>318</v>
      </c>
      <c r="B1080" s="864" t="s">
        <v>1057</v>
      </c>
      <c r="C1080" s="424" t="s">
        <v>331</v>
      </c>
      <c r="D1080" s="863" t="s">
        <v>1058</v>
      </c>
      <c r="E1080" s="864">
        <v>201701</v>
      </c>
      <c r="F1080" s="865">
        <v>4717.05</v>
      </c>
      <c r="G1080" s="416" t="s">
        <v>584</v>
      </c>
      <c r="H1080" s="416" t="s">
        <v>583</v>
      </c>
    </row>
    <row r="1081" spans="1:8" ht="15">
      <c r="A1081" s="863" t="s">
        <v>318</v>
      </c>
      <c r="B1081" s="864" t="s">
        <v>1073</v>
      </c>
      <c r="C1081" s="424" t="s">
        <v>331</v>
      </c>
      <c r="D1081" s="863" t="s">
        <v>1074</v>
      </c>
      <c r="E1081" s="864">
        <v>201701</v>
      </c>
      <c r="F1081" s="865">
        <v>227.68</v>
      </c>
      <c r="G1081" s="416" t="s">
        <v>584</v>
      </c>
      <c r="H1081" s="416" t="s">
        <v>583</v>
      </c>
    </row>
    <row r="1082" spans="1:8" ht="15">
      <c r="A1082" s="863" t="s">
        <v>318</v>
      </c>
      <c r="B1082" s="864" t="s">
        <v>1073</v>
      </c>
      <c r="C1082" s="424" t="s">
        <v>331</v>
      </c>
      <c r="D1082" s="863" t="s">
        <v>1074</v>
      </c>
      <c r="E1082" s="864">
        <v>201701</v>
      </c>
      <c r="F1082" s="865">
        <v>2374.0300000000002</v>
      </c>
      <c r="G1082" s="416" t="s">
        <v>584</v>
      </c>
      <c r="H1082" s="416" t="s">
        <v>583</v>
      </c>
    </row>
    <row r="1083" spans="1:8" ht="15">
      <c r="A1083" s="863" t="s">
        <v>318</v>
      </c>
      <c r="B1083" s="864" t="s">
        <v>1075</v>
      </c>
      <c r="C1083" s="424" t="s">
        <v>331</v>
      </c>
      <c r="D1083" s="863" t="s">
        <v>1076</v>
      </c>
      <c r="E1083" s="864">
        <v>201701</v>
      </c>
      <c r="F1083" s="865">
        <v>2616.09</v>
      </c>
      <c r="G1083" s="416" t="s">
        <v>535</v>
      </c>
      <c r="H1083" s="416" t="s">
        <v>223</v>
      </c>
    </row>
    <row r="1084" spans="1:8" ht="15">
      <c r="A1084" s="863" t="s">
        <v>318</v>
      </c>
      <c r="B1084" s="864" t="s">
        <v>1053</v>
      </c>
      <c r="C1084" s="424" t="s">
        <v>331</v>
      </c>
      <c r="D1084" s="863" t="s">
        <v>1054</v>
      </c>
      <c r="E1084" s="864">
        <v>201701</v>
      </c>
      <c r="F1084" s="865">
        <v>-2.88</v>
      </c>
      <c r="G1084" s="416" t="s">
        <v>535</v>
      </c>
      <c r="H1084" s="416" t="s">
        <v>223</v>
      </c>
    </row>
    <row r="1085" spans="1:8" ht="15">
      <c r="A1085" s="863" t="s">
        <v>318</v>
      </c>
      <c r="B1085" s="864" t="s">
        <v>1142</v>
      </c>
      <c r="C1085" s="424" t="s">
        <v>331</v>
      </c>
      <c r="D1085" s="863" t="s">
        <v>1143</v>
      </c>
      <c r="E1085" s="864">
        <v>201701</v>
      </c>
      <c r="F1085" s="865">
        <v>710.48</v>
      </c>
      <c r="G1085" s="416" t="s">
        <v>535</v>
      </c>
      <c r="H1085" s="416" t="s">
        <v>223</v>
      </c>
    </row>
    <row r="1086" spans="1:8" ht="15">
      <c r="A1086" s="863" t="s">
        <v>318</v>
      </c>
      <c r="B1086" s="864" t="s">
        <v>1142</v>
      </c>
      <c r="C1086" s="424" t="s">
        <v>331</v>
      </c>
      <c r="D1086" s="863" t="s">
        <v>1143</v>
      </c>
      <c r="E1086" s="864">
        <v>201701</v>
      </c>
      <c r="F1086" s="865">
        <v>25182.32</v>
      </c>
      <c r="G1086" s="416" t="s">
        <v>535</v>
      </c>
      <c r="H1086" s="416" t="s">
        <v>223</v>
      </c>
    </row>
    <row r="1087" spans="1:8" ht="15">
      <c r="A1087" s="863"/>
      <c r="B1087" s="864"/>
      <c r="C1087" s="424"/>
      <c r="D1087" s="863"/>
      <c r="E1087" s="864"/>
      <c r="F1087" s="865"/>
      <c r="G1087" s="416"/>
      <c r="H1087" s="416"/>
    </row>
  </sheetData>
  <printOptions horizontalCentered="1"/>
  <pageMargins left="0.4" right="0.4" top="0.5" bottom="0.85" header="0.5" footer="0.5"/>
  <pageSetup scale="74" fitToHeight="0" orientation="landscape" r:id="rId1"/>
  <headerFooter alignWithMargins="0">
    <oddFooter>&amp;R&amp;"Arial,Bold"APPENDIX A
SCHEDULE 3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9"/>
  <sheetViews>
    <sheetView workbookViewId="0"/>
  </sheetViews>
  <sheetFormatPr defaultColWidth="9.140625" defaultRowHeight="15"/>
  <cols>
    <col min="1" max="1" width="9.140625" style="365"/>
    <col min="2" max="2" width="30" style="365" customWidth="1"/>
    <col min="3" max="3" width="47.7109375" style="369" customWidth="1"/>
    <col min="4" max="4" width="63.28515625" style="369" customWidth="1"/>
    <col min="5" max="16384" width="9.140625" style="365"/>
  </cols>
  <sheetData>
    <row r="2" spans="1:5">
      <c r="A2" s="363" t="s">
        <v>484</v>
      </c>
      <c r="B2" s="363"/>
      <c r="C2" s="364"/>
      <c r="D2" s="364"/>
      <c r="E2" s="363"/>
    </row>
    <row r="3" spans="1:5" ht="29.25">
      <c r="A3" s="363"/>
      <c r="B3" s="363"/>
      <c r="C3" s="366" t="s">
        <v>485</v>
      </c>
      <c r="D3" s="366" t="s">
        <v>486</v>
      </c>
      <c r="E3" s="363"/>
    </row>
    <row r="4" spans="1:5">
      <c r="A4" s="367" t="s">
        <v>188</v>
      </c>
      <c r="B4" s="363" t="s">
        <v>487</v>
      </c>
      <c r="C4" s="364" t="s">
        <v>488</v>
      </c>
      <c r="D4" s="364" t="s">
        <v>489</v>
      </c>
      <c r="E4" s="368"/>
    </row>
    <row r="5" spans="1:5">
      <c r="A5" s="367" t="s">
        <v>189</v>
      </c>
      <c r="B5" s="363" t="s">
        <v>490</v>
      </c>
      <c r="C5" s="364" t="s">
        <v>491</v>
      </c>
      <c r="D5" s="364" t="s">
        <v>489</v>
      </c>
      <c r="E5" s="368"/>
    </row>
    <row r="6" spans="1:5">
      <c r="A6" s="367" t="s">
        <v>184</v>
      </c>
      <c r="B6" s="363" t="s">
        <v>492</v>
      </c>
      <c r="C6" s="364" t="s">
        <v>493</v>
      </c>
      <c r="D6" s="364" t="s">
        <v>494</v>
      </c>
      <c r="E6" s="368"/>
    </row>
    <row r="7" spans="1:5">
      <c r="A7" s="367" t="s">
        <v>495</v>
      </c>
      <c r="B7" s="363" t="s">
        <v>496</v>
      </c>
      <c r="C7" s="364" t="s">
        <v>497</v>
      </c>
      <c r="D7" s="364" t="s">
        <v>498</v>
      </c>
      <c r="E7" s="368"/>
    </row>
    <row r="8" spans="1:5" ht="30">
      <c r="A8" s="367" t="s">
        <v>185</v>
      </c>
      <c r="B8" s="363" t="s">
        <v>499</v>
      </c>
      <c r="C8" s="364" t="s">
        <v>500</v>
      </c>
      <c r="D8" s="364" t="s">
        <v>501</v>
      </c>
      <c r="E8" s="368"/>
    </row>
    <row r="9" spans="1:5" ht="17.25" customHeight="1">
      <c r="A9" s="367" t="s">
        <v>502</v>
      </c>
      <c r="B9" s="363" t="s">
        <v>503</v>
      </c>
      <c r="C9" s="364" t="s">
        <v>504</v>
      </c>
      <c r="D9" s="364" t="s">
        <v>505</v>
      </c>
      <c r="E9" s="368"/>
    </row>
    <row r="10" spans="1:5">
      <c r="A10" s="367" t="s">
        <v>225</v>
      </c>
      <c r="B10" s="363" t="s">
        <v>506</v>
      </c>
      <c r="C10" s="364" t="s">
        <v>507</v>
      </c>
      <c r="D10" s="364" t="s">
        <v>508</v>
      </c>
      <c r="E10" s="368"/>
    </row>
    <row r="11" spans="1:5">
      <c r="A11" s="367" t="s">
        <v>509</v>
      </c>
      <c r="B11" s="363" t="s">
        <v>510</v>
      </c>
      <c r="C11" s="364" t="s">
        <v>511</v>
      </c>
      <c r="D11" s="364" t="s">
        <v>512</v>
      </c>
      <c r="E11" s="368"/>
    </row>
    <row r="12" spans="1:5">
      <c r="A12" s="367" t="s">
        <v>513</v>
      </c>
      <c r="B12" s="363" t="s">
        <v>514</v>
      </c>
      <c r="C12" s="364" t="s">
        <v>515</v>
      </c>
      <c r="D12" s="364" t="s">
        <v>516</v>
      </c>
      <c r="E12" s="368"/>
    </row>
    <row r="13" spans="1:5">
      <c r="A13" s="367" t="s">
        <v>517</v>
      </c>
      <c r="B13" s="363" t="s">
        <v>518</v>
      </c>
      <c r="C13" s="364" t="s">
        <v>519</v>
      </c>
      <c r="D13" s="364" t="s">
        <v>520</v>
      </c>
      <c r="E13" s="368"/>
    </row>
    <row r="14" spans="1:5">
      <c r="A14" s="367" t="s">
        <v>521</v>
      </c>
      <c r="B14" s="363" t="s">
        <v>522</v>
      </c>
      <c r="C14" s="364" t="s">
        <v>523</v>
      </c>
      <c r="D14" s="364" t="s">
        <v>524</v>
      </c>
      <c r="E14" s="368"/>
    </row>
    <row r="15" spans="1:5">
      <c r="A15" s="367" t="s">
        <v>536</v>
      </c>
      <c r="B15" s="363" t="s">
        <v>537</v>
      </c>
      <c r="C15" s="364" t="s">
        <v>538</v>
      </c>
      <c r="D15" s="364" t="s">
        <v>539</v>
      </c>
      <c r="E15" s="368"/>
    </row>
    <row r="16" spans="1:5">
      <c r="A16" s="367" t="s">
        <v>540</v>
      </c>
      <c r="B16" s="363" t="s">
        <v>541</v>
      </c>
      <c r="C16" s="364" t="s">
        <v>542</v>
      </c>
      <c r="D16" s="364" t="s">
        <v>543</v>
      </c>
      <c r="E16" s="363"/>
    </row>
    <row r="17" spans="1:5" ht="16.149999999999999" customHeight="1">
      <c r="A17" s="363"/>
      <c r="B17" s="363"/>
      <c r="C17" s="364"/>
      <c r="D17" s="364"/>
      <c r="E17" s="363"/>
    </row>
    <row r="18" spans="1:5">
      <c r="A18" s="363" t="s">
        <v>525</v>
      </c>
      <c r="B18" s="363"/>
      <c r="C18" s="364"/>
      <c r="D18" s="364"/>
    </row>
    <row r="19" spans="1:5">
      <c r="A19" s="363"/>
      <c r="B19" s="363"/>
      <c r="C19" s="364"/>
    </row>
  </sheetData>
  <pageMargins left="0.25" right="0.25" top="0.75" bottom="0.75" header="0.3" footer="0.3"/>
  <pageSetup scale="89" orientation="landscape" r:id="rId1"/>
  <headerFooter>
    <oddFooter>&amp;RAPPENDIX  A
SCHEDULE 4
PAGE 1 OF 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6"/>
  <sheetViews>
    <sheetView workbookViewId="0"/>
  </sheetViews>
  <sheetFormatPr defaultColWidth="9.140625" defaultRowHeight="15"/>
  <cols>
    <col min="1" max="1" width="7.42578125" style="365" customWidth="1"/>
    <col min="2" max="2" width="124.5703125" style="365" customWidth="1"/>
    <col min="3" max="16384" width="9.140625" style="365"/>
  </cols>
  <sheetData>
    <row r="2" spans="1:2">
      <c r="B2" s="370" t="s">
        <v>526</v>
      </c>
    </row>
    <row r="3" spans="1:2">
      <c r="B3" s="371"/>
    </row>
    <row r="4" spans="1:2" ht="36" customHeight="1">
      <c r="A4" s="372" t="s">
        <v>527</v>
      </c>
      <c r="B4" s="373" t="s">
        <v>528</v>
      </c>
    </row>
    <row r="5" spans="1:2" ht="40.5" customHeight="1">
      <c r="A5" s="372" t="s">
        <v>529</v>
      </c>
      <c r="B5" s="373" t="s">
        <v>530</v>
      </c>
    </row>
    <row r="6" spans="1:2">
      <c r="A6" s="372" t="s">
        <v>531</v>
      </c>
      <c r="B6" s="373" t="s">
        <v>532</v>
      </c>
    </row>
  </sheetData>
  <pageMargins left="0.7" right="0.7" top="0.75" bottom="0.75" header="0.3" footer="0.3"/>
  <pageSetup scale="94" orientation="landscape" r:id="rId1"/>
  <headerFooter>
    <oddFooter>&amp;RAPPENDIX A
SCHEDULE 4
PAGE 2 OF 2</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theme="7" tint="0.59999389629810485"/>
    <pageSetUpPr fitToPage="1"/>
  </sheetPr>
  <dimension ref="A1:R35"/>
  <sheetViews>
    <sheetView workbookViewId="0">
      <selection activeCell="M24" sqref="M24"/>
    </sheetView>
  </sheetViews>
  <sheetFormatPr defaultColWidth="9.140625" defaultRowHeight="12.75"/>
  <cols>
    <col min="1" max="1" width="36.5703125" style="66" bestFit="1" customWidth="1"/>
    <col min="2" max="2" width="15.5703125" style="66" hidden="1" customWidth="1"/>
    <col min="3" max="3" width="19.42578125" style="66" hidden="1" customWidth="1"/>
    <col min="4" max="4" width="19.140625" style="66" hidden="1" customWidth="1"/>
    <col min="5" max="5" width="10.28515625" style="66" hidden="1" customWidth="1"/>
    <col min="6" max="6" width="14.42578125" style="66" hidden="1" customWidth="1"/>
    <col min="7" max="8" width="19.42578125" style="66" hidden="1" customWidth="1"/>
    <col min="9" max="9" width="9.140625" style="66"/>
    <col min="10" max="10" width="14.42578125" style="66" bestFit="1" customWidth="1"/>
    <col min="11" max="12" width="19.42578125" style="66" bestFit="1" customWidth="1"/>
    <col min="13" max="13" width="14.28515625" style="66" customWidth="1"/>
    <col min="14" max="14" width="14.140625" style="66" customWidth="1"/>
    <col min="15" max="16" width="11.85546875" style="66" customWidth="1"/>
    <col min="17" max="17" width="18.7109375" style="66" customWidth="1"/>
    <col min="18" max="18" width="14.7109375" style="66" customWidth="1"/>
    <col min="19" max="16384" width="9.140625" style="66"/>
  </cols>
  <sheetData>
    <row r="1" spans="1:18">
      <c r="A1" s="66" t="s">
        <v>9</v>
      </c>
    </row>
    <row r="3" spans="1:18">
      <c r="B3" s="33" t="s">
        <v>783</v>
      </c>
      <c r="C3" s="33"/>
      <c r="D3" s="33"/>
      <c r="F3" s="33" t="s">
        <v>1027</v>
      </c>
      <c r="G3" s="33"/>
      <c r="H3" s="33"/>
      <c r="J3" s="33" t="s">
        <v>42</v>
      </c>
      <c r="K3" s="33"/>
      <c r="L3" s="33"/>
      <c r="M3" s="271" t="s">
        <v>2</v>
      </c>
      <c r="R3" s="66" t="s">
        <v>2</v>
      </c>
    </row>
    <row r="4" spans="1:18">
      <c r="C4" s="271" t="s">
        <v>2</v>
      </c>
      <c r="D4" s="271" t="s">
        <v>4</v>
      </c>
      <c r="G4" s="271" t="s">
        <v>2</v>
      </c>
      <c r="H4" s="271" t="s">
        <v>4</v>
      </c>
      <c r="K4" s="271" t="s">
        <v>2</v>
      </c>
      <c r="L4" s="271" t="s">
        <v>4</v>
      </c>
      <c r="M4" s="271" t="s">
        <v>173</v>
      </c>
      <c r="Q4" s="66" t="s">
        <v>4</v>
      </c>
      <c r="R4" s="66" t="s">
        <v>173</v>
      </c>
    </row>
    <row r="5" spans="1:18">
      <c r="B5" s="323" t="s">
        <v>1</v>
      </c>
      <c r="C5" s="323" t="s">
        <v>3</v>
      </c>
      <c r="D5" s="323" t="s">
        <v>5</v>
      </c>
      <c r="F5" s="323" t="s">
        <v>1</v>
      </c>
      <c r="G5" s="323" t="s">
        <v>3</v>
      </c>
      <c r="H5" s="323" t="s">
        <v>5</v>
      </c>
      <c r="J5" s="323" t="s">
        <v>1</v>
      </c>
      <c r="K5" s="323" t="s">
        <v>3</v>
      </c>
      <c r="L5" s="323" t="s">
        <v>5</v>
      </c>
      <c r="M5" s="327" t="s">
        <v>303</v>
      </c>
      <c r="Q5" s="66" t="s">
        <v>5</v>
      </c>
      <c r="R5" s="66" t="s">
        <v>303</v>
      </c>
    </row>
    <row r="6" spans="1:18">
      <c r="A6" s="66" t="s">
        <v>68</v>
      </c>
      <c r="B6" s="26">
        <f>SUMIF(Additions!$Q$1018:$Q$1090,Additions!$S$5,Additions!$F$1018:$F$1090)</f>
        <v>0</v>
      </c>
      <c r="C6" s="26">
        <f>SUMIF(Additions!$Q$1018:$Q$1090,Additions!$S$5,Additions!$I$1018:$I$1090)</f>
        <v>0</v>
      </c>
      <c r="D6" s="26">
        <f>SUMIF(Additions!$Q$1018:$Q$1090,Additions!$S$5,Additions!$J$1018:$J$1090)</f>
        <v>0</v>
      </c>
      <c r="E6" s="26"/>
      <c r="F6" s="26">
        <f>SUMIF(Additions!$Q$1018:$Q$1090,Additions!$S$6,Additions!$F$1018:$F$1090)</f>
        <v>1184594.52</v>
      </c>
      <c r="G6" s="26">
        <f>SUMIF(Additions!$Q$1018:$Q$1090,Additions!$S$6,Additions!$I$1018:$I$1090)</f>
        <v>4710.07</v>
      </c>
      <c r="H6" s="26">
        <f>SUMIF(Additions!$Q$1018:$Q$1090,Additions!$S$6,Additions!$J$1018:$J$1090)</f>
        <v>17827.36</v>
      </c>
      <c r="J6" s="24">
        <f>Additions!F1092</f>
        <v>1184594.52</v>
      </c>
      <c r="K6" s="24">
        <f>Additions!I1092</f>
        <v>4710.07</v>
      </c>
      <c r="L6" s="24">
        <f>Additions!J1092</f>
        <v>17827.36</v>
      </c>
      <c r="M6" s="25">
        <f>+'Def. Tax - Main Relo'!Y36</f>
        <v>136291.35999999999</v>
      </c>
      <c r="N6" s="26">
        <f>+B6+F6-J6</f>
        <v>0</v>
      </c>
      <c r="O6" s="26">
        <f>+C6+G6-K6</f>
        <v>0</v>
      </c>
      <c r="P6" s="26">
        <f>+D6+H6-L6</f>
        <v>0</v>
      </c>
      <c r="Q6" s="24">
        <v>35148.139002023992</v>
      </c>
      <c r="R6" s="25">
        <v>435733.07</v>
      </c>
    </row>
    <row r="7" spans="1:18">
      <c r="A7" s="66" t="s">
        <v>67</v>
      </c>
      <c r="B7" s="26">
        <f>SUMIF(Additions!$Q$5:$Q$462,Additions!$S$5,Additions!$F$5:$F$462)</f>
        <v>0</v>
      </c>
      <c r="C7" s="26">
        <f>SUMIF(Additions!$Q$5:$Q$462,Additions!$S$5,Additions!$I$5:$I$462)</f>
        <v>0</v>
      </c>
      <c r="D7" s="26">
        <f>SUMIF(Additions!$Q$5:$Q$462,Additions!$S$5,Additions!$J$5:$J$462)</f>
        <v>0</v>
      </c>
      <c r="E7" s="26"/>
      <c r="F7" s="26">
        <f>SUMIF(Additions!$Q$5:$Q$462,Additions!$S$6,Additions!$F$5:$F$462)</f>
        <v>4687242.9799999995</v>
      </c>
      <c r="G7" s="26">
        <f>SUMIF(Additions!$Q$5:$Q$462,Additions!$S$6,Additions!$I$5:$I$462)</f>
        <v>20532.590000000004</v>
      </c>
      <c r="H7" s="26">
        <f>SUMIF(Additions!$Q$5:$Q$462,Additions!$S$6,Additions!$J$5:$J$462)</f>
        <v>73590.370000000024</v>
      </c>
      <c r="J7" s="24">
        <f>Additions!F464</f>
        <v>4687242.9799999995</v>
      </c>
      <c r="K7" s="24">
        <f>Additions!I464</f>
        <v>20532.590000000004</v>
      </c>
      <c r="L7" s="24">
        <f>Additions!J464</f>
        <v>73590.370000000024</v>
      </c>
      <c r="M7" s="25">
        <f>+'Def. Tax - Main Repl'!AA36</f>
        <v>589113.06999999995</v>
      </c>
      <c r="N7" s="26">
        <f t="shared" ref="N7:N12" si="0">+B7+F7-J7</f>
        <v>0</v>
      </c>
      <c r="O7" s="26">
        <f t="shared" ref="O7:O12" si="1">+C7+G7-K7</f>
        <v>0</v>
      </c>
      <c r="P7" s="26">
        <f t="shared" ref="P7:P12" si="2">+D7+H7-L7</f>
        <v>0</v>
      </c>
      <c r="Q7" s="24">
        <v>352249.41286036815</v>
      </c>
      <c r="R7" s="25">
        <v>3939830.7</v>
      </c>
    </row>
    <row r="8" spans="1:18">
      <c r="A8" s="66" t="s">
        <v>0</v>
      </c>
      <c r="B8" s="26">
        <f>SUMIF(Additions!$Q$676:$Q$970,Additions!$S$5,Additions!$F$676:$F$970)</f>
        <v>0</v>
      </c>
      <c r="C8" s="26">
        <f>SUMIF(Additions!$Q$676:$Q$970,Additions!$S$5,Additions!$I$676:$I$970)</f>
        <v>0</v>
      </c>
      <c r="D8" s="26">
        <f>SUMIF(Additions!$Q$676:$Q$970,Additions!$S$5,Additions!$J$676:$J$970)</f>
        <v>0</v>
      </c>
      <c r="E8" s="26"/>
      <c r="F8" s="26">
        <f>SUMIF(Additions!$Q$676:$Q$970,Additions!$S$6,Additions!$F$676:$F$970)</f>
        <v>6401464.4799999986</v>
      </c>
      <c r="G8" s="26">
        <f>SUMIF(Additions!$Q$676:$Q$970,Additions!$S$6,Additions!$I$676:$I$970)</f>
        <v>79895.449999999983</v>
      </c>
      <c r="H8" s="26">
        <f>SUMIF(Additions!$Q$676:$Q$970,Additions!$S$6,Additions!$J$676:$J$970)</f>
        <v>241040.76999999987</v>
      </c>
      <c r="J8" s="25">
        <f>Additions!F970</f>
        <v>6401464.4799999995</v>
      </c>
      <c r="K8" s="25">
        <f>Additions!I970</f>
        <v>79895.449999999983</v>
      </c>
      <c r="L8" s="25">
        <f>Additions!J970</f>
        <v>241040.76999999987</v>
      </c>
      <c r="M8" s="25">
        <f>+'Def. Tax - Services'!Y36</f>
        <v>715533.59</v>
      </c>
      <c r="N8" s="26">
        <f t="shared" si="0"/>
        <v>0</v>
      </c>
      <c r="O8" s="26">
        <f t="shared" si="1"/>
        <v>0</v>
      </c>
      <c r="P8" s="26">
        <f t="shared" si="2"/>
        <v>0</v>
      </c>
      <c r="Q8" s="25">
        <v>873750.81522041967</v>
      </c>
      <c r="R8" s="25">
        <v>3686889.87</v>
      </c>
    </row>
    <row r="9" spans="1:18">
      <c r="A9" s="66" t="s">
        <v>6</v>
      </c>
      <c r="B9" s="26">
        <f>SUMIF(Additions!$Q$645:$Q$669,Additions!$S$5,Additions!$F$645:$F$669)</f>
        <v>0</v>
      </c>
      <c r="C9" s="26">
        <f>SUMIF(Additions!$Q$645:$Q$669,Additions!$S$5,Additions!$I$645:$I$669)</f>
        <v>0</v>
      </c>
      <c r="D9" s="26">
        <f>SUMIF(Additions!$Q$645:$Q$669,Additions!$S$5,Additions!$J$645:$J$669)</f>
        <v>0</v>
      </c>
      <c r="E9" s="26"/>
      <c r="F9" s="26">
        <f>SUMIF(Additions!$Q$645:$Q$669,Additions!$S$6,Additions!$F$645:$F$669)</f>
        <v>449686.39000000007</v>
      </c>
      <c r="G9" s="26">
        <f>SUMIF(Additions!$Q$645:$Q$669,Additions!$S$6,Additions!$I$645:$I$669)</f>
        <v>4842.03</v>
      </c>
      <c r="H9" s="26">
        <f>SUMIF(Additions!$Q$645:$Q$669,Additions!$S$6,Additions!$J$645:$J$669)</f>
        <v>14843.080000000002</v>
      </c>
      <c r="J9" s="25">
        <f>Additions!F653+Additions!F665</f>
        <v>449686.39000000007</v>
      </c>
      <c r="K9" s="25">
        <f>Additions!I653++Additions!I665</f>
        <v>4842.03</v>
      </c>
      <c r="L9" s="25">
        <f>Additions!J653+Additions!J665</f>
        <v>14843.080000000002</v>
      </c>
      <c r="N9" s="26">
        <f>+B9+F9-J9</f>
        <v>0</v>
      </c>
      <c r="O9" s="26">
        <f t="shared" si="1"/>
        <v>0</v>
      </c>
      <c r="P9" s="26">
        <f t="shared" si="2"/>
        <v>0</v>
      </c>
      <c r="Q9" s="25">
        <v>36517.52268357599</v>
      </c>
    </row>
    <row r="10" spans="1:18">
      <c r="A10" s="66" t="s">
        <v>7</v>
      </c>
      <c r="B10" s="26">
        <f>SUMIF(Additions!$Q$978:$Q$1008,Additions!$S$5,Additions!$F$978:$F$1008)</f>
        <v>0</v>
      </c>
      <c r="C10" s="26">
        <f>SUMIF(Additions!$Q$978:$Q$1008,Additions!$S$5,Additions!$I$978:$I$1008)</f>
        <v>0</v>
      </c>
      <c r="D10" s="26">
        <f>SUMIF(Additions!$Q$978:$Q$1008,Additions!$S$5,Additions!$J$978:$J$1008)</f>
        <v>0</v>
      </c>
      <c r="E10" s="26"/>
      <c r="F10" s="26">
        <f>SUMIF(Additions!$Q$978:$Q$1008,Additions!$S$6,Additions!$F$978:$F$1008)</f>
        <v>0</v>
      </c>
      <c r="G10" s="26">
        <f>SUMIF(Additions!$Q$978:$Q$1008,Additions!$S$6,Additions!$I$978:$I$1008)</f>
        <v>0</v>
      </c>
      <c r="H10" s="26">
        <f>SUMIF(Additions!$Q$978:$Q$1008,Additions!$S$6,Additions!$J$978:$J$1008)</f>
        <v>0</v>
      </c>
      <c r="J10" s="25">
        <f>Additions!F1012</f>
        <v>0</v>
      </c>
      <c r="K10" s="25">
        <f>Additions!I1012</f>
        <v>0</v>
      </c>
      <c r="L10" s="25">
        <f>Additions!J1012</f>
        <v>0</v>
      </c>
      <c r="M10" s="25">
        <f>+'Def. Tax - Reg'!Y38</f>
        <v>0</v>
      </c>
      <c r="N10" s="26">
        <f>+B10+F10-J10</f>
        <v>0</v>
      </c>
      <c r="O10" s="26">
        <f t="shared" si="1"/>
        <v>0</v>
      </c>
      <c r="P10" s="26">
        <f t="shared" si="2"/>
        <v>0</v>
      </c>
      <c r="Q10" s="25">
        <v>43082.256652716002</v>
      </c>
      <c r="R10" s="25">
        <v>91460.35</v>
      </c>
    </row>
    <row r="11" spans="1:18">
      <c r="A11" s="66" t="s">
        <v>8</v>
      </c>
      <c r="B11" s="26">
        <f>SUMIF(Additions!$Q$470:$Q$637,Additions!$S$5,Additions!$F$470:$F$637)</f>
        <v>0</v>
      </c>
      <c r="C11" s="26">
        <f>SUMIF(Additions!$Q$470:$Q$637,Additions!$S$5,Additions!$I$470:$I$637)</f>
        <v>0</v>
      </c>
      <c r="D11" s="26">
        <f>SUMIF(Additions!$Q$470:$Q$637,Additions!$S$5,Additions!$J$470:$J$637)</f>
        <v>0</v>
      </c>
      <c r="E11" s="26"/>
      <c r="F11" s="26">
        <f>SUMIF(Additions!$Q$470:$Q$637,Additions!$S$6,Additions!$F$470:$F$637)</f>
        <v>2304437.9800000004</v>
      </c>
      <c r="G11" s="26">
        <f>SUMIF(Additions!$Q$470:$Q$637,Additions!$S$6,Additions!$I$470:$I$637)</f>
        <v>10011.25</v>
      </c>
      <c r="H11" s="26">
        <f>SUMIF(Additions!$Q$470:$Q$637,Additions!$S$6,Additions!$J$470:$J$637)</f>
        <v>36178.740000000005</v>
      </c>
      <c r="J11" s="25">
        <f>Additions!F639</f>
        <v>2304437.9800000004</v>
      </c>
      <c r="K11" s="25">
        <f>Additions!I639</f>
        <v>10011.25</v>
      </c>
      <c r="L11" s="25">
        <f>Additions!J639</f>
        <v>36178.740000000005</v>
      </c>
      <c r="N11" s="26">
        <f t="shared" si="0"/>
        <v>0</v>
      </c>
      <c r="O11" s="26">
        <f t="shared" si="1"/>
        <v>0</v>
      </c>
      <c r="P11" s="26">
        <f t="shared" si="2"/>
        <v>0</v>
      </c>
      <c r="Q11" s="25">
        <v>158663.27147094</v>
      </c>
    </row>
    <row r="12" spans="1:18">
      <c r="A12" s="66" t="s">
        <v>78</v>
      </c>
      <c r="B12" s="26">
        <f>SUMIF(Additions!$Q$1100:$Q$1101,Additions!$S$5,Additions!$F$1100:$F$1101)</f>
        <v>0</v>
      </c>
      <c r="C12" s="26">
        <f>SUMIF(Additions!$Q$1100:$Q$1101,Additions!$S$5,Additions!$I$1100:$I$1101)</f>
        <v>0</v>
      </c>
      <c r="D12" s="26">
        <f>SUMIF(Additions!$Q$1100:$Q$1101,Additions!$S$5,Additions!$J$1100:$J$1101)</f>
        <v>0</v>
      </c>
      <c r="E12" s="26"/>
      <c r="F12" s="26">
        <f>SUMIF(Additions!$Q$1100:$Q$1101,Additions!$S$6,Additions!$F$1100:$F$1101)</f>
        <v>0</v>
      </c>
      <c r="G12" s="26">
        <f>SUMIF(Additions!$Q$1100:$Q$1101,Additions!$S$6,Additions!$I$1100:$I$1101)</f>
        <v>0</v>
      </c>
      <c r="H12" s="26">
        <f>SUMIF(Additions!$Q$1100:$Q$1101,Additions!$S$6,Additions!$J$1100:$J$1101)</f>
        <v>0</v>
      </c>
      <c r="J12" s="25">
        <f>Additions!F1105</f>
        <v>0</v>
      </c>
      <c r="K12" s="25">
        <f>Additions!I1105</f>
        <v>0</v>
      </c>
      <c r="L12" s="25">
        <f>Additions!J1105</f>
        <v>0</v>
      </c>
      <c r="M12" s="25">
        <f>+'Def. Tax - Main Reinf'!Y35</f>
        <v>0</v>
      </c>
      <c r="N12" s="26">
        <f t="shared" si="0"/>
        <v>0</v>
      </c>
      <c r="O12" s="26">
        <f t="shared" si="1"/>
        <v>0</v>
      </c>
      <c r="P12" s="26">
        <f t="shared" si="2"/>
        <v>0</v>
      </c>
      <c r="Q12" s="25">
        <v>0</v>
      </c>
      <c r="R12" s="25">
        <v>0</v>
      </c>
    </row>
    <row r="13" spans="1:18">
      <c r="B13" s="26"/>
      <c r="C13" s="26"/>
      <c r="D13" s="26"/>
      <c r="E13" s="26"/>
      <c r="F13" s="26"/>
      <c r="G13" s="26"/>
      <c r="H13" s="26"/>
      <c r="J13" s="25"/>
      <c r="K13" s="25"/>
      <c r="L13" s="25"/>
      <c r="Q13" s="25"/>
    </row>
    <row r="14" spans="1:18">
      <c r="A14" s="66" t="s">
        <v>69</v>
      </c>
      <c r="B14" s="26">
        <f>SUM(B6:B13)</f>
        <v>0</v>
      </c>
      <c r="C14" s="26">
        <f>SUM(C6:C13)</f>
        <v>0</v>
      </c>
      <c r="D14" s="26">
        <f>SUM(D6:D13)</f>
        <v>0</v>
      </c>
      <c r="E14" s="26"/>
      <c r="F14" s="26">
        <f>SUM(F6:F13)</f>
        <v>15027426.35</v>
      </c>
      <c r="G14" s="26">
        <f>SUM(G6:G13)</f>
        <v>119991.38999999998</v>
      </c>
      <c r="H14" s="26">
        <f>SUM(H6:H13)</f>
        <v>383480.31999999989</v>
      </c>
      <c r="J14" s="25">
        <f>SUM(J6:J12)</f>
        <v>15027426.350000001</v>
      </c>
      <c r="K14" s="25">
        <f>SUM(K6:K12)</f>
        <v>119991.38999999998</v>
      </c>
      <c r="L14" s="25">
        <f>SUM(L6:L12)</f>
        <v>383480.31999999989</v>
      </c>
      <c r="M14" s="25">
        <f>SUM(M6:M13)</f>
        <v>1440938.02</v>
      </c>
      <c r="N14" s="26">
        <f>+B14+F14-J14</f>
        <v>0</v>
      </c>
      <c r="O14" s="26">
        <f>+C14+G14-K14</f>
        <v>0</v>
      </c>
      <c r="P14" s="26">
        <f>+D14+H14-L14</f>
        <v>0</v>
      </c>
      <c r="Q14" s="25">
        <v>1499411.4178900439</v>
      </c>
      <c r="R14" s="25">
        <v>8153913.9900000002</v>
      </c>
    </row>
    <row r="15" spans="1:18">
      <c r="B15" s="25"/>
      <c r="C15" s="25"/>
      <c r="D15" s="25"/>
    </row>
    <row r="16" spans="1:18">
      <c r="B16" s="25"/>
      <c r="C16" s="25"/>
    </row>
    <row r="17" spans="1:16">
      <c r="A17" s="66" t="s">
        <v>10</v>
      </c>
    </row>
    <row r="18" spans="1:16">
      <c r="B18" s="328"/>
      <c r="C18" s="329" t="s">
        <v>12</v>
      </c>
      <c r="D18" s="328"/>
      <c r="F18" s="328"/>
      <c r="G18" s="329" t="s">
        <v>12</v>
      </c>
      <c r="H18" s="328"/>
      <c r="J18" s="328"/>
      <c r="K18" s="329" t="s">
        <v>12</v>
      </c>
      <c r="L18" s="328"/>
    </row>
    <row r="19" spans="1:16">
      <c r="B19" s="323" t="s">
        <v>11</v>
      </c>
      <c r="C19" s="323" t="s">
        <v>5</v>
      </c>
      <c r="D19" s="330"/>
      <c r="F19" s="323" t="s">
        <v>11</v>
      </c>
      <c r="G19" s="323" t="s">
        <v>5</v>
      </c>
      <c r="H19" s="330"/>
      <c r="J19" s="323" t="s">
        <v>11</v>
      </c>
      <c r="K19" s="323" t="s">
        <v>5</v>
      </c>
      <c r="L19" s="330"/>
    </row>
    <row r="20" spans="1:16">
      <c r="A20" s="66" t="s">
        <v>68</v>
      </c>
      <c r="B20" s="26">
        <f>SUMIF(Retirements!$S$178:$S$219,Retirements!$U$5,Retirements!$G$178:$G$219)</f>
        <v>0</v>
      </c>
      <c r="C20" s="26">
        <f>SUMIF(Retirements!$S$178:$S$219,Retirements!$U$5,Retirements!$K$178:$K$219)</f>
        <v>0</v>
      </c>
      <c r="D20" s="26"/>
      <c r="E20" s="26"/>
      <c r="F20" s="26">
        <f>SUMIF(Retirements!$S$178:$S$219,Retirements!$U$6,Retirements!$G$178:$G$219)</f>
        <v>-1524.77</v>
      </c>
      <c r="G20" s="26">
        <f>SUMIF(Retirements!$S$178:$S$219,Retirements!$U$6,Retirements!$K$178:$K$219)</f>
        <v>-23.94</v>
      </c>
      <c r="H20" s="26"/>
      <c r="I20" s="26"/>
      <c r="J20" s="26">
        <f>Retirements!G229</f>
        <v>-1524.77</v>
      </c>
      <c r="K20" s="26">
        <f>Retirements!K229</f>
        <v>-23.94</v>
      </c>
      <c r="L20" s="26"/>
      <c r="N20" s="26">
        <f>+B20+F20-J20</f>
        <v>0</v>
      </c>
      <c r="O20" s="26">
        <f t="shared" ref="N20:O23" si="3">+C20+G20-K20</f>
        <v>0</v>
      </c>
      <c r="P20" s="26"/>
    </row>
    <row r="21" spans="1:16">
      <c r="A21" s="66" t="s">
        <v>67</v>
      </c>
      <c r="B21" s="26">
        <f>SUMIF(Retirements!$S$7:$S$53,Retirements!$U$5,Retirements!$G$7:$G$53)</f>
        <v>0</v>
      </c>
      <c r="C21" s="26">
        <f>SUMIF(Retirements!$S$7:$S$53,Retirements!$U$5,Retirements!$K$7:$K$53)</f>
        <v>0</v>
      </c>
      <c r="D21" s="26"/>
      <c r="E21" s="26"/>
      <c r="F21" s="26">
        <f>SUMIF(Retirements!$S$7:$S$53,Retirements!$U$6,Retirements!$G$7:$G$53)</f>
        <v>-141701.13</v>
      </c>
      <c r="G21" s="26">
        <f>SUMIF(Retirements!$S$7:$S$53,Retirements!$U$6,Retirements!$K$7:$K$53)</f>
        <v>-2949.92</v>
      </c>
      <c r="H21" s="26"/>
      <c r="I21" s="26"/>
      <c r="J21" s="26">
        <f>Retirements!G53</f>
        <v>-141701.13</v>
      </c>
      <c r="K21" s="26">
        <f>Retirements!K53</f>
        <v>-2949.92</v>
      </c>
      <c r="L21" s="26"/>
      <c r="N21" s="26">
        <f t="shared" si="3"/>
        <v>0</v>
      </c>
      <c r="O21" s="26">
        <f t="shared" si="3"/>
        <v>0</v>
      </c>
      <c r="P21" s="26"/>
    </row>
    <row r="22" spans="1:16">
      <c r="A22" s="66" t="s">
        <v>0</v>
      </c>
      <c r="B22" s="26">
        <f>SUMIF(Retirements!$S$55:$S$141,Retirements!$U$5,Retirements!$G$55:$G$141)</f>
        <v>0</v>
      </c>
      <c r="C22" s="26">
        <f>SUMIF(Retirements!$S$55:$S$141,Retirements!$U$5,Retirements!$K$55:$K$141)</f>
        <v>0</v>
      </c>
      <c r="D22" s="26"/>
      <c r="E22" s="26"/>
      <c r="F22" s="26">
        <f>SUMIF(Retirements!$S$55:$S$141,Retirements!$U$6,Retirements!$G$55:$G$141)</f>
        <v>-781315.8400000002</v>
      </c>
      <c r="G22" s="26">
        <f>SUMIF(Retirements!$S$55:$S$141,Retirements!$U$6,Retirements!$K$55:$K$141)</f>
        <v>-31018.470000000005</v>
      </c>
      <c r="H22" s="26"/>
      <c r="I22" s="26"/>
      <c r="J22" s="26">
        <f>Retirements!G143</f>
        <v>-781315.84</v>
      </c>
      <c r="K22" s="26">
        <f>Retirements!K143</f>
        <v>-31018.47</v>
      </c>
      <c r="L22" s="26"/>
      <c r="N22" s="26">
        <f>+B22+F22-J22</f>
        <v>0</v>
      </c>
      <c r="O22" s="26">
        <f t="shared" si="3"/>
        <v>0</v>
      </c>
      <c r="P22" s="26"/>
    </row>
    <row r="23" spans="1:16">
      <c r="A23" s="66" t="s">
        <v>7</v>
      </c>
      <c r="B23" s="26">
        <f>SUMIF(Retirements!$S$145:$S$177,Retirements!$U$5,Retirements!$G$145:$G$177)</f>
        <v>0</v>
      </c>
      <c r="C23" s="26">
        <f>SUMIF(Retirements!$S$145:$S$177,Retirements!$U$5,Retirements!$K$145:$K$177)</f>
        <v>0</v>
      </c>
      <c r="D23" s="26"/>
      <c r="E23" s="26"/>
      <c r="F23" s="26">
        <f>SUMIF(Retirements!$S$145:$S$177,Retirements!$U$6,Retirements!$G$145:$G$177)</f>
        <v>0</v>
      </c>
      <c r="G23" s="26">
        <f>SUMIF(Retirements!$S$145:$S$177,Retirements!$U$6,Retirements!$K$145:$K$177)</f>
        <v>0</v>
      </c>
      <c r="H23" s="26"/>
      <c r="I23" s="26"/>
      <c r="J23" s="26">
        <f>Retirements!G177</f>
        <v>0</v>
      </c>
      <c r="K23" s="26">
        <f>Retirements!K177</f>
        <v>0</v>
      </c>
      <c r="L23" s="26"/>
      <c r="N23" s="26">
        <f>+B23+F23-J23</f>
        <v>0</v>
      </c>
      <c r="O23" s="26">
        <f t="shared" si="3"/>
        <v>0</v>
      </c>
      <c r="P23" s="26"/>
    </row>
    <row r="24" spans="1:16">
      <c r="B24" s="26"/>
      <c r="C24" s="26"/>
      <c r="D24" s="26"/>
      <c r="E24" s="26"/>
      <c r="F24" s="26"/>
      <c r="G24" s="26"/>
      <c r="H24" s="26"/>
      <c r="I24" s="26"/>
      <c r="J24" s="26" t="s">
        <v>150</v>
      </c>
      <c r="K24" s="26"/>
      <c r="L24" s="26"/>
    </row>
    <row r="25" spans="1:16">
      <c r="A25" s="66" t="s">
        <v>13</v>
      </c>
      <c r="B25" s="26">
        <f>SUM(B20:B24)</f>
        <v>0</v>
      </c>
      <c r="C25" s="26">
        <f>SUM(C20:C24)</f>
        <v>0</v>
      </c>
      <c r="D25" s="26"/>
      <c r="E25" s="26"/>
      <c r="F25" s="26">
        <f>SUM(F20:F24)</f>
        <v>-924541.74000000022</v>
      </c>
      <c r="G25" s="26">
        <f>SUM(G20:G24)</f>
        <v>-33992.33</v>
      </c>
      <c r="H25" s="26"/>
      <c r="I25" s="26"/>
      <c r="J25" s="26">
        <f>SUM(J20:J23)</f>
        <v>-924541.74</v>
      </c>
      <c r="K25" s="26">
        <f>SUM(K20:K23)</f>
        <v>-33992.33</v>
      </c>
      <c r="L25" s="26"/>
      <c r="N25" s="26">
        <f>+B25+F25-J25</f>
        <v>0</v>
      </c>
      <c r="O25" s="26">
        <f>+C25+G25-K25</f>
        <v>0</v>
      </c>
      <c r="P25" s="26"/>
    </row>
    <row r="29" spans="1:16">
      <c r="B29" s="25"/>
    </row>
    <row r="35" spans="4:4">
      <c r="D35" s="24"/>
    </row>
  </sheetData>
  <phoneticPr fontId="10" type="noConversion"/>
  <pageMargins left="0.75" right="0.75" top="1" bottom="1" header="0.5" footer="0.5"/>
  <pageSetup scale="53"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9"/>
  <sheetViews>
    <sheetView workbookViewId="0">
      <selection activeCell="J45" sqref="J45"/>
    </sheetView>
  </sheetViews>
  <sheetFormatPr defaultColWidth="9.140625" defaultRowHeight="15"/>
  <cols>
    <col min="1" max="1" width="9.140625" style="617"/>
    <col min="2" max="2" width="10.5703125" style="617" customWidth="1"/>
    <col min="3" max="3" width="29.7109375" style="617" bestFit="1" customWidth="1"/>
    <col min="4" max="4" width="26.85546875" style="710" bestFit="1" customWidth="1"/>
    <col min="5" max="5" width="7.5703125" style="710" customWidth="1"/>
    <col min="6" max="6" width="14" style="710" bestFit="1" customWidth="1"/>
    <col min="7" max="7" width="3.85546875" style="710" customWidth="1"/>
    <col min="8" max="8" width="18.7109375" style="710" customWidth="1"/>
    <col min="9" max="9" width="10.7109375" style="617" customWidth="1"/>
    <col min="10" max="16384" width="9.140625" style="617"/>
  </cols>
  <sheetData>
    <row r="1" spans="1:8" ht="15.75">
      <c r="A1" s="614" t="s">
        <v>1103</v>
      </c>
      <c r="B1" s="615"/>
      <c r="C1" s="615"/>
      <c r="D1" s="616"/>
      <c r="E1" s="616"/>
      <c r="F1" s="616"/>
      <c r="G1" s="616"/>
      <c r="H1" s="616"/>
    </row>
    <row r="2" spans="1:8" ht="15.75">
      <c r="A2" s="618" t="s">
        <v>257</v>
      </c>
      <c r="B2" s="615"/>
      <c r="C2" s="615"/>
      <c r="D2" s="616"/>
      <c r="E2" s="616"/>
      <c r="F2" s="616"/>
      <c r="G2" s="616"/>
      <c r="H2" s="616"/>
    </row>
    <row r="3" spans="1:8">
      <c r="A3" s="619"/>
      <c r="B3" s="620"/>
      <c r="C3" s="619"/>
      <c r="D3" s="621"/>
      <c r="E3" s="621"/>
      <c r="F3" s="622"/>
      <c r="G3" s="622"/>
      <c r="H3" s="623"/>
    </row>
    <row r="4" spans="1:8">
      <c r="A4" s="619"/>
      <c r="B4" s="620"/>
      <c r="C4" s="619"/>
      <c r="D4" s="621"/>
      <c r="E4" s="621"/>
      <c r="F4" s="622"/>
      <c r="G4" s="622"/>
      <c r="H4" s="623"/>
    </row>
    <row r="5" spans="1:8">
      <c r="A5" s="619"/>
      <c r="B5" s="620"/>
      <c r="C5" s="619"/>
      <c r="D5" s="621"/>
      <c r="E5" s="621"/>
      <c r="F5" s="622"/>
      <c r="G5" s="622"/>
      <c r="H5" s="623"/>
    </row>
    <row r="6" spans="1:8">
      <c r="A6" s="624"/>
      <c r="B6" s="625"/>
      <c r="C6" s="624"/>
      <c r="D6" s="627">
        <v>2016</v>
      </c>
      <c r="E6" s="626"/>
      <c r="F6" s="627">
        <v>2016</v>
      </c>
      <c r="G6" s="627"/>
      <c r="H6" s="627">
        <v>2016</v>
      </c>
    </row>
    <row r="7" spans="1:8">
      <c r="A7" s="624"/>
      <c r="B7" s="625"/>
      <c r="C7" s="624"/>
      <c r="D7" s="628" t="s">
        <v>258</v>
      </c>
      <c r="E7" s="628"/>
      <c r="F7" s="629" t="s">
        <v>416</v>
      </c>
      <c r="G7" s="629"/>
      <c r="H7" s="628" t="s">
        <v>1104</v>
      </c>
    </row>
    <row r="8" spans="1:8">
      <c r="A8" s="630" t="s">
        <v>259</v>
      </c>
      <c r="B8" s="620"/>
      <c r="C8" s="619"/>
      <c r="D8" s="631"/>
      <c r="E8" s="631"/>
      <c r="F8" s="632"/>
      <c r="G8" s="632"/>
      <c r="H8" s="619"/>
    </row>
    <row r="9" spans="1:8">
      <c r="A9" s="619"/>
      <c r="B9" s="620" t="s">
        <v>297</v>
      </c>
      <c r="C9" s="619"/>
      <c r="D9" s="633">
        <v>42919600</v>
      </c>
      <c r="E9" s="633"/>
      <c r="F9" s="634">
        <v>0.10021799993476173</v>
      </c>
      <c r="G9" s="634"/>
      <c r="H9" s="635">
        <v>4301316.47</v>
      </c>
    </row>
    <row r="10" spans="1:8">
      <c r="A10" s="636"/>
      <c r="B10" s="620" t="s">
        <v>260</v>
      </c>
      <c r="C10" s="619"/>
      <c r="D10" s="633">
        <v>443100</v>
      </c>
      <c r="E10" s="633"/>
      <c r="F10" s="634">
        <v>0.100218032046942</v>
      </c>
      <c r="G10" s="634"/>
      <c r="H10" s="635">
        <v>44406.61</v>
      </c>
    </row>
    <row r="11" spans="1:8">
      <c r="A11" s="619"/>
      <c r="B11" s="620" t="s">
        <v>261</v>
      </c>
      <c r="C11" s="619"/>
      <c r="D11" s="633">
        <v>8060047</v>
      </c>
      <c r="E11" s="633"/>
      <c r="F11" s="634">
        <v>8.4030405778030823E-2</v>
      </c>
      <c r="G11" s="634"/>
      <c r="H11" s="635">
        <v>677289.02</v>
      </c>
    </row>
    <row r="12" spans="1:8">
      <c r="A12" s="624"/>
      <c r="B12" s="625"/>
      <c r="C12" s="624" t="s">
        <v>262</v>
      </c>
      <c r="D12" s="637">
        <f>SUM(D9:D11)</f>
        <v>51422747</v>
      </c>
      <c r="E12" s="638"/>
      <c r="F12" s="639"/>
      <c r="G12" s="639"/>
      <c r="H12" s="640">
        <f>SUM(H9:H11)</f>
        <v>5023012.0999999996</v>
      </c>
    </row>
    <row r="13" spans="1:8">
      <c r="A13" s="619"/>
      <c r="B13" s="620"/>
      <c r="C13" s="619"/>
      <c r="D13" s="636"/>
      <c r="E13" s="636"/>
      <c r="F13" s="641"/>
      <c r="G13" s="641"/>
      <c r="H13" s="642"/>
    </row>
    <row r="14" spans="1:8">
      <c r="A14" s="630" t="s">
        <v>263</v>
      </c>
      <c r="B14" s="620"/>
      <c r="C14" s="619"/>
      <c r="D14" s="636"/>
      <c r="E14" s="636"/>
      <c r="F14" s="641"/>
      <c r="G14" s="641"/>
      <c r="H14" s="643"/>
    </row>
    <row r="15" spans="1:8">
      <c r="A15" s="636"/>
      <c r="B15" s="620" t="s">
        <v>769</v>
      </c>
      <c r="C15" s="619"/>
      <c r="D15" s="644">
        <v>3248230</v>
      </c>
      <c r="E15" s="644"/>
      <c r="F15" s="634">
        <v>0.11946450836301617</v>
      </c>
      <c r="G15" s="634"/>
      <c r="H15" s="635">
        <v>388048.2</v>
      </c>
    </row>
    <row r="16" spans="1:8">
      <c r="A16" s="636"/>
      <c r="B16" s="620" t="s">
        <v>265</v>
      </c>
      <c r="C16" s="619"/>
      <c r="D16" s="633">
        <v>55075720</v>
      </c>
      <c r="E16" s="633"/>
      <c r="F16" s="634">
        <v>0.11026012006742718</v>
      </c>
      <c r="G16" s="634"/>
      <c r="H16" s="635">
        <v>6072655.5</v>
      </c>
    </row>
    <row r="17" spans="1:8">
      <c r="A17" s="636"/>
      <c r="B17" s="620" t="s">
        <v>417</v>
      </c>
      <c r="C17" s="619"/>
      <c r="D17" s="633"/>
      <c r="E17" s="633"/>
      <c r="F17" s="645"/>
      <c r="G17" s="645"/>
      <c r="H17" s="646">
        <v>871.3</v>
      </c>
    </row>
    <row r="18" spans="1:8">
      <c r="A18" s="636"/>
      <c r="B18" s="620" t="s">
        <v>267</v>
      </c>
      <c r="C18" s="619"/>
      <c r="D18" s="633"/>
      <c r="E18" s="633"/>
      <c r="F18" s="645"/>
      <c r="G18" s="645"/>
      <c r="H18" s="646">
        <v>243.72</v>
      </c>
    </row>
    <row r="19" spans="1:8">
      <c r="A19" s="636"/>
      <c r="B19" s="620" t="s">
        <v>268</v>
      </c>
      <c r="C19" s="619"/>
      <c r="D19" s="633"/>
      <c r="E19" s="633"/>
      <c r="F19" s="645"/>
      <c r="G19" s="645"/>
      <c r="H19" s="646">
        <v>1434.33</v>
      </c>
    </row>
    <row r="20" spans="1:8">
      <c r="A20" s="636"/>
      <c r="B20" s="620" t="s">
        <v>298</v>
      </c>
      <c r="C20" s="619"/>
      <c r="D20" s="633"/>
      <c r="E20" s="633"/>
      <c r="F20" s="645"/>
      <c r="G20" s="645"/>
      <c r="H20" s="646">
        <v>46.81</v>
      </c>
    </row>
    <row r="21" spans="1:8">
      <c r="A21" s="636"/>
      <c r="B21" s="620" t="s">
        <v>278</v>
      </c>
      <c r="C21" s="619"/>
      <c r="D21" s="647">
        <v>10067100</v>
      </c>
      <c r="E21" s="647"/>
      <c r="F21" s="634">
        <v>9.5374937171578744E-2</v>
      </c>
      <c r="G21" s="634"/>
      <c r="H21" s="635">
        <v>960149.03000000038</v>
      </c>
    </row>
    <row r="22" spans="1:8">
      <c r="A22" s="624"/>
      <c r="B22" s="625"/>
      <c r="C22" s="624" t="s">
        <v>270</v>
      </c>
      <c r="D22" s="637">
        <f>SUM(D15:D21)</f>
        <v>68391050</v>
      </c>
      <c r="E22" s="638"/>
      <c r="F22" s="641"/>
      <c r="G22" s="641"/>
      <c r="H22" s="640">
        <f>SUM(H15:H21)</f>
        <v>7423448.8899999997</v>
      </c>
    </row>
    <row r="23" spans="1:8">
      <c r="A23" s="619"/>
      <c r="B23" s="620"/>
      <c r="C23" s="619"/>
      <c r="D23" s="636"/>
      <c r="E23" s="636"/>
      <c r="F23" s="641"/>
      <c r="G23" s="641"/>
      <c r="H23" s="642"/>
    </row>
    <row r="24" spans="1:8">
      <c r="A24" s="630" t="s">
        <v>418</v>
      </c>
      <c r="B24" s="620"/>
      <c r="C24" s="619"/>
      <c r="D24" s="636"/>
      <c r="E24" s="636"/>
      <c r="F24" s="641"/>
      <c r="G24" s="641"/>
      <c r="H24" s="642"/>
    </row>
    <row r="25" spans="1:8">
      <c r="A25" s="636"/>
      <c r="B25" s="620" t="s">
        <v>419</v>
      </c>
      <c r="C25" s="619"/>
      <c r="D25" s="644">
        <v>12869</v>
      </c>
      <c r="E25" s="644"/>
      <c r="F25" s="634">
        <v>8.3923381770145314E-2</v>
      </c>
      <c r="G25" s="634"/>
      <c r="H25" s="635">
        <v>1080.01</v>
      </c>
    </row>
    <row r="26" spans="1:8">
      <c r="A26" s="619"/>
      <c r="B26" s="620" t="s">
        <v>265</v>
      </c>
      <c r="C26" s="619"/>
      <c r="D26" s="644">
        <v>17061320</v>
      </c>
      <c r="E26" s="644"/>
      <c r="F26" s="634">
        <v>7.9178782767101261E-2</v>
      </c>
      <c r="G26" s="634"/>
      <c r="H26" s="635">
        <v>1350894.55</v>
      </c>
    </row>
    <row r="27" spans="1:8">
      <c r="A27" s="619"/>
      <c r="B27" s="620" t="s">
        <v>278</v>
      </c>
      <c r="C27" s="619"/>
      <c r="D27" s="644">
        <v>1133544</v>
      </c>
      <c r="E27" s="644"/>
      <c r="F27" s="634">
        <v>7.5735242743113648E-2</v>
      </c>
      <c r="G27" s="634"/>
      <c r="H27" s="635">
        <v>85849.23000000001</v>
      </c>
    </row>
    <row r="28" spans="1:8">
      <c r="A28" s="636"/>
      <c r="B28" s="620" t="s">
        <v>1096</v>
      </c>
      <c r="C28" s="619"/>
      <c r="D28" s="633"/>
      <c r="E28" s="633"/>
      <c r="F28" s="634"/>
      <c r="G28" s="634"/>
      <c r="H28" s="635">
        <f>2668.22+10734.47+6636.84</f>
        <v>20039.53</v>
      </c>
    </row>
    <row r="29" spans="1:8">
      <c r="A29" s="619"/>
      <c r="B29" s="620" t="s">
        <v>275</v>
      </c>
      <c r="C29" s="619"/>
      <c r="D29" s="648">
        <v>34500</v>
      </c>
      <c r="E29" s="648"/>
      <c r="F29" s="634">
        <v>5.9315942028985512E-2</v>
      </c>
      <c r="G29" s="634"/>
      <c r="H29" s="635">
        <v>2046.4</v>
      </c>
    </row>
    <row r="30" spans="1:8">
      <c r="A30" s="624"/>
      <c r="B30" s="625"/>
      <c r="C30" s="624" t="s">
        <v>273</v>
      </c>
      <c r="D30" s="637">
        <f>SUM(D25:D29)</f>
        <v>18242233</v>
      </c>
      <c r="E30" s="638"/>
      <c r="F30" s="641"/>
      <c r="G30" s="641"/>
      <c r="H30" s="640">
        <f>SUM(H25:H29)</f>
        <v>1459909.72</v>
      </c>
    </row>
    <row r="31" spans="1:8">
      <c r="A31" s="619"/>
      <c r="B31" s="620"/>
      <c r="C31" s="619"/>
      <c r="D31" s="636"/>
      <c r="E31" s="636"/>
      <c r="F31" s="641"/>
      <c r="G31" s="641"/>
      <c r="H31" s="643"/>
    </row>
    <row r="32" spans="1:8">
      <c r="A32" s="630" t="s">
        <v>1099</v>
      </c>
      <c r="B32" s="620"/>
      <c r="C32" s="619"/>
      <c r="D32" s="636"/>
      <c r="E32" s="636"/>
      <c r="F32" s="641"/>
      <c r="G32" s="641"/>
      <c r="H32" s="635"/>
    </row>
    <row r="33" spans="1:8">
      <c r="A33" s="619"/>
      <c r="B33" s="619" t="s">
        <v>1100</v>
      </c>
      <c r="C33"/>
      <c r="D33" s="644">
        <v>169630</v>
      </c>
      <c r="E33" s="644"/>
      <c r="F33" s="634">
        <v>2.7192890408536223E-2</v>
      </c>
      <c r="G33" s="634"/>
      <c r="H33" s="635">
        <v>4612.7299999999996</v>
      </c>
    </row>
    <row r="34" spans="1:8">
      <c r="A34" s="619"/>
      <c r="B34" s="620"/>
      <c r="C34" s="619"/>
      <c r="D34" s="636"/>
      <c r="E34" s="636"/>
      <c r="F34" s="641"/>
      <c r="G34" s="641"/>
      <c r="H34" s="642"/>
    </row>
    <row r="35" spans="1:8">
      <c r="A35" s="630" t="s">
        <v>420</v>
      </c>
      <c r="B35" s="620"/>
      <c r="C35" s="619"/>
      <c r="D35" s="633"/>
      <c r="E35" s="633"/>
      <c r="F35" s="641"/>
      <c r="G35" s="641"/>
      <c r="H35" s="649"/>
    </row>
    <row r="36" spans="1:8">
      <c r="A36" s="636"/>
      <c r="B36" s="620" t="s">
        <v>264</v>
      </c>
      <c r="C36" s="619"/>
      <c r="D36" s="648">
        <v>5476760</v>
      </c>
      <c r="E36" s="648"/>
      <c r="F36" s="634">
        <v>5.8136560667255824E-2</v>
      </c>
      <c r="G36" s="634"/>
      <c r="H36" s="635">
        <v>318399.99</v>
      </c>
    </row>
    <row r="37" spans="1:8">
      <c r="A37" s="619"/>
      <c r="B37" s="620" t="s">
        <v>261</v>
      </c>
      <c r="C37" s="619"/>
      <c r="D37" s="650">
        <v>3025943</v>
      </c>
      <c r="E37" s="650"/>
      <c r="F37" s="634">
        <v>5.369777950212546E-2</v>
      </c>
      <c r="G37" s="634"/>
      <c r="H37" s="635">
        <v>162486.42000000001</v>
      </c>
    </row>
    <row r="38" spans="1:8">
      <c r="A38" s="624"/>
      <c r="B38" s="625"/>
      <c r="C38" s="624" t="s">
        <v>421</v>
      </c>
      <c r="D38" s="637">
        <f>SUM(D36:D37)</f>
        <v>8502703</v>
      </c>
      <c r="E38" s="638"/>
      <c r="F38" s="641"/>
      <c r="G38" s="641"/>
      <c r="H38" s="640">
        <f>SUM(H36:H37)</f>
        <v>480886.41000000003</v>
      </c>
    </row>
    <row r="39" spans="1:8">
      <c r="A39" s="624"/>
      <c r="B39" s="625"/>
      <c r="C39" s="624"/>
      <c r="D39" s="638"/>
      <c r="E39" s="638"/>
      <c r="F39" s="641"/>
      <c r="G39" s="641"/>
      <c r="H39" s="651"/>
    </row>
    <row r="40" spans="1:8">
      <c r="A40" s="630" t="s">
        <v>422</v>
      </c>
      <c r="B40" s="620"/>
      <c r="C40" s="619"/>
      <c r="D40" s="636"/>
      <c r="E40" s="636"/>
      <c r="F40" s="641"/>
      <c r="G40" s="641"/>
      <c r="H40" s="642"/>
    </row>
    <row r="41" spans="1:8">
      <c r="A41" s="636"/>
      <c r="B41" s="620" t="s">
        <v>265</v>
      </c>
      <c r="C41" s="619"/>
      <c r="D41" s="644">
        <v>9639357</v>
      </c>
      <c r="E41" s="644"/>
      <c r="F41" s="634">
        <v>6.8322738746993184E-2</v>
      </c>
      <c r="G41" s="634"/>
      <c r="H41" s="635">
        <v>658587.27</v>
      </c>
    </row>
    <row r="42" spans="1:8">
      <c r="A42" s="619"/>
      <c r="B42" s="620" t="s">
        <v>278</v>
      </c>
      <c r="C42" s="619"/>
      <c r="D42" s="652">
        <v>415827</v>
      </c>
      <c r="E42" s="650"/>
      <c r="F42" s="634">
        <v>5.9991871619687998E-2</v>
      </c>
      <c r="G42" s="634"/>
      <c r="H42" s="635">
        <v>24946.240000000002</v>
      </c>
    </row>
    <row r="43" spans="1:8">
      <c r="A43" s="624"/>
      <c r="B43" s="625"/>
      <c r="C43" s="624" t="s">
        <v>423</v>
      </c>
      <c r="D43" s="637">
        <f>SUM(D41:D42)</f>
        <v>10055184</v>
      </c>
      <c r="E43" s="638"/>
      <c r="F43" s="645"/>
      <c r="G43" s="645"/>
      <c r="H43" s="640">
        <f>SUM(H41:H42)</f>
        <v>683533.51</v>
      </c>
    </row>
    <row r="44" spans="1:8">
      <c r="A44" s="624"/>
      <c r="B44" s="625"/>
      <c r="C44" s="624"/>
      <c r="D44" s="638"/>
      <c r="E44" s="638"/>
      <c r="F44" s="641"/>
      <c r="G44" s="641"/>
      <c r="H44" s="651"/>
    </row>
    <row r="45" spans="1:8">
      <c r="A45" s="630" t="s">
        <v>279</v>
      </c>
      <c r="B45" s="620"/>
      <c r="C45" s="619"/>
      <c r="D45" s="636"/>
      <c r="E45" s="636"/>
      <c r="F45" s="641"/>
      <c r="G45" s="641"/>
      <c r="H45" s="642"/>
    </row>
    <row r="46" spans="1:8">
      <c r="A46" s="636"/>
      <c r="B46" s="620" t="s">
        <v>265</v>
      </c>
      <c r="C46" s="619"/>
      <c r="D46" s="644">
        <v>4684660</v>
      </c>
      <c r="E46" s="644"/>
      <c r="F46" s="634">
        <v>7.2213108315224581E-2</v>
      </c>
      <c r="G46" s="634"/>
      <c r="H46" s="635">
        <v>338293.86</v>
      </c>
    </row>
    <row r="47" spans="1:8">
      <c r="A47" s="619"/>
      <c r="B47" s="620" t="s">
        <v>278</v>
      </c>
      <c r="C47" s="619"/>
      <c r="D47" s="650">
        <v>371730</v>
      </c>
      <c r="E47" s="650"/>
      <c r="F47" s="634">
        <v>6.9694724665752023E-2</v>
      </c>
      <c r="G47" s="634"/>
      <c r="H47" s="635">
        <v>25907.62</v>
      </c>
    </row>
    <row r="48" spans="1:8">
      <c r="A48" s="624"/>
      <c r="B48" s="625"/>
      <c r="C48" s="624" t="s">
        <v>424</v>
      </c>
      <c r="D48" s="637">
        <f>SUM(D46:D47)</f>
        <v>5056390</v>
      </c>
      <c r="E48" s="638"/>
      <c r="F48" s="645"/>
      <c r="G48" s="645"/>
      <c r="H48" s="640">
        <f>SUM(H46:H47)</f>
        <v>364201.48</v>
      </c>
    </row>
    <row r="49" spans="1:9">
      <c r="A49" s="619"/>
      <c r="B49" s="620"/>
      <c r="C49" s="619"/>
      <c r="D49" s="636"/>
      <c r="E49" s="636"/>
      <c r="F49" s="641"/>
      <c r="G49" s="641"/>
      <c r="H49" s="642"/>
    </row>
    <row r="50" spans="1:9">
      <c r="A50" s="630" t="s">
        <v>280</v>
      </c>
      <c r="B50" s="620"/>
      <c r="C50" s="619"/>
      <c r="D50" s="636"/>
      <c r="E50" s="636"/>
      <c r="F50" s="641"/>
      <c r="G50" s="641"/>
      <c r="H50" s="642"/>
    </row>
    <row r="51" spans="1:9">
      <c r="A51" s="619"/>
      <c r="B51" s="620" t="s">
        <v>281</v>
      </c>
      <c r="C51" s="619"/>
      <c r="D51" s="644">
        <v>1282690</v>
      </c>
      <c r="E51" s="644"/>
      <c r="F51" s="634">
        <v>9.8859545174594013E-2</v>
      </c>
      <c r="G51" s="634"/>
      <c r="H51" s="635">
        <v>126806.15</v>
      </c>
    </row>
    <row r="52" spans="1:9">
      <c r="A52" s="636"/>
      <c r="B52" s="620" t="s">
        <v>282</v>
      </c>
      <c r="C52" s="619"/>
      <c r="D52" s="653">
        <v>1267840</v>
      </c>
      <c r="E52" s="648"/>
      <c r="F52" s="634">
        <v>7.0521942831903078E-2</v>
      </c>
      <c r="G52" s="634"/>
      <c r="H52" s="635">
        <v>89410.54</v>
      </c>
    </row>
    <row r="53" spans="1:9">
      <c r="A53" s="624"/>
      <c r="B53" s="625"/>
      <c r="C53" s="624" t="s">
        <v>425</v>
      </c>
      <c r="D53" s="637">
        <f>SUM(D51:D52)</f>
        <v>2550530</v>
      </c>
      <c r="E53" s="638"/>
      <c r="F53" s="645"/>
      <c r="G53" s="645"/>
      <c r="H53" s="640">
        <f>SUM(H51:H52)</f>
        <v>216216.69</v>
      </c>
    </row>
    <row r="54" spans="1:9">
      <c r="A54" s="619"/>
      <c r="B54" s="620"/>
      <c r="C54" s="619"/>
      <c r="D54" s="654"/>
      <c r="E54" s="655"/>
      <c r="F54" s="641"/>
      <c r="G54" s="641"/>
      <c r="H54" s="656"/>
    </row>
    <row r="55" spans="1:9">
      <c r="A55" s="624" t="s">
        <v>283</v>
      </c>
      <c r="B55" s="625"/>
      <c r="C55" s="624"/>
      <c r="D55" s="637">
        <f>+D12+D22+D30+D33+D38+D43+D48+D53</f>
        <v>164390467</v>
      </c>
      <c r="E55" s="637"/>
      <c r="F55" s="657"/>
      <c r="G55" s="657"/>
      <c r="H55" s="658">
        <f>+H12+H22+H30+H33+H38+H43+H48+H53</f>
        <v>15655821.529999999</v>
      </c>
      <c r="I55" s="659"/>
    </row>
    <row r="56" spans="1:9">
      <c r="A56" s="619"/>
      <c r="B56" s="620"/>
      <c r="C56" s="619"/>
      <c r="D56" s="660"/>
      <c r="E56" s="660"/>
      <c r="F56" s="641"/>
      <c r="G56" s="641"/>
      <c r="H56" s="661">
        <v>19516497</v>
      </c>
    </row>
    <row r="57" spans="1:9">
      <c r="A57" s="630" t="s">
        <v>770</v>
      </c>
      <c r="B57" s="620"/>
      <c r="C57" s="619"/>
      <c r="D57" s="636"/>
      <c r="E57" s="636"/>
      <c r="F57" s="641"/>
      <c r="G57" s="641"/>
      <c r="H57" s="642"/>
    </row>
    <row r="58" spans="1:9">
      <c r="A58" s="619"/>
      <c r="B58" s="620" t="s">
        <v>771</v>
      </c>
      <c r="C58" s="619"/>
      <c r="D58" s="644">
        <v>131150566</v>
      </c>
      <c r="E58" s="644"/>
      <c r="F58" s="634">
        <v>8.3204656531943602E-2</v>
      </c>
      <c r="G58" s="634"/>
      <c r="H58" s="635">
        <v>10912337.798</v>
      </c>
    </row>
    <row r="59" spans="1:9">
      <c r="A59" s="619"/>
      <c r="B59" s="620" t="s">
        <v>772</v>
      </c>
      <c r="C59" s="619"/>
      <c r="D59" s="644">
        <v>1375001</v>
      </c>
      <c r="E59" s="644"/>
      <c r="F59" s="634">
        <v>6.511049810145593E-2</v>
      </c>
      <c r="G59" s="634"/>
      <c r="H59" s="635">
        <v>89527</v>
      </c>
    </row>
    <row r="60" spans="1:9">
      <c r="A60" s="619"/>
      <c r="B60" s="620" t="s">
        <v>773</v>
      </c>
      <c r="C60" s="619"/>
      <c r="D60" s="644">
        <v>7489253</v>
      </c>
      <c r="E60" s="644"/>
      <c r="F60" s="634">
        <v>0.14911031046754597</v>
      </c>
      <c r="G60" s="634"/>
      <c r="H60" s="635">
        <v>1116724.8400000001</v>
      </c>
    </row>
    <row r="61" spans="1:9">
      <c r="A61" s="619"/>
      <c r="B61" s="620" t="s">
        <v>774</v>
      </c>
      <c r="C61" s="619"/>
      <c r="D61" s="644"/>
      <c r="E61" s="644"/>
      <c r="F61" s="641"/>
      <c r="G61" s="641"/>
      <c r="H61" s="662"/>
    </row>
    <row r="62" spans="1:9">
      <c r="A62" s="619"/>
      <c r="B62" s="620"/>
      <c r="C62" s="624" t="s">
        <v>775</v>
      </c>
      <c r="D62" s="637">
        <f>SUM(D58:D61)</f>
        <v>140014820</v>
      </c>
      <c r="E62" s="638"/>
      <c r="F62" s="641"/>
      <c r="G62" s="641"/>
      <c r="H62" s="640">
        <f>SUM(H58:H61)</f>
        <v>12118589.638</v>
      </c>
    </row>
    <row r="63" spans="1:9">
      <c r="A63" s="619"/>
      <c r="B63" s="620"/>
      <c r="C63" s="624"/>
      <c r="D63" s="638"/>
      <c r="E63" s="638"/>
      <c r="F63" s="641"/>
      <c r="G63" s="641"/>
      <c r="H63" s="651"/>
    </row>
    <row r="64" spans="1:9">
      <c r="A64" s="630" t="s">
        <v>284</v>
      </c>
      <c r="B64" s="620"/>
      <c r="C64" s="619"/>
      <c r="D64" s="660"/>
      <c r="E64" s="660"/>
      <c r="F64" s="641"/>
      <c r="G64" s="641"/>
      <c r="H64" s="663">
        <v>6505499</v>
      </c>
    </row>
    <row r="65" spans="1:8">
      <c r="A65" s="619"/>
      <c r="B65" s="620" t="s">
        <v>285</v>
      </c>
      <c r="C65" s="619"/>
      <c r="D65" s="633">
        <v>9723</v>
      </c>
      <c r="E65" s="633"/>
      <c r="F65" s="634">
        <v>0.10021803969968117</v>
      </c>
      <c r="G65" s="634"/>
      <c r="H65" s="643">
        <v>974.42</v>
      </c>
    </row>
    <row r="66" spans="1:8">
      <c r="A66" s="619"/>
      <c r="B66" s="620" t="s">
        <v>286</v>
      </c>
      <c r="C66" s="619"/>
      <c r="D66" s="633">
        <v>84320</v>
      </c>
      <c r="E66" s="633"/>
      <c r="F66" s="634">
        <v>0.10680917931688805</v>
      </c>
      <c r="G66" s="634"/>
      <c r="H66" s="643">
        <v>9006.15</v>
      </c>
    </row>
    <row r="67" spans="1:8">
      <c r="A67" s="619"/>
      <c r="B67" s="620" t="s">
        <v>287</v>
      </c>
      <c r="C67" s="619"/>
      <c r="D67" s="633">
        <v>90</v>
      </c>
      <c r="E67" s="633"/>
      <c r="F67" s="634">
        <v>0.11566666666666667</v>
      </c>
      <c r="G67" s="634"/>
      <c r="H67" s="643">
        <v>10.41</v>
      </c>
    </row>
    <row r="68" spans="1:8">
      <c r="A68" s="624"/>
      <c r="B68" s="625"/>
      <c r="C68" s="624" t="s">
        <v>288</v>
      </c>
      <c r="D68" s="637">
        <f>SUM(D65:D67)</f>
        <v>94133</v>
      </c>
      <c r="E68" s="638"/>
      <c r="F68" s="645"/>
      <c r="G68" s="645"/>
      <c r="H68" s="640">
        <f>SUM(H65:H67)</f>
        <v>9990.98</v>
      </c>
    </row>
    <row r="69" spans="1:8">
      <c r="A69" s="619"/>
      <c r="B69" s="620"/>
      <c r="C69" s="619"/>
      <c r="D69" s="619"/>
      <c r="E69" s="619"/>
      <c r="F69" s="645"/>
      <c r="G69" s="645"/>
      <c r="H69" s="642"/>
    </row>
    <row r="70" spans="1:8" ht="15.75">
      <c r="A70" s="630" t="s">
        <v>289</v>
      </c>
      <c r="B70" s="620"/>
      <c r="C70" s="619"/>
      <c r="D70" s="621"/>
      <c r="E70" s="621"/>
      <c r="F70" s="645"/>
      <c r="G70" s="645"/>
      <c r="H70" s="664"/>
    </row>
    <row r="71" spans="1:8">
      <c r="A71" s="619"/>
      <c r="B71" s="620" t="s">
        <v>290</v>
      </c>
      <c r="C71" s="619"/>
      <c r="D71" s="633">
        <v>17349</v>
      </c>
      <c r="E71" s="633"/>
      <c r="F71" s="634">
        <v>8.3818087497838492E-2</v>
      </c>
      <c r="G71" s="634"/>
      <c r="H71" s="635">
        <v>1454.16</v>
      </c>
    </row>
    <row r="72" spans="1:8">
      <c r="A72" s="619"/>
      <c r="B72" s="620" t="s">
        <v>287</v>
      </c>
      <c r="C72" s="619"/>
      <c r="D72" s="644">
        <v>170</v>
      </c>
      <c r="E72" s="644"/>
      <c r="F72" s="634">
        <v>0.113</v>
      </c>
      <c r="G72" s="634"/>
      <c r="H72" s="635">
        <v>19.21</v>
      </c>
    </row>
    <row r="73" spans="1:8">
      <c r="A73" s="619"/>
      <c r="B73" s="620" t="s">
        <v>477</v>
      </c>
      <c r="C73" s="619"/>
      <c r="D73" s="648">
        <v>104331</v>
      </c>
      <c r="E73" s="648"/>
      <c r="F73" s="634">
        <v>7.3506436246178031E-2</v>
      </c>
      <c r="G73" s="634"/>
      <c r="H73" s="635">
        <v>7669</v>
      </c>
    </row>
    <row r="74" spans="1:8">
      <c r="A74" s="619"/>
      <c r="B74" s="620" t="s">
        <v>776</v>
      </c>
      <c r="C74" s="619"/>
      <c r="D74" s="648">
        <v>228639</v>
      </c>
      <c r="E74" s="648"/>
      <c r="F74" s="634">
        <v>8.9551651293086482E-2</v>
      </c>
      <c r="G74" s="634"/>
      <c r="H74" s="648">
        <v>20475</v>
      </c>
    </row>
    <row r="75" spans="1:8">
      <c r="A75" s="619"/>
      <c r="B75" s="620" t="s">
        <v>1097</v>
      </c>
      <c r="C75" s="619"/>
      <c r="D75" s="648">
        <v>468990</v>
      </c>
      <c r="E75" s="648"/>
      <c r="F75" s="634">
        <v>1.8758118509989555E-2</v>
      </c>
      <c r="G75" s="634"/>
      <c r="H75" s="648">
        <v>8797.3700000000008</v>
      </c>
    </row>
    <row r="76" spans="1:8">
      <c r="A76" s="619"/>
      <c r="B76" s="620" t="s">
        <v>777</v>
      </c>
      <c r="C76" s="619"/>
      <c r="D76" s="665">
        <v>321570</v>
      </c>
      <c r="E76" s="648"/>
      <c r="F76" s="634">
        <v>0.12739901110178187</v>
      </c>
      <c r="G76" s="634"/>
      <c r="H76" s="635">
        <v>40967.699999999997</v>
      </c>
    </row>
    <row r="77" spans="1:8">
      <c r="A77" s="619"/>
      <c r="B77" s="620"/>
      <c r="C77" s="624" t="s">
        <v>426</v>
      </c>
      <c r="D77" s="666">
        <f>SUM(D71:D76)</f>
        <v>1141049</v>
      </c>
      <c r="E77" s="666"/>
      <c r="F77" s="641"/>
      <c r="G77" s="641"/>
      <c r="H77" s="640">
        <f>SUM(H71:H76)</f>
        <v>79382.44</v>
      </c>
    </row>
    <row r="78" spans="1:8">
      <c r="A78" s="619"/>
      <c r="B78" s="620"/>
      <c r="C78" s="619"/>
      <c r="D78" s="621"/>
      <c r="E78" s="621"/>
      <c r="F78" s="641"/>
      <c r="G78" s="641"/>
      <c r="H78" s="643"/>
    </row>
    <row r="79" spans="1:8">
      <c r="A79" s="630" t="s">
        <v>291</v>
      </c>
      <c r="B79" s="620"/>
      <c r="C79" s="619"/>
      <c r="D79" s="621"/>
      <c r="E79" s="621"/>
      <c r="F79" s="641"/>
      <c r="G79" s="641"/>
      <c r="H79" s="643"/>
    </row>
    <row r="80" spans="1:8">
      <c r="A80" s="619"/>
      <c r="B80" s="620" t="s">
        <v>292</v>
      </c>
      <c r="C80" s="619"/>
      <c r="D80" s="644">
        <v>67060</v>
      </c>
      <c r="E80" s="644"/>
      <c r="F80" s="634">
        <v>9.2038473009245461E-2</v>
      </c>
      <c r="G80" s="634"/>
      <c r="H80" s="635">
        <v>6172.1</v>
      </c>
    </row>
    <row r="81" spans="1:8">
      <c r="A81" s="619"/>
      <c r="B81" s="620" t="s">
        <v>778</v>
      </c>
      <c r="C81" s="619"/>
      <c r="D81" s="644">
        <v>75000</v>
      </c>
      <c r="E81" s="644"/>
      <c r="F81" s="634">
        <v>0.3579</v>
      </c>
      <c r="G81" s="634"/>
      <c r="H81" s="635">
        <v>26842.5</v>
      </c>
    </row>
    <row r="82" spans="1:8">
      <c r="A82" s="619"/>
      <c r="B82" s="620" t="s">
        <v>1098</v>
      </c>
      <c r="C82" s="619"/>
      <c r="D82" s="667">
        <v>356970</v>
      </c>
      <c r="E82" s="650"/>
      <c r="F82" s="634">
        <v>0.10429204134801243</v>
      </c>
      <c r="G82" s="634"/>
      <c r="H82" s="635">
        <v>37229.129999999997</v>
      </c>
    </row>
    <row r="83" spans="1:8">
      <c r="A83" s="619"/>
      <c r="B83" s="620"/>
      <c r="C83" s="619"/>
      <c r="D83" s="666">
        <f>SUM(D80:D82)</f>
        <v>499030</v>
      </c>
      <c r="E83" s="666"/>
      <c r="F83" s="645"/>
      <c r="G83" s="645"/>
      <c r="H83" s="640">
        <f>SUM(H80:H82)</f>
        <v>70243.73</v>
      </c>
    </row>
    <row r="84" spans="1:8" ht="15.75">
      <c r="A84" s="619"/>
      <c r="B84" s="620"/>
      <c r="C84" s="619"/>
      <c r="D84" s="668"/>
      <c r="E84" s="668"/>
      <c r="F84" s="641"/>
      <c r="G84" s="641"/>
      <c r="H84" s="643"/>
    </row>
    <row r="85" spans="1:8" ht="15.75">
      <c r="A85" s="630" t="s">
        <v>427</v>
      </c>
      <c r="B85" s="620"/>
      <c r="C85" s="619"/>
      <c r="D85" s="668"/>
      <c r="E85" s="668"/>
      <c r="F85" s="641"/>
      <c r="G85" s="641"/>
      <c r="H85" s="643"/>
    </row>
    <row r="86" spans="1:8">
      <c r="A86" s="619"/>
      <c r="B86" s="620" t="s">
        <v>428</v>
      </c>
      <c r="C86" s="619"/>
      <c r="D86" s="669">
        <v>264160</v>
      </c>
      <c r="E86" s="669"/>
      <c r="F86" s="634">
        <v>0.10653997577225924</v>
      </c>
      <c r="G86" s="634"/>
      <c r="H86" s="635">
        <v>28143.599999999999</v>
      </c>
    </row>
    <row r="87" spans="1:8">
      <c r="A87" s="619"/>
      <c r="B87" s="620" t="s">
        <v>429</v>
      </c>
      <c r="C87" s="619"/>
      <c r="D87" s="669"/>
      <c r="E87" s="669"/>
      <c r="F87" s="634"/>
      <c r="G87" s="634"/>
      <c r="H87" s="635">
        <v>1223.06</v>
      </c>
    </row>
    <row r="88" spans="1:8">
      <c r="A88" s="619"/>
      <c r="B88" s="620" t="s">
        <v>478</v>
      </c>
      <c r="C88" s="619"/>
      <c r="D88" s="669">
        <v>67490</v>
      </c>
      <c r="E88" s="669"/>
      <c r="F88" s="634">
        <v>0.13000014817009925</v>
      </c>
      <c r="G88" s="634"/>
      <c r="H88" s="635">
        <v>8773.7099999999991</v>
      </c>
    </row>
    <row r="89" spans="1:8">
      <c r="A89" s="619"/>
      <c r="B89" s="620" t="s">
        <v>479</v>
      </c>
      <c r="C89" s="619"/>
      <c r="D89" s="653">
        <v>295835</v>
      </c>
      <c r="E89" s="648"/>
      <c r="F89" s="634">
        <v>0.10207003904203356</v>
      </c>
      <c r="G89" s="634"/>
      <c r="H89" s="635">
        <v>30195.89</v>
      </c>
    </row>
    <row r="90" spans="1:8">
      <c r="A90" s="619"/>
      <c r="B90" s="620"/>
      <c r="C90" s="619"/>
      <c r="D90" s="666">
        <f>SUM(D86:D89)</f>
        <v>627485</v>
      </c>
      <c r="E90" s="666"/>
      <c r="F90" s="641"/>
      <c r="G90" s="641"/>
      <c r="H90" s="640">
        <f>SUM(H86:H89)</f>
        <v>68336.259999999995</v>
      </c>
    </row>
    <row r="91" spans="1:8" ht="15.75">
      <c r="A91" s="619"/>
      <c r="B91" s="620"/>
      <c r="C91" s="619"/>
      <c r="D91" s="668"/>
      <c r="E91" s="668"/>
      <c r="F91" s="641"/>
      <c r="G91" s="641"/>
      <c r="H91" s="643"/>
    </row>
    <row r="92" spans="1:8">
      <c r="A92" s="630" t="s">
        <v>430</v>
      </c>
      <c r="B92" s="620"/>
      <c r="C92" s="619"/>
      <c r="D92" s="633">
        <v>5369701</v>
      </c>
      <c r="E92" s="633"/>
      <c r="F92" s="634">
        <v>7.7527495802515542E-2</v>
      </c>
      <c r="G92" s="634"/>
      <c r="H92" s="635">
        <v>381868.96</v>
      </c>
    </row>
    <row r="93" spans="1:8" ht="15.75">
      <c r="A93" s="619"/>
      <c r="B93" s="620"/>
      <c r="C93" s="619"/>
      <c r="D93" s="665"/>
      <c r="E93" s="665"/>
      <c r="F93" s="670"/>
      <c r="G93" s="670"/>
      <c r="H93" s="671"/>
    </row>
    <row r="94" spans="1:8" ht="15.75" thickBot="1">
      <c r="A94" s="624" t="s">
        <v>293</v>
      </c>
      <c r="B94" s="620"/>
      <c r="C94" s="619"/>
      <c r="D94" s="672">
        <f>+D55+D62+D68+D77+D83+D90+D92</f>
        <v>312136685</v>
      </c>
      <c r="E94" s="673"/>
      <c r="F94" s="674"/>
      <c r="G94" s="674"/>
      <c r="H94" s="675">
        <f>+H55+H62+H68+H77+H83+H90+H92</f>
        <v>28384233.538000003</v>
      </c>
    </row>
    <row r="95" spans="1:8" ht="15.75" thickTop="1">
      <c r="A95" s="619"/>
      <c r="B95" s="620"/>
      <c r="C95" s="619"/>
      <c r="D95" s="621"/>
      <c r="E95" s="621"/>
      <c r="F95" s="621"/>
      <c r="G95" s="621"/>
      <c r="H95" s="621"/>
    </row>
    <row r="96" spans="1:8">
      <c r="A96" s="676"/>
      <c r="B96" s="676"/>
      <c r="C96" s="676"/>
      <c r="D96" s="621" t="s">
        <v>294</v>
      </c>
      <c r="E96" s="621"/>
      <c r="F96" s="677"/>
      <c r="G96" s="677"/>
      <c r="H96" s="678">
        <f>+H55+H62</f>
        <v>27774411.167999998</v>
      </c>
    </row>
    <row r="97" spans="1:8">
      <c r="A97" s="676"/>
      <c r="B97" s="676"/>
      <c r="C97" s="676"/>
      <c r="D97" s="679" t="s">
        <v>1101</v>
      </c>
      <c r="E97" s="679"/>
      <c r="F97" s="677"/>
      <c r="G97" s="677"/>
      <c r="H97" s="680">
        <f>+H92</f>
        <v>381868.96</v>
      </c>
    </row>
    <row r="98" spans="1:8">
      <c r="A98" s="676"/>
      <c r="B98" s="676"/>
      <c r="C98" s="676"/>
      <c r="D98" s="679" t="s">
        <v>1102</v>
      </c>
      <c r="E98" s="679"/>
      <c r="F98" s="677"/>
      <c r="G98" s="677"/>
      <c r="H98" s="681">
        <v>-552714.44999999995</v>
      </c>
    </row>
    <row r="99" spans="1:8">
      <c r="A99" s="676"/>
      <c r="B99" s="676"/>
      <c r="C99" s="676"/>
      <c r="D99" s="621" t="s">
        <v>295</v>
      </c>
      <c r="E99" s="621"/>
      <c r="F99" s="677"/>
      <c r="G99" s="677"/>
      <c r="H99" s="682">
        <f>+H68+H77+H83+H90</f>
        <v>227953.40999999997</v>
      </c>
    </row>
    <row r="100" spans="1:8" ht="15.75" thickBot="1">
      <c r="A100" s="676"/>
      <c r="B100" s="676"/>
      <c r="C100" s="676"/>
      <c r="D100" s="621"/>
      <c r="E100" s="621"/>
      <c r="F100" s="677"/>
      <c r="G100" s="677"/>
      <c r="H100" s="683">
        <f>SUM(H96:H99)</f>
        <v>27831519.088</v>
      </c>
    </row>
    <row r="101" spans="1:8" ht="15.75" thickTop="1">
      <c r="A101" s="684"/>
      <c r="B101" s="676"/>
      <c r="C101" s="676"/>
      <c r="D101" s="621"/>
      <c r="E101" s="621"/>
      <c r="F101" s="677"/>
      <c r="G101" s="677"/>
      <c r="H101" s="621"/>
    </row>
    <row r="102" spans="1:8">
      <c r="A102" s="676"/>
      <c r="B102" s="676"/>
      <c r="C102" s="676"/>
      <c r="D102" s="621"/>
      <c r="E102" s="621"/>
      <c r="F102" s="677"/>
      <c r="G102" s="677"/>
      <c r="H102" s="621"/>
    </row>
    <row r="103" spans="1:8" ht="15.75">
      <c r="A103" s="793" t="s">
        <v>779</v>
      </c>
      <c r="B103" s="793"/>
      <c r="C103" s="793"/>
      <c r="D103" s="793"/>
      <c r="E103" s="793"/>
      <c r="F103" s="793"/>
      <c r="G103" s="793"/>
      <c r="H103" s="793"/>
    </row>
    <row r="104" spans="1:8" ht="15.75">
      <c r="A104" s="793" t="str">
        <f>F106&amp;" Property Tax Payments"</f>
        <v>2016 Property Tax Payments</v>
      </c>
      <c r="B104" s="793"/>
      <c r="C104" s="793"/>
      <c r="D104" s="793"/>
      <c r="E104" s="793"/>
      <c r="F104" s="793"/>
      <c r="G104" s="793"/>
      <c r="H104" s="793"/>
    </row>
    <row r="105" spans="1:8" ht="15.75">
      <c r="A105" s="685"/>
      <c r="B105" s="685"/>
      <c r="C105" s="685"/>
      <c r="D105" s="685"/>
      <c r="E105" s="685"/>
      <c r="F105" s="686"/>
      <c r="G105" s="685"/>
      <c r="H105" s="687"/>
    </row>
    <row r="106" spans="1:8" ht="15.75">
      <c r="A106" s="685"/>
      <c r="B106" s="685"/>
      <c r="C106" s="685"/>
      <c r="D106" s="688">
        <f>D6</f>
        <v>2016</v>
      </c>
      <c r="E106" s="689"/>
      <c r="F106" s="687">
        <f>F6</f>
        <v>2016</v>
      </c>
      <c r="G106" s="689"/>
      <c r="H106" s="688">
        <f>H6</f>
        <v>2016</v>
      </c>
    </row>
    <row r="107" spans="1:8" ht="15.75">
      <c r="A107" s="685"/>
      <c r="B107" s="685"/>
      <c r="C107" s="685"/>
      <c r="D107" s="690" t="s">
        <v>258</v>
      </c>
      <c r="E107" s="685"/>
      <c r="F107" s="691" t="s">
        <v>296</v>
      </c>
      <c r="G107" s="685"/>
      <c r="H107" s="690" t="str">
        <f>$H$7</f>
        <v>ACTUAL TAXES</v>
      </c>
    </row>
    <row r="108" spans="1:8" ht="15.75">
      <c r="A108" s="692"/>
      <c r="B108" s="692"/>
      <c r="C108" s="692"/>
      <c r="D108" s="692"/>
      <c r="E108" s="692"/>
      <c r="F108" s="692"/>
      <c r="G108" s="692"/>
      <c r="H108" s="692"/>
    </row>
    <row r="109" spans="1:8" ht="15.75">
      <c r="A109" s="693" t="s">
        <v>259</v>
      </c>
      <c r="B109" s="693"/>
      <c r="C109" s="693"/>
      <c r="D109" s="693"/>
      <c r="E109" s="693"/>
      <c r="F109" s="694"/>
      <c r="G109" s="693"/>
      <c r="H109" s="695"/>
    </row>
    <row r="110" spans="1:8" ht="15.75">
      <c r="A110" s="693"/>
      <c r="B110" s="693" t="s">
        <v>297</v>
      </c>
      <c r="C110" s="693"/>
      <c r="D110" s="696">
        <f>+D9</f>
        <v>42919600</v>
      </c>
      <c r="E110" s="692"/>
      <c r="F110" s="694">
        <f>+F9</f>
        <v>0.10021799993476173</v>
      </c>
      <c r="G110" s="693"/>
      <c r="H110" s="697">
        <f>+H9</f>
        <v>4301316.47</v>
      </c>
    </row>
    <row r="111" spans="1:8" ht="15.75">
      <c r="A111" s="693"/>
      <c r="B111" s="693" t="s">
        <v>260</v>
      </c>
      <c r="C111" s="693"/>
      <c r="D111" s="696">
        <f>+D10</f>
        <v>443100</v>
      </c>
      <c r="E111" s="692"/>
      <c r="F111" s="694">
        <f>+F10</f>
        <v>0.100218032046942</v>
      </c>
      <c r="G111" s="693"/>
      <c r="H111" s="697">
        <f>+H10</f>
        <v>44406.61</v>
      </c>
    </row>
    <row r="112" spans="1:8" ht="15.75">
      <c r="A112" s="692"/>
      <c r="B112" s="692"/>
      <c r="C112" s="692"/>
      <c r="D112" s="698"/>
      <c r="E112" s="692"/>
      <c r="F112" s="692"/>
      <c r="G112" s="692"/>
      <c r="H112" s="699"/>
    </row>
    <row r="113" spans="1:8" ht="15.75">
      <c r="A113" s="693" t="s">
        <v>263</v>
      </c>
      <c r="B113" s="700"/>
      <c r="C113" s="700"/>
      <c r="D113" s="696"/>
      <c r="E113" s="693"/>
      <c r="F113" s="694"/>
      <c r="G113" s="693"/>
      <c r="H113" s="697"/>
    </row>
    <row r="114" spans="1:8" ht="15.75">
      <c r="A114" s="700"/>
      <c r="B114" s="693" t="s">
        <v>264</v>
      </c>
      <c r="C114" s="700"/>
      <c r="D114" s="696">
        <f t="shared" ref="D114:D118" si="0">+D15</f>
        <v>3248230</v>
      </c>
      <c r="E114" s="692"/>
      <c r="F114" s="694">
        <f>+F15</f>
        <v>0.11946450836301617</v>
      </c>
      <c r="G114" s="693"/>
      <c r="H114" s="701">
        <f>+H15</f>
        <v>388048.2</v>
      </c>
    </row>
    <row r="115" spans="1:8" ht="15.75">
      <c r="A115" s="700"/>
      <c r="B115" s="693" t="s">
        <v>265</v>
      </c>
      <c r="C115" s="700"/>
      <c r="D115" s="696">
        <f t="shared" si="0"/>
        <v>55075720</v>
      </c>
      <c r="E115" s="692"/>
      <c r="F115" s="694">
        <f>+F16</f>
        <v>0.11026012006742718</v>
      </c>
      <c r="G115" s="693"/>
      <c r="H115" s="701">
        <f>+H16</f>
        <v>6072655.5</v>
      </c>
    </row>
    <row r="116" spans="1:8" ht="15.75">
      <c r="A116" s="700"/>
      <c r="B116" s="693" t="s">
        <v>266</v>
      </c>
      <c r="C116" s="700"/>
      <c r="D116" s="696">
        <f t="shared" si="0"/>
        <v>0</v>
      </c>
      <c r="E116" s="692"/>
      <c r="F116" s="694">
        <f>+F17</f>
        <v>0</v>
      </c>
      <c r="G116" s="693"/>
      <c r="H116" s="701">
        <f>+H17</f>
        <v>871.3</v>
      </c>
    </row>
    <row r="117" spans="1:8" ht="15.75">
      <c r="A117" s="700"/>
      <c r="B117" s="693" t="s">
        <v>267</v>
      </c>
      <c r="C117" s="700"/>
      <c r="D117" s="696">
        <f t="shared" si="0"/>
        <v>0</v>
      </c>
      <c r="E117" s="692"/>
      <c r="F117" s="694">
        <f t="shared" ref="F117:F118" si="1">+F18</f>
        <v>0</v>
      </c>
      <c r="G117" s="693"/>
      <c r="H117" s="701">
        <f t="shared" ref="H117:H118" si="2">+H18</f>
        <v>243.72</v>
      </c>
    </row>
    <row r="118" spans="1:8" ht="15.75">
      <c r="A118" s="700"/>
      <c r="B118" s="693" t="s">
        <v>268</v>
      </c>
      <c r="C118" s="700"/>
      <c r="D118" s="696">
        <f t="shared" si="0"/>
        <v>0</v>
      </c>
      <c r="E118" s="692"/>
      <c r="F118" s="694">
        <f t="shared" si="1"/>
        <v>0</v>
      </c>
      <c r="G118" s="693"/>
      <c r="H118" s="701">
        <f t="shared" si="2"/>
        <v>1434.33</v>
      </c>
    </row>
    <row r="119" spans="1:8" ht="15.75">
      <c r="A119" s="692"/>
      <c r="B119" s="692"/>
      <c r="C119" s="692"/>
      <c r="D119" s="698"/>
      <c r="E119" s="692"/>
      <c r="F119" s="692"/>
      <c r="G119" s="692"/>
      <c r="H119" s="699"/>
    </row>
    <row r="120" spans="1:8" ht="15.75">
      <c r="A120" s="693" t="s">
        <v>271</v>
      </c>
      <c r="B120" s="700"/>
      <c r="C120" s="700"/>
      <c r="D120" s="696"/>
      <c r="E120" s="693"/>
      <c r="F120" s="694"/>
      <c r="G120" s="693"/>
      <c r="H120" s="697"/>
    </row>
    <row r="121" spans="1:8" ht="15.75">
      <c r="A121" s="700"/>
      <c r="B121" s="693" t="s">
        <v>264</v>
      </c>
      <c r="C121" s="700"/>
      <c r="D121" s="696">
        <f>+D25</f>
        <v>12869</v>
      </c>
      <c r="E121" s="692"/>
      <c r="F121" s="694">
        <f>+F25</f>
        <v>8.3923381770145314E-2</v>
      </c>
      <c r="G121" s="693"/>
      <c r="H121" s="701">
        <f>+H25</f>
        <v>1080.01</v>
      </c>
    </row>
    <row r="122" spans="1:8" ht="15.75">
      <c r="A122" s="700"/>
      <c r="B122" s="693" t="s">
        <v>265</v>
      </c>
      <c r="C122" s="700"/>
      <c r="D122" s="696">
        <f>+D26</f>
        <v>17061320</v>
      </c>
      <c r="E122" s="692"/>
      <c r="F122" s="694">
        <f>+F26</f>
        <v>7.9178782767101261E-2</v>
      </c>
      <c r="G122" s="693"/>
      <c r="H122" s="701">
        <f>+H26</f>
        <v>1350894.55</v>
      </c>
    </row>
    <row r="123" spans="1:8" ht="15.75">
      <c r="A123" s="700"/>
      <c r="B123" s="693" t="s">
        <v>272</v>
      </c>
      <c r="C123" s="700"/>
      <c r="D123" s="702"/>
      <c r="E123" s="692"/>
      <c r="F123" s="694"/>
      <c r="G123" s="693"/>
      <c r="H123" s="701">
        <f>+H28</f>
        <v>20039.53</v>
      </c>
    </row>
    <row r="124" spans="1:8" ht="15.75">
      <c r="A124" s="692"/>
      <c r="B124" s="692"/>
      <c r="C124" s="692"/>
      <c r="D124" s="698"/>
      <c r="E124" s="692"/>
      <c r="F124" s="692"/>
      <c r="G124" s="692"/>
      <c r="H124" s="699"/>
    </row>
    <row r="125" spans="1:8" ht="15.75">
      <c r="A125" s="693" t="s">
        <v>276</v>
      </c>
      <c r="B125" s="700"/>
      <c r="C125" s="700"/>
      <c r="D125" s="696"/>
      <c r="E125" s="693"/>
      <c r="F125" s="694"/>
      <c r="G125" s="693"/>
      <c r="H125" s="697"/>
    </row>
    <row r="126" spans="1:8" ht="15.75">
      <c r="A126" s="700"/>
      <c r="B126" s="693" t="s">
        <v>264</v>
      </c>
      <c r="C126" s="700"/>
      <c r="D126" s="696">
        <f>+D36</f>
        <v>5476760</v>
      </c>
      <c r="E126" s="703"/>
      <c r="F126" s="694">
        <f>+F36</f>
        <v>5.8136560667255824E-2</v>
      </c>
      <c r="G126" s="693"/>
      <c r="H126" s="697">
        <f>+H36</f>
        <v>318399.99</v>
      </c>
    </row>
    <row r="127" spans="1:8" ht="15.75">
      <c r="A127" s="692"/>
      <c r="B127" s="692"/>
      <c r="C127" s="692"/>
      <c r="D127" s="698"/>
      <c r="E127" s="692"/>
      <c r="F127" s="692"/>
      <c r="G127" s="692"/>
      <c r="H127" s="699"/>
    </row>
    <row r="128" spans="1:8" ht="15.75">
      <c r="A128" s="693" t="s">
        <v>277</v>
      </c>
      <c r="B128" s="700"/>
      <c r="C128" s="700"/>
      <c r="D128" s="696"/>
      <c r="E128" s="693"/>
      <c r="F128" s="694"/>
      <c r="G128" s="693"/>
      <c r="H128" s="697"/>
    </row>
    <row r="129" spans="1:8" ht="15.75">
      <c r="A129" s="700"/>
      <c r="B129" s="693" t="s">
        <v>265</v>
      </c>
      <c r="C129" s="700"/>
      <c r="D129" s="696">
        <f>+D41</f>
        <v>9639357</v>
      </c>
      <c r="E129" s="703"/>
      <c r="F129" s="694">
        <f>+F41</f>
        <v>6.8322738746993184E-2</v>
      </c>
      <c r="G129" s="693"/>
      <c r="H129" s="697">
        <f>+H41</f>
        <v>658587.27</v>
      </c>
    </row>
    <row r="130" spans="1:8" ht="15.75">
      <c r="A130" s="692"/>
      <c r="B130" s="692"/>
      <c r="C130" s="692"/>
      <c r="D130" s="698"/>
      <c r="E130" s="692"/>
      <c r="F130" s="692"/>
      <c r="G130" s="692"/>
      <c r="H130" s="699"/>
    </row>
    <row r="131" spans="1:8" ht="15.75">
      <c r="A131" s="693" t="s">
        <v>279</v>
      </c>
      <c r="B131" s="693"/>
      <c r="C131" s="700"/>
      <c r="D131" s="696"/>
      <c r="E131" s="693"/>
      <c r="F131" s="694"/>
      <c r="G131" s="693"/>
      <c r="H131" s="697"/>
    </row>
    <row r="132" spans="1:8" ht="15.75">
      <c r="A132" s="700"/>
      <c r="B132" s="693" t="s">
        <v>265</v>
      </c>
      <c r="C132" s="700"/>
      <c r="D132" s="696">
        <f>+D46</f>
        <v>4684660</v>
      </c>
      <c r="E132" s="692"/>
      <c r="F132" s="694">
        <f>+F46</f>
        <v>7.2213108315224581E-2</v>
      </c>
      <c r="G132" s="693"/>
      <c r="H132" s="697">
        <f>+H46</f>
        <v>338293.86</v>
      </c>
    </row>
    <row r="133" spans="1:8" ht="15.75">
      <c r="A133" s="692"/>
      <c r="B133" s="692"/>
      <c r="C133" s="692"/>
      <c r="D133" s="692"/>
      <c r="E133" s="692"/>
      <c r="F133" s="692"/>
      <c r="G133" s="692"/>
      <c r="H133" s="699"/>
    </row>
    <row r="134" spans="1:8" ht="16.5" thickBot="1">
      <c r="A134" s="686" t="s">
        <v>299</v>
      </c>
      <c r="B134" s="686"/>
      <c r="C134" s="686"/>
      <c r="D134" s="704">
        <f>SUM(D110:D133)</f>
        <v>138561616</v>
      </c>
      <c r="E134" s="686"/>
      <c r="F134" s="705">
        <f>ROUND((+H134/D134)*100,4)</f>
        <v>9.7402999999999995</v>
      </c>
      <c r="G134" s="686"/>
      <c r="H134" s="706">
        <f>SUM(H110:H133)</f>
        <v>13496271.340000002</v>
      </c>
    </row>
    <row r="135" spans="1:8" ht="16.5" thickTop="1">
      <c r="A135" s="692"/>
      <c r="B135" s="692"/>
      <c r="C135" s="692"/>
      <c r="D135" s="692"/>
      <c r="E135" s="692"/>
      <c r="F135" s="692"/>
      <c r="G135" s="692"/>
      <c r="H135" s="699"/>
    </row>
    <row r="136" spans="1:8" ht="15.75">
      <c r="A136" s="692"/>
      <c r="B136" s="692"/>
      <c r="C136" s="692"/>
      <c r="D136" s="692"/>
      <c r="E136" s="692"/>
      <c r="F136" s="692"/>
      <c r="G136" s="692"/>
      <c r="H136" s="699"/>
    </row>
    <row r="137" spans="1:8" ht="15.75">
      <c r="A137" s="693" t="s">
        <v>259</v>
      </c>
      <c r="B137" s="692"/>
      <c r="C137" s="692"/>
      <c r="D137" s="692"/>
      <c r="E137" s="692"/>
      <c r="F137" s="692"/>
      <c r="G137" s="692"/>
      <c r="H137" s="699"/>
    </row>
    <row r="138" spans="1:8" ht="15.75">
      <c r="A138" s="693"/>
      <c r="B138" s="693" t="s">
        <v>261</v>
      </c>
      <c r="C138" s="693"/>
      <c r="D138" s="696">
        <f>+D11</f>
        <v>8060047</v>
      </c>
      <c r="E138" s="692"/>
      <c r="F138" s="694">
        <f>+F11</f>
        <v>8.4030405778030823E-2</v>
      </c>
      <c r="G138" s="693"/>
      <c r="H138" s="697">
        <f>+H11</f>
        <v>677289.02</v>
      </c>
    </row>
    <row r="139" spans="1:8" ht="15.75">
      <c r="A139" s="692"/>
      <c r="B139" s="692"/>
      <c r="C139" s="692"/>
      <c r="D139" s="698"/>
      <c r="E139" s="692"/>
      <c r="F139" s="692"/>
      <c r="G139" s="692"/>
      <c r="H139" s="699"/>
    </row>
    <row r="140" spans="1:8" ht="15.75">
      <c r="A140" s="693" t="s">
        <v>263</v>
      </c>
      <c r="B140" s="692"/>
      <c r="C140" s="692"/>
      <c r="D140" s="698"/>
      <c r="E140" s="692"/>
      <c r="F140" s="692"/>
      <c r="G140" s="692"/>
      <c r="H140" s="699"/>
    </row>
    <row r="141" spans="1:8" ht="15.75">
      <c r="A141" s="693"/>
      <c r="B141" s="692" t="s">
        <v>269</v>
      </c>
      <c r="C141" s="692"/>
      <c r="D141" s="698">
        <f>+D20</f>
        <v>0</v>
      </c>
      <c r="E141" s="692"/>
      <c r="F141" s="692">
        <f>+F20</f>
        <v>0</v>
      </c>
      <c r="G141" s="692"/>
      <c r="H141" s="699">
        <f>+H20</f>
        <v>46.81</v>
      </c>
    </row>
    <row r="142" spans="1:8" ht="15.75">
      <c r="A142" s="700"/>
      <c r="B142" s="693" t="s">
        <v>278</v>
      </c>
      <c r="C142" s="700"/>
      <c r="D142" s="696">
        <f>+D21</f>
        <v>10067100</v>
      </c>
      <c r="E142" s="692"/>
      <c r="F142" s="694">
        <f>+F21</f>
        <v>9.5374937171578744E-2</v>
      </c>
      <c r="G142" s="693"/>
      <c r="H142" s="701">
        <f>+H21</f>
        <v>960149.03000000038</v>
      </c>
    </row>
    <row r="143" spans="1:8" ht="15.75">
      <c r="A143" s="700"/>
      <c r="B143" s="692"/>
      <c r="C143" s="692"/>
      <c r="D143" s="698"/>
      <c r="E143" s="692"/>
      <c r="F143" s="692"/>
      <c r="G143" s="692"/>
      <c r="H143" s="699"/>
    </row>
    <row r="144" spans="1:8" ht="15.75">
      <c r="A144" s="693" t="s">
        <v>271</v>
      </c>
      <c r="B144" s="692"/>
      <c r="C144" s="692"/>
      <c r="D144" s="698"/>
      <c r="E144" s="692"/>
      <c r="F144" s="692"/>
      <c r="G144" s="692"/>
      <c r="H144" s="699"/>
    </row>
    <row r="145" spans="1:8" ht="15.75">
      <c r="A145" s="700"/>
      <c r="B145" s="693" t="s">
        <v>261</v>
      </c>
      <c r="C145" s="700"/>
      <c r="D145" s="696">
        <f>+D27</f>
        <v>1133544</v>
      </c>
      <c r="E145" s="692"/>
      <c r="F145" s="694">
        <f>+F27</f>
        <v>7.5735242743113648E-2</v>
      </c>
      <c r="G145" s="693"/>
      <c r="H145" s="701">
        <f>+H27</f>
        <v>85849.23000000001</v>
      </c>
    </row>
    <row r="146" spans="1:8" ht="15.75">
      <c r="A146" s="692"/>
      <c r="B146" s="692"/>
      <c r="C146" s="692"/>
      <c r="D146" s="698"/>
      <c r="E146" s="692"/>
      <c r="F146" s="692"/>
      <c r="G146" s="692"/>
      <c r="H146" s="699"/>
    </row>
    <row r="147" spans="1:8" ht="15.75">
      <c r="A147" s="693" t="s">
        <v>274</v>
      </c>
      <c r="B147" s="692"/>
      <c r="C147" s="692"/>
      <c r="D147" s="698"/>
      <c r="E147" s="692"/>
      <c r="F147" s="692"/>
      <c r="G147" s="692"/>
      <c r="H147" s="699"/>
    </row>
    <row r="148" spans="1:8" ht="15.75">
      <c r="A148" s="700"/>
      <c r="B148" s="693" t="s">
        <v>275</v>
      </c>
      <c r="C148" s="700"/>
      <c r="D148" s="696">
        <f>+D29</f>
        <v>34500</v>
      </c>
      <c r="E148" s="692"/>
      <c r="F148" s="694">
        <f>+F29</f>
        <v>5.9315942028985512E-2</v>
      </c>
      <c r="G148" s="693"/>
      <c r="H148" s="697">
        <f>+H29</f>
        <v>2046.4</v>
      </c>
    </row>
    <row r="149" spans="1:8" ht="15.75">
      <c r="A149" s="692"/>
      <c r="B149" s="692"/>
      <c r="C149" s="692"/>
      <c r="D149" s="698"/>
      <c r="E149" s="692"/>
      <c r="F149" s="692"/>
      <c r="G149" s="692"/>
      <c r="H149" s="699"/>
    </row>
    <row r="150" spans="1:8" ht="15.75">
      <c r="A150" s="692" t="s">
        <v>1099</v>
      </c>
      <c r="B150" s="692"/>
      <c r="C150" s="692"/>
      <c r="D150" s="698"/>
      <c r="E150" s="692"/>
      <c r="F150" s="692"/>
      <c r="G150" s="692"/>
      <c r="H150" s="699"/>
    </row>
    <row r="151" spans="1:8" ht="15.75">
      <c r="A151" s="692"/>
      <c r="B151" s="692" t="s">
        <v>1100</v>
      </c>
      <c r="C151" s="692"/>
      <c r="D151" s="698">
        <v>169630</v>
      </c>
      <c r="E151" s="692"/>
      <c r="F151" s="692">
        <v>2.7192890408536223E-2</v>
      </c>
      <c r="G151" s="692"/>
      <c r="H151" s="699">
        <v>4612.7299999999996</v>
      </c>
    </row>
    <row r="152" spans="1:8" ht="15.75">
      <c r="A152" s="692"/>
      <c r="B152" s="692"/>
      <c r="C152" s="692"/>
      <c r="D152" s="698"/>
      <c r="E152" s="692"/>
      <c r="F152" s="692"/>
      <c r="G152" s="692"/>
      <c r="H152" s="699"/>
    </row>
    <row r="153" spans="1:8" ht="15.75">
      <c r="A153" s="693" t="s">
        <v>276</v>
      </c>
      <c r="B153" s="692"/>
      <c r="C153" s="692"/>
      <c r="D153" s="698"/>
      <c r="E153" s="692"/>
      <c r="F153" s="692"/>
      <c r="G153" s="692"/>
      <c r="H153" s="699"/>
    </row>
    <row r="154" spans="1:8" ht="15.75">
      <c r="A154" s="700"/>
      <c r="B154" s="693" t="s">
        <v>261</v>
      </c>
      <c r="C154" s="700"/>
      <c r="D154" s="696">
        <f>+D37</f>
        <v>3025943</v>
      </c>
      <c r="E154" s="703"/>
      <c r="F154" s="694">
        <f>+F37</f>
        <v>5.369777950212546E-2</v>
      </c>
      <c r="G154" s="693"/>
      <c r="H154" s="697">
        <f>+H37</f>
        <v>162486.42000000001</v>
      </c>
    </row>
    <row r="155" spans="1:8" ht="15.75">
      <c r="A155" s="692"/>
      <c r="B155" s="692"/>
      <c r="C155" s="692"/>
      <c r="D155" s="698"/>
      <c r="E155" s="692"/>
      <c r="F155" s="692"/>
      <c r="G155" s="692"/>
      <c r="H155" s="699"/>
    </row>
    <row r="156" spans="1:8" ht="15.75">
      <c r="A156" s="693" t="s">
        <v>300</v>
      </c>
      <c r="B156" s="692"/>
      <c r="C156" s="692"/>
      <c r="D156" s="698"/>
      <c r="E156" s="692"/>
      <c r="F156" s="692"/>
      <c r="G156" s="692"/>
      <c r="H156" s="699"/>
    </row>
    <row r="157" spans="1:8" ht="15.75">
      <c r="A157" s="700"/>
      <c r="B157" s="693" t="s">
        <v>278</v>
      </c>
      <c r="C157" s="700"/>
      <c r="D157" s="696">
        <f>+D42</f>
        <v>415827</v>
      </c>
      <c r="E157" s="703"/>
      <c r="F157" s="694">
        <f>+F42</f>
        <v>5.9991871619687998E-2</v>
      </c>
      <c r="G157" s="693"/>
      <c r="H157" s="697">
        <f>+H42</f>
        <v>24946.240000000002</v>
      </c>
    </row>
    <row r="158" spans="1:8" ht="15.75">
      <c r="A158" s="692"/>
      <c r="B158" s="692"/>
      <c r="C158" s="692"/>
      <c r="D158" s="698"/>
      <c r="E158" s="692"/>
      <c r="F158" s="692"/>
      <c r="G158" s="692"/>
      <c r="H158" s="699"/>
    </row>
    <row r="159" spans="1:8" ht="15.75">
      <c r="A159" s="693" t="s">
        <v>279</v>
      </c>
      <c r="B159" s="692"/>
      <c r="C159" s="692"/>
      <c r="D159" s="698"/>
      <c r="E159" s="692"/>
      <c r="F159" s="692"/>
      <c r="G159" s="692"/>
      <c r="H159" s="699"/>
    </row>
    <row r="160" spans="1:8" ht="15.75">
      <c r="A160" s="692"/>
      <c r="B160" s="693" t="s">
        <v>301</v>
      </c>
      <c r="C160" s="700"/>
      <c r="D160" s="696">
        <f>+D47</f>
        <v>371730</v>
      </c>
      <c r="E160" s="692"/>
      <c r="F160" s="694">
        <f>+F47</f>
        <v>6.9694724665752023E-2</v>
      </c>
      <c r="G160" s="693"/>
      <c r="H160" s="697">
        <f>+H47</f>
        <v>25907.62</v>
      </c>
    </row>
    <row r="161" spans="1:8" ht="15.75">
      <c r="A161" s="692"/>
      <c r="B161" s="692"/>
      <c r="C161" s="692"/>
      <c r="D161" s="696"/>
      <c r="E161" s="692"/>
      <c r="F161" s="692"/>
      <c r="G161" s="692"/>
      <c r="H161" s="692"/>
    </row>
    <row r="162" spans="1:8" ht="15.75">
      <c r="A162" s="692" t="s">
        <v>280</v>
      </c>
      <c r="B162" s="692"/>
      <c r="C162" s="692"/>
      <c r="D162" s="692"/>
      <c r="E162" s="692"/>
      <c r="F162" s="692"/>
      <c r="G162" s="692"/>
      <c r="H162" s="692"/>
    </row>
    <row r="163" spans="1:8" ht="15.75">
      <c r="A163" s="692"/>
      <c r="B163" s="692" t="s">
        <v>281</v>
      </c>
      <c r="C163" s="692"/>
      <c r="D163" s="696">
        <f>+D51</f>
        <v>1282690</v>
      </c>
      <c r="E163" s="695"/>
      <c r="F163" s="694">
        <f>+F51</f>
        <v>9.8859545174594013E-2</v>
      </c>
      <c r="G163" s="692"/>
      <c r="H163" s="697">
        <f>+H51</f>
        <v>126806.15</v>
      </c>
    </row>
    <row r="164" spans="1:8" ht="15.75">
      <c r="A164" s="692"/>
      <c r="B164" s="692" t="s">
        <v>282</v>
      </c>
      <c r="C164" s="692"/>
      <c r="D164" s="696">
        <f>+D52</f>
        <v>1267840</v>
      </c>
      <c r="E164" s="695"/>
      <c r="F164" s="694">
        <f>+F52</f>
        <v>7.0521942831903078E-2</v>
      </c>
      <c r="G164" s="692"/>
      <c r="H164" s="697">
        <f>+H52</f>
        <v>89410.54</v>
      </c>
    </row>
    <row r="165" spans="1:8" ht="15.75">
      <c r="A165" s="692"/>
      <c r="B165" s="692"/>
      <c r="C165" s="692"/>
      <c r="D165" s="692"/>
      <c r="E165" s="692"/>
      <c r="F165" s="692"/>
      <c r="G165" s="692"/>
      <c r="H165" s="692"/>
    </row>
    <row r="166" spans="1:8" ht="16.5" thickBot="1">
      <c r="A166" s="686" t="s">
        <v>302</v>
      </c>
      <c r="B166" s="686"/>
      <c r="C166" s="686"/>
      <c r="D166" s="704">
        <f>SUM(D138:D165)</f>
        <v>25828851</v>
      </c>
      <c r="E166" s="686"/>
      <c r="F166" s="705">
        <f>ROUND((+H166/D166)*100,4)</f>
        <v>8.3610000000000007</v>
      </c>
      <c r="G166" s="686"/>
      <c r="H166" s="707">
        <f>SUM(H138:H165)</f>
        <v>2159550.19</v>
      </c>
    </row>
    <row r="167" spans="1:8" ht="16.5" thickTop="1">
      <c r="A167" s="692"/>
      <c r="B167" s="692"/>
      <c r="C167" s="692"/>
      <c r="D167" s="692"/>
      <c r="E167" s="692"/>
      <c r="F167" s="692"/>
      <c r="G167" s="692"/>
      <c r="H167" s="708"/>
    </row>
    <row r="169" spans="1:8">
      <c r="D169" s="709"/>
      <c r="H169" s="711"/>
    </row>
  </sheetData>
  <mergeCells count="2">
    <mergeCell ref="A103:H103"/>
    <mergeCell ref="A104:H104"/>
  </mergeCells>
  <printOptions horizontalCentered="1"/>
  <pageMargins left="0.45" right="0.45" top="0.25" bottom="0.25" header="0.3" footer="0.3"/>
  <pageSetup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28</vt:i4>
      </vt:variant>
    </vt:vector>
  </HeadingPairs>
  <TitlesOfParts>
    <vt:vector size="56" baseType="lpstr">
      <vt:lpstr>def tax - main split</vt:lpstr>
      <vt:lpstr>def tax - bonus codes</vt:lpstr>
      <vt:lpstr>Summary info (bonus split)</vt:lpstr>
      <vt:lpstr>customers -15</vt:lpstr>
      <vt:lpstr>Cites</vt:lpstr>
      <vt:lpstr>Pipeline Safety</vt:lpstr>
      <vt:lpstr>ISRS</vt:lpstr>
      <vt:lpstr>Summary info</vt:lpstr>
      <vt:lpstr>2016 Prop Pymts</vt:lpstr>
      <vt:lpstr>Additions</vt:lpstr>
      <vt:lpstr>Retirements</vt:lpstr>
      <vt:lpstr>Additions for prop tax</vt:lpstr>
      <vt:lpstr>Retirements for prop tax</vt:lpstr>
      <vt:lpstr>Revenue Requirement</vt:lpstr>
      <vt:lpstr>Depreciation Exp</vt:lpstr>
      <vt:lpstr>Prop Tax</vt:lpstr>
      <vt:lpstr>Incremental Prop Tax 2015</vt:lpstr>
      <vt:lpstr>Incremental Prop Tax 2014</vt:lpstr>
      <vt:lpstr>Incremental Prop Tax 2013</vt:lpstr>
      <vt:lpstr>Incremental Depr and Taxes</vt:lpstr>
      <vt:lpstr>Def. Tax - Main Repl</vt:lpstr>
      <vt:lpstr>Def. Tax - Services</vt:lpstr>
      <vt:lpstr>Def. Tax - Reg</vt:lpstr>
      <vt:lpstr>Def. Tax - Main Relo</vt:lpstr>
      <vt:lpstr>Def. Tax - Main Reinf</vt:lpstr>
      <vt:lpstr>ROR</vt:lpstr>
      <vt:lpstr>Rate Design - Sept 2016</vt:lpstr>
      <vt:lpstr>Cumulative Rate Design</vt:lpstr>
      <vt:lpstr>'2016 Prop Pymts'!Print_Area</vt:lpstr>
      <vt:lpstr>Additions!Print_Area</vt:lpstr>
      <vt:lpstr>'Additions for prop tax'!Print_Area</vt:lpstr>
      <vt:lpstr>Cites!Print_Area</vt:lpstr>
      <vt:lpstr>'Cumulative Rate Design'!Print_Area</vt:lpstr>
      <vt:lpstr>'def tax - bonus codes'!Print_Area</vt:lpstr>
      <vt:lpstr>'def tax - main split'!Print_Area</vt:lpstr>
      <vt:lpstr>'Def. Tax - Main Reinf'!Print_Area</vt:lpstr>
      <vt:lpstr>'Def. Tax - Main Relo'!Print_Area</vt:lpstr>
      <vt:lpstr>'Def. Tax - Main Repl'!Print_Area</vt:lpstr>
      <vt:lpstr>'Def. Tax - Reg'!Print_Area</vt:lpstr>
      <vt:lpstr>'Def. Tax - Services'!Print_Area</vt:lpstr>
      <vt:lpstr>'Depreciation Exp'!Print_Area</vt:lpstr>
      <vt:lpstr>'Incremental Depr and Taxes'!Print_Area</vt:lpstr>
      <vt:lpstr>'Incremental Prop Tax 2013'!Print_Area</vt:lpstr>
      <vt:lpstr>'Incremental Prop Tax 2014'!Print_Area</vt:lpstr>
      <vt:lpstr>'Incremental Prop Tax 2015'!Print_Area</vt:lpstr>
      <vt:lpstr>ISRS!Print_Area</vt:lpstr>
      <vt:lpstr>'Pipeline Safety'!Print_Area</vt:lpstr>
      <vt:lpstr>'Prop Tax'!Print_Area</vt:lpstr>
      <vt:lpstr>'Rate Design - Sept 2016'!Print_Area</vt:lpstr>
      <vt:lpstr>Retirements!Print_Area</vt:lpstr>
      <vt:lpstr>'Retirements for prop tax'!Print_Area</vt:lpstr>
      <vt:lpstr>'Revenue Requirement'!Print_Area</vt:lpstr>
      <vt:lpstr>ROR!Print_Area</vt:lpstr>
      <vt:lpstr>'Summary info'!Print_Area</vt:lpstr>
      <vt:lpstr>'Summary info (bonus split)'!Print_Area</vt:lpstr>
      <vt:lpstr>'def tax - main split'!Print_Titles</vt:lpstr>
    </vt:vector>
  </TitlesOfParts>
  <Company>Laclede Gas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Buck, Glenn W.</dc:creator>
  <cp:lastModifiedBy>Buck, Glenn W.</cp:lastModifiedBy>
  <cp:lastPrinted>2017-02-03T21:02:43Z</cp:lastPrinted>
  <dcterms:created xsi:type="dcterms:W3CDTF">2004-02-18T22:20:08Z</dcterms:created>
  <dcterms:modified xsi:type="dcterms:W3CDTF">2017-02-15T16:48:16Z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 linkTarget="Prop_tax">
    <vt:r8>39919.3899884259</vt:r8>
  </property>
  <property fmtid="{D5CDD505-2E9C-101B-9397-08002B2CF9AE}" pid="3" name="SV_QUERY_LIST_4F35BF76-6C0D-4D9B-82B2-816C12CF3733">
    <vt:lpwstr>empty_477D106A-C0D6-4607-AEBD-E2C9D60EA279</vt:lpwstr>
  </property>
</Properties>
</file>